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34" documentId="13_ncr:1_{FCB6681B-8A6B-4DC0-A542-303C54260C81}" xr6:coauthVersionLast="47" xr6:coauthVersionMax="47" xr10:uidLastSave="{907120DF-A8C4-434A-8EAA-7A70505F596B}"/>
  <bookViews>
    <workbookView xWindow="390" yWindow="525" windowWidth="27810" windowHeight="14250"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26" l="1"/>
  <c r="E10" i="126"/>
  <c r="H10" i="22"/>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51" i="75" l="1"/>
  <c r="AK33" i="125" s="1"/>
  <c r="AK60" i="75"/>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47" i="70"/>
  <c r="F47" i="70" s="1"/>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H47" i="70"/>
  <c r="AN19" i="125" l="1"/>
  <c r="AL19" i="125"/>
  <c r="E17" i="125"/>
  <c r="AL33" i="79"/>
  <c r="E16" i="125"/>
  <c r="AL11" i="79"/>
  <c r="AJ17" i="125"/>
  <c r="AJ16" i="125"/>
  <c r="AL17" i="125" l="1"/>
  <c r="AN17" i="125"/>
  <c r="AN16" i="125"/>
  <c r="AL16" i="125"/>
  <c r="AO19" i="125"/>
  <c r="P66" i="70"/>
  <c r="P62" i="70"/>
  <c r="P55" i="70"/>
  <c r="P56" i="70"/>
  <c r="J62" i="70"/>
  <c r="D68" i="70"/>
  <c r="D62" i="70"/>
  <c r="J47" i="70"/>
  <c r="J49" i="70"/>
  <c r="J55" i="70"/>
  <c r="J56" i="70"/>
  <c r="D47" i="70"/>
  <c r="D55" i="70"/>
  <c r="D56" i="70"/>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P35" i="70" s="1"/>
  <c r="D36" i="109"/>
  <c r="D36" i="65" s="1"/>
  <c r="D35" i="109"/>
  <c r="D35" i="65" s="1"/>
  <c r="J34" i="70"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J35" i="70"/>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P40" i="70"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D39" i="70"/>
  <c r="K40" i="65"/>
  <c r="C41" i="65"/>
  <c r="J48" i="38"/>
  <c r="D41" i="109"/>
  <c r="D41" i="65" s="1"/>
  <c r="J40" i="70"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29" i="70" s="1"/>
  <c r="K29" i="70" s="1"/>
  <c r="J102" i="132"/>
  <c r="J98" i="132" s="1"/>
  <c r="E58" i="22" s="1"/>
  <c r="E57" i="22" s="1"/>
  <c r="E30" i="109" s="1"/>
  <c r="E30" i="65" s="1"/>
  <c r="P29" i="70" s="1"/>
  <c r="Q29" i="70"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D28" i="70" s="1"/>
  <c r="E28" i="70"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J26" i="70" s="1"/>
  <c r="K26" i="70" s="1"/>
  <c r="N26" i="70" s="1"/>
  <c r="T29" i="70"/>
  <c r="R29" i="70"/>
  <c r="S29" i="70"/>
  <c r="N29" i="70"/>
  <c r="L29" i="70"/>
  <c r="M29" i="70"/>
  <c r="G28" i="70"/>
  <c r="F28" i="70"/>
  <c r="H28" i="70"/>
  <c r="O29" i="22"/>
  <c r="P47" i="70"/>
  <c r="K48" i="65"/>
  <c r="E28" i="38"/>
  <c r="U24" i="41"/>
  <c r="O41" i="109"/>
  <c r="K41" i="65"/>
  <c r="D40" i="70"/>
  <c r="O51" i="22"/>
  <c r="I45" i="22"/>
  <c r="I39" i="22" s="1"/>
  <c r="J10" i="22"/>
  <c r="J22" i="109" s="1"/>
  <c r="H22" i="109"/>
  <c r="H47" i="52"/>
  <c r="I47" i="52"/>
  <c r="J47" i="52"/>
  <c r="G47" i="52"/>
  <c r="O20" i="22"/>
  <c r="C28" i="22"/>
  <c r="O56" i="22"/>
  <c r="E52" i="22"/>
  <c r="E29" i="109" s="1"/>
  <c r="E29" i="65" s="1"/>
  <c r="P28" i="70" s="1"/>
  <c r="O55" i="22"/>
  <c r="D28" i="22"/>
  <c r="E26" i="109"/>
  <c r="E26" i="65" s="1"/>
  <c r="P26" i="70" s="1"/>
  <c r="J72" i="132"/>
  <c r="I72" i="132"/>
  <c r="O19" i="22"/>
  <c r="E44" i="22"/>
  <c r="H54" i="59"/>
  <c r="H26" i="59"/>
  <c r="I26" i="59"/>
  <c r="E331" i="56"/>
  <c r="E327" i="56" s="1"/>
  <c r="O12" i="54"/>
  <c r="O10" i="54" s="1"/>
  <c r="R10" i="52"/>
  <c r="F23" i="52"/>
  <c r="L23" i="52" s="1"/>
  <c r="O24" i="52"/>
  <c r="D24" i="52"/>
  <c r="O21" i="22"/>
  <c r="D52" i="22"/>
  <c r="D29" i="109" s="1"/>
  <c r="D29" i="65" s="1"/>
  <c r="J28" i="70" s="1"/>
  <c r="K28" i="70"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E13" i="19"/>
  <c r="E18" i="19"/>
  <c r="E46" i="7"/>
  <c r="D40" i="7"/>
  <c r="D41" i="7"/>
  <c r="C41" i="7"/>
  <c r="L27" i="114"/>
  <c r="L36" i="114"/>
  <c r="L32" i="114"/>
  <c r="L31" i="114" s="1"/>
  <c r="J40" i="114"/>
  <c r="D46" i="7" s="1"/>
  <c r="K40" i="114"/>
  <c r="I40" i="114"/>
  <c r="C46" i="7" s="1"/>
  <c r="L40" i="114"/>
  <c r="L26" i="70" l="1"/>
  <c r="M26" i="70"/>
  <c r="O28" i="22"/>
  <c r="N28" i="70"/>
  <c r="L28" i="70"/>
  <c r="M28" i="70"/>
  <c r="J46" i="7"/>
  <c r="J22" i="65"/>
  <c r="J10" i="109"/>
  <c r="J10" i="65" s="1"/>
  <c r="H22" i="65"/>
  <c r="H10" i="109"/>
  <c r="H10" i="65" s="1"/>
  <c r="O43" i="22"/>
  <c r="O41" i="22"/>
  <c r="O42" i="22"/>
  <c r="O40" i="22"/>
  <c r="G46" i="52"/>
  <c r="H46" i="52"/>
  <c r="I46" i="52"/>
  <c r="J46" i="52"/>
  <c r="E39" i="22"/>
  <c r="E27" i="109" s="1"/>
  <c r="O44" i="22"/>
  <c r="E27" i="65" l="1"/>
  <c r="O27" i="109"/>
  <c r="O39" i="22"/>
  <c r="P27" i="70" l="1"/>
  <c r="Q27" i="70" s="1"/>
  <c r="K27" i="65"/>
  <c r="I16" i="114"/>
  <c r="L16" i="114"/>
  <c r="I19" i="114"/>
  <c r="J19" i="114"/>
  <c r="L19" i="114"/>
  <c r="D25" i="16"/>
  <c r="C40" i="7"/>
  <c r="J40" i="7" s="1"/>
  <c r="T27" i="70" l="1"/>
  <c r="R27" i="70"/>
  <c r="S27" i="70"/>
  <c r="I31" i="16"/>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2" i="8" l="1"/>
  <c r="K14" i="8"/>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AL53" i="78"/>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AL22" i="76"/>
  <c r="AL24" i="78"/>
  <c r="AL24" i="76"/>
  <c r="AL24" i="77"/>
  <c r="V37" i="75" l="1"/>
  <c r="AL33" i="125"/>
  <c r="AN33" i="125"/>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AO33" i="125" l="1"/>
  <c r="N31" i="75"/>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6" l="1"/>
  <c r="AL11" i="76" s="1"/>
  <c r="E11" i="78"/>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AL71" i="76" s="1"/>
  <c r="E10" i="125"/>
  <c r="AN10" i="125" s="1"/>
  <c r="Z11" i="75"/>
  <c r="Z29" i="125" s="1"/>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Z10" i="75"/>
  <c r="Z72" i="7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E11" i="125" l="1"/>
  <c r="AL10" i="125"/>
  <c r="AO10" i="125" s="1"/>
  <c r="AH10" i="75"/>
  <c r="AH72" i="75" s="1"/>
  <c r="AH22" i="125" s="1"/>
  <c r="AH35" i="125" s="1"/>
  <c r="AN14" i="125"/>
  <c r="AL14" i="125"/>
  <c r="AN12" i="125"/>
  <c r="AL12" i="125"/>
  <c r="AN15" i="125"/>
  <c r="AL15" i="125"/>
  <c r="AN29" i="125"/>
  <c r="AL29" i="125"/>
  <c r="AN11"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E22" i="125" l="1"/>
  <c r="AH71" i="75"/>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E15" i="132" l="1"/>
  <c r="C50" i="70" l="1"/>
  <c r="I10" i="73"/>
  <c r="U10" i="73" l="1"/>
  <c r="C30" i="70"/>
  <c r="Q26" i="70"/>
  <c r="C41" i="70"/>
  <c r="O41" i="70" l="1"/>
  <c r="I50" i="70"/>
  <c r="I22" i="70"/>
  <c r="O12" i="70"/>
  <c r="I41" i="70"/>
  <c r="O50" i="70"/>
  <c r="C18" i="70"/>
  <c r="I18" i="70"/>
  <c r="O30" i="70"/>
  <c r="O18" i="70"/>
  <c r="I12" i="70"/>
  <c r="I11" i="70" s="1"/>
  <c r="I10" i="70" s="1"/>
  <c r="O22" i="70"/>
  <c r="I30" i="70"/>
  <c r="R26" i="70"/>
  <c r="S26" i="70"/>
  <c r="T26" i="70"/>
  <c r="C12" i="70"/>
  <c r="C11" i="70" s="1"/>
  <c r="C10" i="70" s="1"/>
  <c r="C22" i="70"/>
  <c r="O11" i="70" l="1"/>
  <c r="O10" i="70" s="1"/>
  <c r="C10" i="73" l="1"/>
  <c r="E34" i="73" s="1"/>
  <c r="E35" i="73" s="1"/>
  <c r="D282" i="56" l="1"/>
  <c r="D302" i="56"/>
  <c r="D281" i="56"/>
  <c r="D423" i="56"/>
  <c r="D415" i="56"/>
  <c r="C17" i="124"/>
  <c r="C11" i="124" l="1"/>
  <c r="C10" i="124" s="1"/>
  <c r="D411" i="56"/>
  <c r="D331" i="56"/>
  <c r="D327" i="56" s="1"/>
  <c r="D277" i="56"/>
  <c r="R18" i="50"/>
  <c r="R13" i="50" s="1"/>
  <c r="R10" i="50" s="1"/>
  <c r="Q17" i="52"/>
  <c r="Q11" i="52" s="1"/>
  <c r="Q10" i="52" s="1"/>
  <c r="Q11" i="53"/>
  <c r="P11" i="53"/>
  <c r="R21" i="51"/>
  <c r="R15" i="51" s="1"/>
  <c r="R10" i="51" s="1"/>
  <c r="D18" i="52" l="1"/>
  <c r="K18" i="52"/>
  <c r="F18" i="50"/>
  <c r="L19" i="50"/>
  <c r="D22" i="51"/>
  <c r="E21" i="51"/>
  <c r="K22" i="51"/>
  <c r="L22" i="51"/>
  <c r="F21" i="51"/>
  <c r="D15" i="52"/>
  <c r="E14" i="52"/>
  <c r="K15" i="52"/>
  <c r="I35" i="47"/>
  <c r="K16" i="52"/>
  <c r="D16" i="52"/>
  <c r="S19" i="50"/>
  <c r="S18" i="50" s="1"/>
  <c r="Q18" i="50"/>
  <c r="N11" i="53"/>
  <c r="E18" i="50"/>
  <c r="K19" i="50"/>
  <c r="D19" i="50"/>
  <c r="Q21" i="51"/>
  <c r="S22" i="51"/>
  <c r="S21" i="51" s="1"/>
  <c r="D12" i="51"/>
  <c r="K12" i="51"/>
  <c r="P17" i="52"/>
  <c r="P11" i="52" s="1"/>
  <c r="P10" i="52" s="1"/>
  <c r="P11" i="51"/>
  <c r="N11" i="51" l="1"/>
  <c r="I15" i="52"/>
  <c r="H15" i="52"/>
  <c r="J15" i="52"/>
  <c r="D14" i="52"/>
  <c r="G15" i="52"/>
  <c r="M17" i="52"/>
  <c r="M11" i="52" s="1"/>
  <c r="N17" i="52"/>
  <c r="N11" i="52" s="1"/>
  <c r="O12" i="53"/>
  <c r="M11" i="53"/>
  <c r="F15" i="51"/>
  <c r="L21" i="51"/>
  <c r="P22" i="49"/>
  <c r="U22" i="49" s="1"/>
  <c r="G12" i="51"/>
  <c r="H12" i="51"/>
  <c r="J12" i="51"/>
  <c r="K21" i="51"/>
  <c r="I16" i="52"/>
  <c r="J16" i="52"/>
  <c r="H16" i="52"/>
  <c r="G16" i="52"/>
  <c r="G22" i="51"/>
  <c r="H22" i="51"/>
  <c r="I22" i="51"/>
  <c r="D21" i="51"/>
  <c r="J22" i="51"/>
  <c r="P15" i="49"/>
  <c r="U15" i="49" s="1"/>
  <c r="J19" i="50"/>
  <c r="H19" i="50"/>
  <c r="G19" i="50"/>
  <c r="D18" i="50"/>
  <c r="I19" i="50"/>
  <c r="F13" i="50"/>
  <c r="L18" i="50"/>
  <c r="O18" i="52"/>
  <c r="I18" i="52" s="1"/>
  <c r="K18" i="50"/>
  <c r="P14" i="49"/>
  <c r="O12" i="51"/>
  <c r="M11" i="51"/>
  <c r="K14" i="52"/>
  <c r="H18" i="52"/>
  <c r="J18" i="52"/>
  <c r="G18" i="52"/>
  <c r="G45" i="59"/>
  <c r="G22" i="59"/>
  <c r="G16" i="59"/>
  <c r="O18" i="51" l="1"/>
  <c r="S18" i="51" s="1"/>
  <c r="O19" i="52"/>
  <c r="S19" i="52" s="1"/>
  <c r="L15" i="51"/>
  <c r="F10" i="51"/>
  <c r="L10" i="51" s="1"/>
  <c r="G18" i="59"/>
  <c r="F17" i="59"/>
  <c r="G17" i="59" s="1"/>
  <c r="F50" i="59"/>
  <c r="G51" i="59"/>
  <c r="S12" i="51"/>
  <c r="O11" i="53"/>
  <c r="S12" i="53"/>
  <c r="S11" i="53" s="1"/>
  <c r="G24" i="59"/>
  <c r="F23" i="59"/>
  <c r="G23" i="59" s="1"/>
  <c r="I12" i="51"/>
  <c r="O17" i="52"/>
  <c r="O11" i="52" s="1"/>
  <c r="S18" i="52"/>
  <c r="S17" i="52" s="1"/>
  <c r="S11" i="52" s="1"/>
  <c r="I14" i="52"/>
  <c r="J14" i="52"/>
  <c r="G14" i="52"/>
  <c r="H14" i="52"/>
  <c r="L13" i="50"/>
  <c r="F10" i="50"/>
  <c r="L10" i="50" s="1"/>
  <c r="I21" i="51"/>
  <c r="G21" i="51"/>
  <c r="J21" i="51"/>
  <c r="H21" i="51"/>
  <c r="G14" i="59"/>
  <c r="H18" i="50"/>
  <c r="G18" i="50"/>
  <c r="J18" i="50"/>
  <c r="I18" i="50"/>
  <c r="F38" i="59"/>
  <c r="G39" i="59"/>
  <c r="O14" i="51"/>
  <c r="S14" i="51" s="1"/>
  <c r="O11" i="51" l="1"/>
  <c r="C21" i="47"/>
  <c r="F49" i="59"/>
  <c r="G50" i="59"/>
  <c r="G38" i="59"/>
  <c r="F37" i="59"/>
  <c r="C24" i="47"/>
  <c r="T23" i="49"/>
  <c r="T16" i="49" s="1"/>
  <c r="T10" i="49" s="1"/>
  <c r="Q16" i="51"/>
  <c r="Q15" i="51" s="1"/>
  <c r="D21" i="49"/>
  <c r="Q14" i="53"/>
  <c r="Q13" i="53" s="1"/>
  <c r="Q10" i="53" s="1"/>
  <c r="R14" i="53"/>
  <c r="R13" i="53" s="1"/>
  <c r="R10" i="53" s="1"/>
  <c r="Q14" i="50"/>
  <c r="Q13" i="50" s="1"/>
  <c r="S25" i="49"/>
  <c r="S17" i="49"/>
  <c r="S11" i="49"/>
  <c r="E16" i="51" l="1"/>
  <c r="D17" i="51"/>
  <c r="K17" i="51"/>
  <c r="M24" i="49"/>
  <c r="F23" i="49"/>
  <c r="D24" i="49"/>
  <c r="F32" i="59"/>
  <c r="G33" i="59"/>
  <c r="G37" i="59"/>
  <c r="L12" i="49"/>
  <c r="D12" i="49"/>
  <c r="D18" i="49"/>
  <c r="E17" i="49"/>
  <c r="L18" i="49"/>
  <c r="L13" i="49"/>
  <c r="D13" i="49"/>
  <c r="K16" i="53"/>
  <c r="D16" i="53"/>
  <c r="E14" i="53"/>
  <c r="D15" i="50"/>
  <c r="K15" i="50"/>
  <c r="E14" i="50"/>
  <c r="G67" i="59"/>
  <c r="F66" i="59"/>
  <c r="F43" i="59"/>
  <c r="G44" i="59"/>
  <c r="F48" i="59"/>
  <c r="G48" i="59" s="1"/>
  <c r="G49" i="59"/>
  <c r="E36" i="52"/>
  <c r="D37" i="52"/>
  <c r="K37" i="52"/>
  <c r="F20" i="59"/>
  <c r="G21" i="59"/>
  <c r="I21" i="59"/>
  <c r="H21" i="59"/>
  <c r="E25" i="49"/>
  <c r="L26" i="49"/>
  <c r="D26" i="49"/>
  <c r="F14" i="53"/>
  <c r="L15" i="53"/>
  <c r="D15" i="53"/>
  <c r="Q17" i="49"/>
  <c r="R25" i="49"/>
  <c r="R17" i="49"/>
  <c r="O25" i="49"/>
  <c r="N14" i="50"/>
  <c r="N13" i="50" s="1"/>
  <c r="N16" i="51"/>
  <c r="N15" i="51" s="1"/>
  <c r="N10" i="51" s="1"/>
  <c r="N36" i="52"/>
  <c r="N35" i="52" s="1"/>
  <c r="N23" i="52" s="1"/>
  <c r="N10" i="52" s="1"/>
  <c r="O17" i="49"/>
  <c r="O23" i="49"/>
  <c r="Q23" i="49"/>
  <c r="Q25" i="49"/>
  <c r="Q19" i="49"/>
  <c r="J21" i="49"/>
  <c r="R23" i="49"/>
  <c r="K21" i="49"/>
  <c r="L21" i="49"/>
  <c r="P13" i="49" l="1"/>
  <c r="S19" i="49"/>
  <c r="S16" i="49" s="1"/>
  <c r="S10" i="49" s="1"/>
  <c r="O16" i="53"/>
  <c r="O11" i="49"/>
  <c r="Q16" i="49"/>
  <c r="F19" i="59"/>
  <c r="G20" i="59"/>
  <c r="K13" i="49"/>
  <c r="H13" i="49"/>
  <c r="J13" i="49"/>
  <c r="I13" i="49"/>
  <c r="G13" i="49"/>
  <c r="M16" i="51"/>
  <c r="M15" i="51" s="1"/>
  <c r="M10" i="51" s="1"/>
  <c r="O17" i="51"/>
  <c r="O15" i="50"/>
  <c r="M14" i="50"/>
  <c r="M13" i="50" s="1"/>
  <c r="D14" i="53"/>
  <c r="G15" i="53"/>
  <c r="H15" i="53"/>
  <c r="J15" i="53"/>
  <c r="G37" i="52"/>
  <c r="D36" i="52"/>
  <c r="J37" i="52"/>
  <c r="H37" i="52"/>
  <c r="G66" i="59"/>
  <c r="F65" i="59"/>
  <c r="D20" i="49"/>
  <c r="L20" i="49"/>
  <c r="E19" i="49"/>
  <c r="K36" i="52"/>
  <c r="E35" i="52"/>
  <c r="L17" i="49"/>
  <c r="C15" i="57"/>
  <c r="F31" i="59"/>
  <c r="G32" i="59"/>
  <c r="L14" i="53"/>
  <c r="F13" i="53"/>
  <c r="G18" i="49"/>
  <c r="K18" i="49"/>
  <c r="H18" i="49"/>
  <c r="J18" i="49"/>
  <c r="D17" i="49"/>
  <c r="D23" i="49"/>
  <c r="J24" i="49"/>
  <c r="H24" i="49"/>
  <c r="K24" i="49"/>
  <c r="G24" i="49"/>
  <c r="N25" i="49"/>
  <c r="P26" i="49"/>
  <c r="I26" i="49" s="1"/>
  <c r="D25" i="49"/>
  <c r="K26" i="49"/>
  <c r="H26" i="49"/>
  <c r="G26" i="49"/>
  <c r="J26" i="49"/>
  <c r="M23" i="49"/>
  <c r="F16" i="49"/>
  <c r="P24" i="49"/>
  <c r="N23" i="49"/>
  <c r="J16" i="53"/>
  <c r="C23" i="57"/>
  <c r="E13" i="50"/>
  <c r="K13" i="50" s="1"/>
  <c r="K14" i="50"/>
  <c r="J12" i="49"/>
  <c r="G12" i="49"/>
  <c r="H12" i="49"/>
  <c r="K12" i="49"/>
  <c r="P14" i="50"/>
  <c r="P13" i="50" s="1"/>
  <c r="P10" i="50" s="1"/>
  <c r="L25" i="49"/>
  <c r="C18" i="57"/>
  <c r="R19" i="49"/>
  <c r="R16" i="49" s="1"/>
  <c r="N14" i="53"/>
  <c r="N13" i="53" s="1"/>
  <c r="N10" i="53" s="1"/>
  <c r="P16" i="51"/>
  <c r="P15" i="51" s="1"/>
  <c r="P10" i="51" s="1"/>
  <c r="D14" i="50"/>
  <c r="G15" i="50"/>
  <c r="H15" i="50"/>
  <c r="G15" i="59"/>
  <c r="F13" i="59"/>
  <c r="M14" i="53"/>
  <c r="M13" i="53" s="1"/>
  <c r="M10" i="53" s="1"/>
  <c r="O15" i="53"/>
  <c r="N17" i="49"/>
  <c r="P18" i="49"/>
  <c r="I18" i="49" s="1"/>
  <c r="C50" i="57"/>
  <c r="K14" i="53"/>
  <c r="E13" i="53"/>
  <c r="K13" i="53" s="1"/>
  <c r="O37" i="52"/>
  <c r="M36" i="52"/>
  <c r="M35" i="52" s="1"/>
  <c r="M23" i="52" s="1"/>
  <c r="M10" i="52" s="1"/>
  <c r="L22" i="52"/>
  <c r="D22" i="52"/>
  <c r="F21" i="52"/>
  <c r="H16" i="53"/>
  <c r="G16" i="53"/>
  <c r="I16" i="53"/>
  <c r="H17" i="51"/>
  <c r="G17" i="51"/>
  <c r="D16" i="51"/>
  <c r="N11" i="49"/>
  <c r="P12" i="49"/>
  <c r="U13" i="49"/>
  <c r="R11" i="49"/>
  <c r="H21" i="49"/>
  <c r="G43" i="59"/>
  <c r="F42" i="59"/>
  <c r="K16" i="51"/>
  <c r="C32" i="57"/>
  <c r="E15" i="51"/>
  <c r="K15" i="51" s="1"/>
  <c r="J15" i="50" l="1"/>
  <c r="I37" i="52"/>
  <c r="S37" i="52"/>
  <c r="S36" i="52" s="1"/>
  <c r="S35" i="52" s="1"/>
  <c r="S23" i="52" s="1"/>
  <c r="O36" i="52"/>
  <c r="O35" i="52" s="1"/>
  <c r="O23" i="52" s="1"/>
  <c r="O10" i="52" s="1"/>
  <c r="G65" i="59"/>
  <c r="F59" i="59"/>
  <c r="O14" i="50"/>
  <c r="O13" i="50" s="1"/>
  <c r="S15" i="50"/>
  <c r="S14" i="50" s="1"/>
  <c r="S13" i="50" s="1"/>
  <c r="C16" i="47" s="1"/>
  <c r="C30" i="57"/>
  <c r="J17" i="51"/>
  <c r="G14" i="50"/>
  <c r="J14" i="50"/>
  <c r="H14" i="50"/>
  <c r="D13" i="50"/>
  <c r="P14" i="53"/>
  <c r="P13" i="53" s="1"/>
  <c r="P10" i="53" s="1"/>
  <c r="K23" i="49"/>
  <c r="J23" i="49"/>
  <c r="G23" i="49"/>
  <c r="H23" i="49"/>
  <c r="G31" i="59"/>
  <c r="F25" i="59"/>
  <c r="G25" i="59" s="1"/>
  <c r="I17" i="51"/>
  <c r="S17" i="51"/>
  <c r="S16" i="51" s="1"/>
  <c r="S15" i="51" s="1"/>
  <c r="C19" i="47" s="1"/>
  <c r="O16" i="51"/>
  <c r="O15" i="51" s="1"/>
  <c r="O10" i="51" s="1"/>
  <c r="U12" i="49"/>
  <c r="P11" i="49"/>
  <c r="O19" i="49"/>
  <c r="O16" i="49" s="1"/>
  <c r="O10" i="49" s="1"/>
  <c r="P17" i="49"/>
  <c r="U18" i="49"/>
  <c r="U17" i="49" s="1"/>
  <c r="H17" i="49"/>
  <c r="K17" i="49"/>
  <c r="J17" i="49"/>
  <c r="G17" i="49"/>
  <c r="J36" i="52"/>
  <c r="H36" i="52"/>
  <c r="G36" i="52"/>
  <c r="D35" i="52"/>
  <c r="I36" i="52"/>
  <c r="C48" i="57"/>
  <c r="G42" i="59"/>
  <c r="F36" i="59"/>
  <c r="G36" i="59" s="1"/>
  <c r="R10" i="49"/>
  <c r="E23" i="52"/>
  <c r="K23" i="52" s="1"/>
  <c r="K35" i="52"/>
  <c r="S15" i="53"/>
  <c r="O14" i="53"/>
  <c r="O13" i="53" s="1"/>
  <c r="O10" i="53" s="1"/>
  <c r="C21" i="57"/>
  <c r="G25" i="49"/>
  <c r="K25" i="49"/>
  <c r="J25" i="49"/>
  <c r="H25" i="49"/>
  <c r="U26" i="49"/>
  <c r="U25" i="49" s="1"/>
  <c r="P25" i="49"/>
  <c r="I25" i="49" s="1"/>
  <c r="E16" i="49"/>
  <c r="L16" i="49" s="1"/>
  <c r="C16" i="57"/>
  <c r="C13" i="57" s="1"/>
  <c r="L19" i="49"/>
  <c r="I15" i="53"/>
  <c r="P21" i="49"/>
  <c r="G21" i="49"/>
  <c r="L21" i="52"/>
  <c r="F17" i="52"/>
  <c r="F12" i="59"/>
  <c r="G13" i="59"/>
  <c r="G16" i="51"/>
  <c r="D15" i="51"/>
  <c r="J16" i="51"/>
  <c r="H16" i="51"/>
  <c r="I22" i="52"/>
  <c r="D21" i="52"/>
  <c r="H22" i="52"/>
  <c r="J22" i="52"/>
  <c r="G22" i="52"/>
  <c r="S16" i="53"/>
  <c r="P23" i="49"/>
  <c r="I23" i="49" s="1"/>
  <c r="U24" i="49"/>
  <c r="U23" i="49" s="1"/>
  <c r="I24" i="49"/>
  <c r="F10" i="53"/>
  <c r="L10" i="53" s="1"/>
  <c r="L13" i="53"/>
  <c r="G20" i="49"/>
  <c r="D19" i="49"/>
  <c r="J20" i="49"/>
  <c r="H20" i="49"/>
  <c r="K20" i="49"/>
  <c r="P20" i="49"/>
  <c r="I20" i="49" s="1"/>
  <c r="N19" i="49"/>
  <c r="N16" i="49" s="1"/>
  <c r="N10" i="49" s="1"/>
  <c r="I15" i="50"/>
  <c r="D13" i="53"/>
  <c r="G14" i="53"/>
  <c r="H14" i="53"/>
  <c r="J14" i="53"/>
  <c r="I14" i="53"/>
  <c r="I12" i="49"/>
  <c r="F10" i="49"/>
  <c r="M10" i="49" s="1"/>
  <c r="M16" i="49"/>
  <c r="I16" i="51" l="1"/>
  <c r="I17" i="49"/>
  <c r="G35" i="52"/>
  <c r="D23" i="52"/>
  <c r="H35" i="52"/>
  <c r="I35" i="52"/>
  <c r="J35" i="52"/>
  <c r="U21" i="49"/>
  <c r="I21" i="49"/>
  <c r="J15" i="51"/>
  <c r="I15" i="51"/>
  <c r="H15" i="51"/>
  <c r="G15" i="51"/>
  <c r="C20" i="57"/>
  <c r="I13" i="53"/>
  <c r="J13" i="53"/>
  <c r="H13" i="53"/>
  <c r="G13" i="53"/>
  <c r="S14" i="53"/>
  <c r="S13" i="53" s="1"/>
  <c r="H19" i="49"/>
  <c r="J19" i="49"/>
  <c r="K19" i="49"/>
  <c r="G19" i="49"/>
  <c r="D16" i="49"/>
  <c r="I14" i="50"/>
  <c r="G59" i="59"/>
  <c r="D12" i="53"/>
  <c r="E11" i="53"/>
  <c r="K12" i="53"/>
  <c r="P19" i="49"/>
  <c r="I19" i="49" s="1"/>
  <c r="U20" i="49"/>
  <c r="U19" i="49" s="1"/>
  <c r="U16" i="49" s="1"/>
  <c r="C13" i="47" s="1"/>
  <c r="G13" i="50"/>
  <c r="I13" i="50"/>
  <c r="H13" i="50"/>
  <c r="J13" i="50"/>
  <c r="F11" i="59"/>
  <c r="G12" i="59"/>
  <c r="C22" i="47"/>
  <c r="C20" i="47" s="1"/>
  <c r="S10" i="52"/>
  <c r="J21" i="52"/>
  <c r="G21" i="52"/>
  <c r="I21" i="52"/>
  <c r="H21" i="52"/>
  <c r="L17" i="52"/>
  <c r="F11" i="52"/>
  <c r="H20" i="48"/>
  <c r="E20" i="48" l="1"/>
  <c r="M12" i="48"/>
  <c r="C46" i="109"/>
  <c r="C47" i="57"/>
  <c r="E10" i="53"/>
  <c r="K10" i="53" s="1"/>
  <c r="K11" i="53"/>
  <c r="E21" i="48"/>
  <c r="F20" i="48"/>
  <c r="J20" i="48"/>
  <c r="D14" i="49"/>
  <c r="L14" i="49"/>
  <c r="E11" i="49"/>
  <c r="D12" i="50"/>
  <c r="E11" i="50"/>
  <c r="F10" i="59"/>
  <c r="H30" i="57"/>
  <c r="D32" i="57"/>
  <c r="D30" i="57" s="1"/>
  <c r="F30" i="57" s="1"/>
  <c r="D20" i="52"/>
  <c r="K20" i="52"/>
  <c r="E17" i="52"/>
  <c r="M15" i="48"/>
  <c r="H21" i="48" s="1"/>
  <c r="F10" i="52"/>
  <c r="L10" i="52" s="1"/>
  <c r="L11" i="52"/>
  <c r="C20" i="48"/>
  <c r="M10" i="48"/>
  <c r="K16" i="49"/>
  <c r="J16" i="49"/>
  <c r="G16" i="49"/>
  <c r="H16" i="49"/>
  <c r="H23" i="52"/>
  <c r="I23" i="52"/>
  <c r="G23" i="52"/>
  <c r="J23" i="52"/>
  <c r="M17" i="48"/>
  <c r="M13" i="48"/>
  <c r="P16" i="49"/>
  <c r="P10" i="49" s="1"/>
  <c r="M18" i="48"/>
  <c r="K20" i="48"/>
  <c r="K21" i="48" s="1"/>
  <c r="E10" i="54"/>
  <c r="D11" i="54"/>
  <c r="D10" i="54" s="1"/>
  <c r="I12" i="53"/>
  <c r="G12" i="53"/>
  <c r="D11" i="53"/>
  <c r="H12" i="53"/>
  <c r="J12" i="53"/>
  <c r="D13" i="51"/>
  <c r="E11" i="51"/>
  <c r="C25" i="47"/>
  <c r="S10" i="53"/>
  <c r="H65" i="34"/>
  <c r="H74" i="34"/>
  <c r="G67" i="34"/>
  <c r="H67" i="34"/>
  <c r="I67" i="34"/>
  <c r="H66" i="34"/>
  <c r="H73" i="34"/>
  <c r="H75" i="34"/>
  <c r="G65" i="34"/>
  <c r="H68" i="34"/>
  <c r="G70" i="34"/>
  <c r="G80" i="34"/>
  <c r="G88" i="34"/>
  <c r="H80" i="34"/>
  <c r="I80" i="34"/>
  <c r="I82" i="34"/>
  <c r="G85" i="34"/>
  <c r="G89" i="34"/>
  <c r="H87" i="34"/>
  <c r="I81" i="34"/>
  <c r="G63" i="34"/>
  <c r="I52" i="34"/>
  <c r="G54" i="34"/>
  <c r="H54" i="34"/>
  <c r="H58" i="34"/>
  <c r="I54" i="34"/>
  <c r="H60" i="34"/>
  <c r="G53" i="34"/>
  <c r="G52" i="34"/>
  <c r="H53" i="34"/>
  <c r="G55" i="34"/>
  <c r="I53" i="34"/>
  <c r="H55" i="34"/>
  <c r="H57" i="34"/>
  <c r="G59" i="34"/>
  <c r="I94" i="34"/>
  <c r="J107" i="34"/>
  <c r="K107" i="34"/>
  <c r="K109" i="34"/>
  <c r="K111" i="34"/>
  <c r="K113" i="34"/>
  <c r="K115" i="34"/>
  <c r="M107" i="34"/>
  <c r="M109" i="34"/>
  <c r="M111" i="34"/>
  <c r="M113" i="34"/>
  <c r="M115" i="34"/>
  <c r="I95" i="34"/>
  <c r="J106" i="34"/>
  <c r="J108" i="34"/>
  <c r="J110" i="34"/>
  <c r="K106" i="34"/>
  <c r="K108" i="34"/>
  <c r="K110" i="34"/>
  <c r="K112" i="34"/>
  <c r="K114" i="34"/>
  <c r="K116" i="34"/>
  <c r="M106" i="34"/>
  <c r="M108" i="34"/>
  <c r="M110" i="34"/>
  <c r="M112" i="34"/>
  <c r="M114" i="34"/>
  <c r="M116" i="34"/>
  <c r="H127" i="34"/>
  <c r="G120" i="34"/>
  <c r="H120" i="34"/>
  <c r="D29" i="25"/>
  <c r="I120" i="34"/>
  <c r="G128" i="34"/>
  <c r="G118" i="34"/>
  <c r="I128" i="34"/>
  <c r="G137" i="34"/>
  <c r="G134" i="34"/>
  <c r="H142" i="34"/>
  <c r="H134" i="34"/>
  <c r="G139" i="34"/>
  <c r="G132" i="34"/>
  <c r="G136" i="34"/>
  <c r="G141" i="34"/>
  <c r="G133" i="34"/>
  <c r="G138" i="34"/>
  <c r="G140" i="34"/>
  <c r="G143" i="34"/>
  <c r="G135" i="34"/>
  <c r="G142" i="34"/>
  <c r="H149" i="34"/>
  <c r="I149" i="34"/>
  <c r="H151" i="34"/>
  <c r="I153" i="34"/>
  <c r="H148" i="34"/>
  <c r="H154" i="34"/>
  <c r="I16" i="59"/>
  <c r="D18" i="57"/>
  <c r="M48" i="34"/>
  <c r="K50" i="34"/>
  <c r="L41" i="34"/>
  <c r="M50" i="34"/>
  <c r="M41" i="34"/>
  <c r="K43" i="34"/>
  <c r="J45" i="34"/>
  <c r="M43" i="34"/>
  <c r="K45" i="34"/>
  <c r="K47" i="34"/>
  <c r="M47" i="34"/>
  <c r="K42" i="34"/>
  <c r="M45" i="34"/>
  <c r="L47" i="34"/>
  <c r="K49" i="34"/>
  <c r="J44" i="34"/>
  <c r="J40" i="34"/>
  <c r="K40" i="34"/>
  <c r="J42" i="34"/>
  <c r="M49" i="34"/>
  <c r="M40" i="34"/>
  <c r="K41" i="34"/>
  <c r="L50" i="34"/>
  <c r="M42" i="34"/>
  <c r="K44" i="34"/>
  <c r="M46" i="34"/>
  <c r="L44" i="34"/>
  <c r="K46" i="34"/>
  <c r="J48" i="34"/>
  <c r="M44" i="34"/>
  <c r="K48" i="34"/>
  <c r="L42" i="34"/>
  <c r="L45" i="34"/>
  <c r="L43" i="34"/>
  <c r="L48" i="34"/>
  <c r="L49" i="34"/>
  <c r="L46" i="34"/>
  <c r="L40" i="34"/>
  <c r="I31" i="34"/>
  <c r="G37" i="34"/>
  <c r="H26" i="34"/>
  <c r="G28" i="34"/>
  <c r="H28" i="34"/>
  <c r="I28" i="34"/>
  <c r="H34" i="34"/>
  <c r="G36" i="34"/>
  <c r="G29" i="34"/>
  <c r="H27" i="34"/>
  <c r="H29" i="34"/>
  <c r="G31" i="34"/>
  <c r="D16" i="57"/>
  <c r="I22" i="59"/>
  <c r="I45" i="59"/>
  <c r="I15" i="59"/>
  <c r="H16" i="59"/>
  <c r="H22" i="59"/>
  <c r="H15" i="59"/>
  <c r="H45" i="59"/>
  <c r="D12" i="57"/>
  <c r="L20" i="59"/>
  <c r="Q11" i="50"/>
  <c r="Q10" i="50" s="1"/>
  <c r="I156" i="34" l="1"/>
  <c r="O30" i="25"/>
  <c r="H136" i="34"/>
  <c r="H128" i="34"/>
  <c r="I63" i="34"/>
  <c r="G71" i="34"/>
  <c r="G35" i="34"/>
  <c r="H139" i="34"/>
  <c r="G122" i="34"/>
  <c r="I129" i="34"/>
  <c r="G123" i="34"/>
  <c r="H79" i="34"/>
  <c r="H78" i="34"/>
  <c r="G33" i="34"/>
  <c r="M30" i="25"/>
  <c r="I102" i="34"/>
  <c r="G68" i="34"/>
  <c r="I26" i="34"/>
  <c r="H153" i="34"/>
  <c r="H126" i="34"/>
  <c r="G57" i="34"/>
  <c r="G62" i="34"/>
  <c r="H71" i="34"/>
  <c r="I74" i="34"/>
  <c r="G34" i="34"/>
  <c r="H152" i="34"/>
  <c r="H150" i="34"/>
  <c r="I151" i="34"/>
  <c r="G60" i="34"/>
  <c r="H59" i="34"/>
  <c r="I69" i="34"/>
  <c r="I72" i="34"/>
  <c r="G72" i="34"/>
  <c r="I123" i="34"/>
  <c r="I97" i="34"/>
  <c r="I96" i="34"/>
  <c r="I57" i="34"/>
  <c r="I83" i="34"/>
  <c r="G83" i="34"/>
  <c r="G84" i="34"/>
  <c r="G66" i="34"/>
  <c r="G27" i="34"/>
  <c r="G30" i="25"/>
  <c r="I55" i="34"/>
  <c r="G81" i="34"/>
  <c r="G82" i="34"/>
  <c r="G69" i="34"/>
  <c r="H35" i="34"/>
  <c r="I158" i="34"/>
  <c r="H135" i="34"/>
  <c r="G121" i="34"/>
  <c r="M117" i="34"/>
  <c r="I93" i="34"/>
  <c r="D30" i="25"/>
  <c r="H133" i="34"/>
  <c r="I119" i="34"/>
  <c r="H89" i="34"/>
  <c r="H88" i="34"/>
  <c r="K38" i="59"/>
  <c r="H39" i="59"/>
  <c r="E50" i="34"/>
  <c r="H50" i="34" s="1"/>
  <c r="H24" i="34"/>
  <c r="K12" i="34"/>
  <c r="K39" i="34"/>
  <c r="K38" i="34" s="1"/>
  <c r="F46" i="34"/>
  <c r="I46" i="34" s="1"/>
  <c r="I20" i="34"/>
  <c r="D49" i="34"/>
  <c r="G49" i="34" s="1"/>
  <c r="G23" i="34"/>
  <c r="H157" i="34"/>
  <c r="U14" i="49"/>
  <c r="U11" i="49" s="1"/>
  <c r="Q11" i="49"/>
  <c r="Q10" i="49" s="1"/>
  <c r="I21" i="34"/>
  <c r="F47" i="34"/>
  <c r="I47" i="34" s="1"/>
  <c r="I152" i="34"/>
  <c r="G155" i="34"/>
  <c r="O31" i="25"/>
  <c r="G21" i="57"/>
  <c r="I23" i="57"/>
  <c r="E23" i="57"/>
  <c r="I32" i="57"/>
  <c r="G30" i="57"/>
  <c r="G28" i="57" s="1"/>
  <c r="E32" i="57"/>
  <c r="I36" i="34"/>
  <c r="M25" i="34"/>
  <c r="H32" i="34"/>
  <c r="I29" i="34"/>
  <c r="I24" i="34"/>
  <c r="F50" i="34"/>
  <c r="I50" i="34" s="1"/>
  <c r="H22" i="34"/>
  <c r="E48" i="34"/>
  <c r="H48" i="34" s="1"/>
  <c r="I19" i="34"/>
  <c r="F45" i="34"/>
  <c r="I45" i="34" s="1"/>
  <c r="J47" i="34"/>
  <c r="O27" i="25" s="1"/>
  <c r="O26" i="25" s="1"/>
  <c r="I150" i="34"/>
  <c r="M146" i="34"/>
  <c r="I154" i="34"/>
  <c r="I118" i="34"/>
  <c r="I126" i="34"/>
  <c r="H124" i="34"/>
  <c r="I127" i="34"/>
  <c r="T29" i="25"/>
  <c r="I101" i="34"/>
  <c r="G101" i="34"/>
  <c r="D114" i="34"/>
  <c r="G114" i="34" s="1"/>
  <c r="I100" i="34"/>
  <c r="G102" i="34"/>
  <c r="D115" i="34"/>
  <c r="G115" i="34" s="1"/>
  <c r="M51" i="34"/>
  <c r="I56" i="34"/>
  <c r="I61" i="34"/>
  <c r="G61" i="34"/>
  <c r="I87" i="34"/>
  <c r="G87" i="34"/>
  <c r="I86" i="34"/>
  <c r="G74" i="34"/>
  <c r="J11" i="53"/>
  <c r="G11" i="53"/>
  <c r="D10" i="53"/>
  <c r="I11" i="53"/>
  <c r="H11" i="53"/>
  <c r="J12" i="50"/>
  <c r="D11" i="50"/>
  <c r="I12" i="57"/>
  <c r="F48" i="34"/>
  <c r="I48" i="34" s="1"/>
  <c r="I22" i="34"/>
  <c r="H18" i="34"/>
  <c r="E44" i="34"/>
  <c r="H44" i="34" s="1"/>
  <c r="I23" i="34"/>
  <c r="F49" i="34"/>
  <c r="I49" i="34" s="1"/>
  <c r="I20" i="59"/>
  <c r="K17" i="59"/>
  <c r="H17" i="59" s="1"/>
  <c r="H18" i="59"/>
  <c r="D15" i="57"/>
  <c r="D13" i="57" s="1"/>
  <c r="H13" i="57"/>
  <c r="H11" i="57" s="1"/>
  <c r="G26" i="34"/>
  <c r="H30" i="34"/>
  <c r="I27" i="34"/>
  <c r="R27" i="25"/>
  <c r="J43" i="34"/>
  <c r="H27" i="25"/>
  <c r="F39" i="34"/>
  <c r="I39" i="34" s="1"/>
  <c r="I13" i="34"/>
  <c r="D31" i="25"/>
  <c r="G148" i="34"/>
  <c r="H155" i="34"/>
  <c r="G152" i="34"/>
  <c r="I31" i="25"/>
  <c r="F30" i="25"/>
  <c r="I124" i="34"/>
  <c r="H122" i="34"/>
  <c r="I125" i="34"/>
  <c r="I99" i="34"/>
  <c r="G99" i="34"/>
  <c r="D112" i="34"/>
  <c r="G112" i="34" s="1"/>
  <c r="I98" i="34"/>
  <c r="G100" i="34"/>
  <c r="D113" i="34"/>
  <c r="G113" i="34" s="1"/>
  <c r="G58" i="34"/>
  <c r="I85" i="34"/>
  <c r="I84" i="34"/>
  <c r="G86" i="34"/>
  <c r="K64" i="34"/>
  <c r="L11" i="49"/>
  <c r="E10" i="49"/>
  <c r="L10" i="49" s="1"/>
  <c r="C12" i="57"/>
  <c r="G15" i="34"/>
  <c r="D41" i="34"/>
  <c r="G41" i="34" s="1"/>
  <c r="D44" i="34"/>
  <c r="G44" i="34" s="1"/>
  <c r="G18" i="34"/>
  <c r="G16" i="34"/>
  <c r="D42" i="34"/>
  <c r="G42" i="34" s="1"/>
  <c r="G147" i="34"/>
  <c r="C31" i="25"/>
  <c r="J146" i="34"/>
  <c r="K30" i="25"/>
  <c r="M131" i="34"/>
  <c r="M130" i="34" s="1"/>
  <c r="I122" i="34"/>
  <c r="G119" i="34"/>
  <c r="D110" i="34"/>
  <c r="G110" i="34" s="1"/>
  <c r="G97" i="34"/>
  <c r="G98" i="34"/>
  <c r="D111" i="34"/>
  <c r="G111" i="34" s="1"/>
  <c r="H62" i="34"/>
  <c r="K51" i="34"/>
  <c r="G56" i="34"/>
  <c r="I76" i="34"/>
  <c r="H70" i="34"/>
  <c r="K17" i="52"/>
  <c r="E11" i="52"/>
  <c r="E49" i="34"/>
  <c r="H49" i="34" s="1"/>
  <c r="H23" i="34"/>
  <c r="D109" i="34"/>
  <c r="G109" i="34" s="1"/>
  <c r="G96" i="34"/>
  <c r="I71" i="34"/>
  <c r="I65" i="34"/>
  <c r="I68" i="34"/>
  <c r="I16" i="49"/>
  <c r="K14" i="49"/>
  <c r="I14" i="49"/>
  <c r="H14" i="49"/>
  <c r="J14" i="49"/>
  <c r="G14" i="49"/>
  <c r="D11" i="49"/>
  <c r="K23" i="59"/>
  <c r="H23" i="59" s="1"/>
  <c r="H24" i="59"/>
  <c r="S13" i="51"/>
  <c r="S11" i="51" s="1"/>
  <c r="Q11" i="51"/>
  <c r="Q10" i="51" s="1"/>
  <c r="K20" i="59"/>
  <c r="E46" i="34"/>
  <c r="H46" i="34" s="1"/>
  <c r="H20" i="34"/>
  <c r="H14" i="34"/>
  <c r="E40" i="34"/>
  <c r="H40" i="34" s="1"/>
  <c r="H31" i="25"/>
  <c r="G151" i="34"/>
  <c r="I121" i="34"/>
  <c r="D108" i="34"/>
  <c r="G108" i="34" s="1"/>
  <c r="G95" i="34"/>
  <c r="L38" i="59"/>
  <c r="I39" i="59"/>
  <c r="L43" i="59"/>
  <c r="I44" i="59"/>
  <c r="I32" i="34"/>
  <c r="H33" i="34"/>
  <c r="F44" i="34"/>
  <c r="I44" i="34" s="1"/>
  <c r="I18" i="34"/>
  <c r="I14" i="34"/>
  <c r="F40" i="34"/>
  <c r="I40" i="34" s="1"/>
  <c r="K27" i="25"/>
  <c r="H19" i="34"/>
  <c r="E45" i="34"/>
  <c r="H45" i="34" s="1"/>
  <c r="G154" i="34"/>
  <c r="M31" i="25"/>
  <c r="H147" i="34"/>
  <c r="R30" i="25"/>
  <c r="H141" i="34"/>
  <c r="H132" i="34"/>
  <c r="G129" i="34"/>
  <c r="C29" i="25"/>
  <c r="J117" i="34"/>
  <c r="G93" i="34"/>
  <c r="D106" i="34"/>
  <c r="G106" i="34" s="1"/>
  <c r="K105" i="34"/>
  <c r="K104" i="34" s="1"/>
  <c r="K91" i="34"/>
  <c r="I92" i="34"/>
  <c r="G94" i="34"/>
  <c r="D107" i="34"/>
  <c r="G107" i="34" s="1"/>
  <c r="I79" i="34"/>
  <c r="G79" i="34"/>
  <c r="K77" i="34"/>
  <c r="I78" i="34"/>
  <c r="I75" i="34"/>
  <c r="G76" i="34"/>
  <c r="I20" i="52"/>
  <c r="H20" i="52"/>
  <c r="G20" i="52"/>
  <c r="J20" i="52"/>
  <c r="D17" i="52"/>
  <c r="J21" i="48"/>
  <c r="E42" i="34"/>
  <c r="H42" i="34" s="1"/>
  <c r="H16" i="34"/>
  <c r="M39" i="34"/>
  <c r="M38" i="34" s="1"/>
  <c r="M12" i="34"/>
  <c r="I157" i="34"/>
  <c r="G27" i="25"/>
  <c r="J116" i="34"/>
  <c r="U28" i="25" s="1"/>
  <c r="E116" i="34"/>
  <c r="H116" i="34" s="1"/>
  <c r="H103" i="34"/>
  <c r="J115" i="34"/>
  <c r="T28" i="25" s="1"/>
  <c r="E115" i="34"/>
  <c r="H115" i="34" s="1"/>
  <c r="H102" i="34"/>
  <c r="L77" i="34"/>
  <c r="I73" i="34"/>
  <c r="F21" i="48"/>
  <c r="I30" i="34"/>
  <c r="H15" i="34"/>
  <c r="E41" i="34"/>
  <c r="H41" i="34" s="1"/>
  <c r="D50" i="34"/>
  <c r="G50" i="34" s="1"/>
  <c r="G24" i="34"/>
  <c r="U29" i="25"/>
  <c r="R29" i="25"/>
  <c r="K13" i="59"/>
  <c r="H14" i="59"/>
  <c r="L13" i="59"/>
  <c r="I14" i="59"/>
  <c r="H37" i="34"/>
  <c r="I37" i="34"/>
  <c r="H13" i="34"/>
  <c r="E39" i="34"/>
  <c r="H39" i="34" s="1"/>
  <c r="E47" i="34"/>
  <c r="H47" i="34" s="1"/>
  <c r="H21" i="34"/>
  <c r="G150" i="34"/>
  <c r="G31" i="25"/>
  <c r="I155" i="34"/>
  <c r="U31" i="25"/>
  <c r="G158" i="34"/>
  <c r="U30" i="25"/>
  <c r="H143" i="34"/>
  <c r="H138" i="34"/>
  <c r="O29" i="25"/>
  <c r="G127" i="34"/>
  <c r="M29" i="25"/>
  <c r="J114" i="34"/>
  <c r="R28" i="25"/>
  <c r="H101" i="34"/>
  <c r="E114" i="34"/>
  <c r="H114" i="34" s="1"/>
  <c r="J113" i="34"/>
  <c r="O28" i="25" s="1"/>
  <c r="H100" i="34"/>
  <c r="E113" i="34"/>
  <c r="H113" i="34" s="1"/>
  <c r="H52" i="34"/>
  <c r="H61" i="34"/>
  <c r="H86" i="34"/>
  <c r="G75" i="34"/>
  <c r="M64" i="34"/>
  <c r="H69" i="34"/>
  <c r="C23" i="47"/>
  <c r="G22" i="34"/>
  <c r="D48" i="34"/>
  <c r="G48" i="34" s="1"/>
  <c r="I18" i="57"/>
  <c r="E18" i="57"/>
  <c r="L25" i="34"/>
  <c r="L17" i="59"/>
  <c r="I17" i="59" s="1"/>
  <c r="I18" i="59"/>
  <c r="K25" i="34"/>
  <c r="L39" i="34"/>
  <c r="L38" i="34" s="1"/>
  <c r="L12" i="34"/>
  <c r="I17" i="34"/>
  <c r="F43" i="34"/>
  <c r="I43" i="34" s="1"/>
  <c r="D27" i="25"/>
  <c r="G14" i="34"/>
  <c r="D40" i="34"/>
  <c r="G40" i="34" s="1"/>
  <c r="D47" i="34"/>
  <c r="G47" i="34" s="1"/>
  <c r="G21" i="34"/>
  <c r="G153" i="34"/>
  <c r="K31" i="25"/>
  <c r="K146" i="34"/>
  <c r="H30" i="25"/>
  <c r="T30" i="25"/>
  <c r="I30" i="25"/>
  <c r="J131" i="34"/>
  <c r="J130" i="34" s="1"/>
  <c r="C30" i="25"/>
  <c r="L117" i="34"/>
  <c r="K29" i="25"/>
  <c r="G126" i="34"/>
  <c r="G125" i="34"/>
  <c r="I29" i="25"/>
  <c r="H125" i="34"/>
  <c r="J112" i="34"/>
  <c r="M28" i="25" s="1"/>
  <c r="H99" i="34"/>
  <c r="E112" i="34"/>
  <c r="H112" i="34" s="1"/>
  <c r="J111" i="34"/>
  <c r="K28" i="25"/>
  <c r="H98" i="34"/>
  <c r="E111" i="34"/>
  <c r="H111" i="34" s="1"/>
  <c r="I62" i="34"/>
  <c r="L51" i="34"/>
  <c r="H56" i="34"/>
  <c r="I59" i="34"/>
  <c r="H85" i="34"/>
  <c r="H84" i="34"/>
  <c r="G73" i="34"/>
  <c r="H72" i="34"/>
  <c r="E10" i="51"/>
  <c r="K10" i="51" s="1"/>
  <c r="C29" i="57"/>
  <c r="K11" i="51"/>
  <c r="J25" i="34"/>
  <c r="I33" i="34"/>
  <c r="L146" i="34"/>
  <c r="D11" i="57"/>
  <c r="H36" i="34"/>
  <c r="G32" i="34"/>
  <c r="I34" i="34"/>
  <c r="I35" i="34"/>
  <c r="G30" i="34"/>
  <c r="J50" i="34"/>
  <c r="U27" i="25" s="1"/>
  <c r="I15" i="34"/>
  <c r="F41" i="34"/>
  <c r="I41" i="34" s="1"/>
  <c r="I27" i="25"/>
  <c r="I26" i="25" s="1"/>
  <c r="G20" i="34"/>
  <c r="D46" i="34"/>
  <c r="G46" i="34" s="1"/>
  <c r="D39" i="34"/>
  <c r="G39" i="34" s="1"/>
  <c r="G13" i="34"/>
  <c r="D45" i="34"/>
  <c r="G45" i="34" s="1"/>
  <c r="G19" i="34"/>
  <c r="G157" i="34"/>
  <c r="T31" i="25"/>
  <c r="I148" i="34"/>
  <c r="H158" i="34"/>
  <c r="I147" i="34"/>
  <c r="H140" i="34"/>
  <c r="H137" i="34"/>
  <c r="F29" i="25"/>
  <c r="H29" i="25"/>
  <c r="G124" i="34"/>
  <c r="H119" i="34"/>
  <c r="G29" i="25"/>
  <c r="H123" i="34"/>
  <c r="I28" i="25"/>
  <c r="E110" i="34"/>
  <c r="H110" i="34" s="1"/>
  <c r="H97" i="34"/>
  <c r="J109" i="34"/>
  <c r="H28" i="25"/>
  <c r="H96" i="34"/>
  <c r="E109" i="34"/>
  <c r="H109" i="34" s="1"/>
  <c r="I60" i="34"/>
  <c r="H83" i="34"/>
  <c r="H82" i="34"/>
  <c r="J64" i="34"/>
  <c r="I70" i="34"/>
  <c r="K13" i="51"/>
  <c r="E43" i="34"/>
  <c r="H43" i="34" s="1"/>
  <c r="H17" i="34"/>
  <c r="H121" i="34"/>
  <c r="G28" i="25"/>
  <c r="H95" i="34"/>
  <c r="E108" i="34"/>
  <c r="H108" i="34" s="1"/>
  <c r="F28" i="25"/>
  <c r="H94" i="34"/>
  <c r="E107" i="34"/>
  <c r="H107" i="34" s="1"/>
  <c r="J51" i="34"/>
  <c r="H81" i="34"/>
  <c r="L64" i="34"/>
  <c r="I66" i="34"/>
  <c r="H76" i="34"/>
  <c r="H13" i="51"/>
  <c r="G13" i="51"/>
  <c r="I13" i="51"/>
  <c r="J13" i="51"/>
  <c r="D11" i="51"/>
  <c r="M20" i="48"/>
  <c r="M21" i="48"/>
  <c r="C21" i="48"/>
  <c r="C46" i="57"/>
  <c r="F42" i="34"/>
  <c r="I42" i="34" s="1"/>
  <c r="I16" i="34"/>
  <c r="G156" i="34"/>
  <c r="R31" i="25"/>
  <c r="G13" i="57"/>
  <c r="G11" i="57" s="1"/>
  <c r="I15" i="57"/>
  <c r="E15" i="57"/>
  <c r="I16" i="57"/>
  <c r="E16" i="57"/>
  <c r="K117" i="34"/>
  <c r="L91" i="34"/>
  <c r="L90" i="34" s="1"/>
  <c r="D28" i="25"/>
  <c r="E106" i="34"/>
  <c r="H106" i="34" s="1"/>
  <c r="H93" i="34"/>
  <c r="M91" i="34"/>
  <c r="M105" i="34"/>
  <c r="M104" i="34" s="1"/>
  <c r="J91" i="34"/>
  <c r="J105" i="34"/>
  <c r="C28" i="25" s="1"/>
  <c r="E105" i="34"/>
  <c r="H105" i="34" s="1"/>
  <c r="H92" i="34"/>
  <c r="M77" i="34"/>
  <c r="J77" i="34"/>
  <c r="K12" i="50"/>
  <c r="D23" i="57"/>
  <c r="D21" i="57" s="1"/>
  <c r="H21" i="57"/>
  <c r="H20" i="57" s="1"/>
  <c r="L23" i="59"/>
  <c r="I23" i="59" s="1"/>
  <c r="I24" i="59"/>
  <c r="J41" i="34"/>
  <c r="F27" i="25"/>
  <c r="K131" i="34"/>
  <c r="K130" i="34" s="1"/>
  <c r="H31" i="34"/>
  <c r="D43" i="34"/>
  <c r="G43" i="34" s="1"/>
  <c r="G17" i="34"/>
  <c r="J46" i="34"/>
  <c r="M27" i="25" s="1"/>
  <c r="M26" i="25" s="1"/>
  <c r="J49" i="34"/>
  <c r="T27" i="25" s="1"/>
  <c r="J12" i="34"/>
  <c r="J39" i="34"/>
  <c r="C27" i="25" s="1"/>
  <c r="G149" i="34"/>
  <c r="F31" i="25"/>
  <c r="H156" i="34"/>
  <c r="H129" i="34"/>
  <c r="H118" i="34"/>
  <c r="I103" i="34"/>
  <c r="D116" i="34"/>
  <c r="G116" i="34" s="1"/>
  <c r="G103" i="34"/>
  <c r="D105" i="34"/>
  <c r="G105" i="34" s="1"/>
  <c r="G92" i="34"/>
  <c r="I58" i="34"/>
  <c r="H63" i="34"/>
  <c r="I89" i="34"/>
  <c r="I88" i="34"/>
  <c r="G78" i="34"/>
  <c r="E10" i="50"/>
  <c r="K10" i="50" s="1"/>
  <c r="K11" i="50"/>
  <c r="C46" i="65"/>
  <c r="I29" i="57"/>
  <c r="F14" i="124"/>
  <c r="D14" i="124" s="1"/>
  <c r="U26" i="25" l="1"/>
  <c r="F13" i="57"/>
  <c r="F47" i="22"/>
  <c r="G26" i="25"/>
  <c r="O43" i="25"/>
  <c r="O39" i="25" s="1"/>
  <c r="O10" i="25"/>
  <c r="O47" i="22"/>
  <c r="D22" i="73"/>
  <c r="E22" i="73" s="1"/>
  <c r="I11" i="57"/>
  <c r="U43" i="25"/>
  <c r="U39" i="25" s="1"/>
  <c r="U10" i="25"/>
  <c r="T26" i="25"/>
  <c r="M43" i="25"/>
  <c r="M39" i="25" s="1"/>
  <c r="M10" i="25"/>
  <c r="L32" i="59"/>
  <c r="I33" i="59"/>
  <c r="J282" i="56"/>
  <c r="G307" i="56"/>
  <c r="G282" i="56" s="1"/>
  <c r="I11" i="51"/>
  <c r="H11" i="51"/>
  <c r="G11" i="51"/>
  <c r="D10" i="51"/>
  <c r="J11" i="51"/>
  <c r="F26" i="25"/>
  <c r="L37" i="59"/>
  <c r="E18" i="47" s="1"/>
  <c r="I38" i="59"/>
  <c r="C18" i="47"/>
  <c r="S10" i="51"/>
  <c r="C12" i="47"/>
  <c r="U10" i="49"/>
  <c r="F11" i="57"/>
  <c r="I30" i="57"/>
  <c r="E30" i="57"/>
  <c r="G10" i="25"/>
  <c r="G43" i="25"/>
  <c r="G39" i="25" s="1"/>
  <c r="K26" i="25"/>
  <c r="J104" i="34"/>
  <c r="J90" i="34" s="1"/>
  <c r="L50" i="59"/>
  <c r="I51" i="59"/>
  <c r="I43" i="25"/>
  <c r="I39" i="25" s="1"/>
  <c r="I10" i="25"/>
  <c r="G11" i="49"/>
  <c r="K11" i="49"/>
  <c r="D10" i="49"/>
  <c r="H11" i="49"/>
  <c r="I11" i="49"/>
  <c r="J11" i="49"/>
  <c r="K32" i="59"/>
  <c r="H33" i="59"/>
  <c r="C10" i="127"/>
  <c r="M90" i="34"/>
  <c r="M11" i="34"/>
  <c r="F48" i="22"/>
  <c r="K50" i="59"/>
  <c r="H51" i="59"/>
  <c r="C26" i="25"/>
  <c r="C43" i="25" s="1"/>
  <c r="F46" i="22"/>
  <c r="J38" i="34"/>
  <c r="J11" i="34" s="1"/>
  <c r="J10" i="34" s="1"/>
  <c r="H28" i="57"/>
  <c r="D29" i="57"/>
  <c r="D28" i="57" s="1"/>
  <c r="C30" i="47"/>
  <c r="I32" i="47"/>
  <c r="L12" i="59"/>
  <c r="E12" i="47" s="1"/>
  <c r="I13" i="59"/>
  <c r="K11" i="52"/>
  <c r="E10" i="52"/>
  <c r="K10" i="52" s="1"/>
  <c r="C11" i="57"/>
  <c r="E12" i="57"/>
  <c r="I28" i="57"/>
  <c r="G20" i="57"/>
  <c r="I21" i="57"/>
  <c r="E21" i="57"/>
  <c r="J415" i="56"/>
  <c r="J423" i="56"/>
  <c r="J416" i="56" s="1"/>
  <c r="G427" i="56"/>
  <c r="I13" i="57"/>
  <c r="E13" i="47" s="1"/>
  <c r="E13" i="57"/>
  <c r="K43" i="59"/>
  <c r="H44" i="59"/>
  <c r="F21" i="57"/>
  <c r="D20" i="57"/>
  <c r="F20" i="57" s="1"/>
  <c r="E29" i="57"/>
  <c r="C28" i="57"/>
  <c r="E28" i="57" s="1"/>
  <c r="F49" i="22"/>
  <c r="D26" i="25"/>
  <c r="H26" i="25"/>
  <c r="L19" i="59"/>
  <c r="I19" i="59" s="1"/>
  <c r="E30" i="47"/>
  <c r="E50" i="109" s="1"/>
  <c r="E50" i="65" s="1"/>
  <c r="P49" i="70" s="1"/>
  <c r="Q49" i="70" s="1"/>
  <c r="I31" i="47"/>
  <c r="C47" i="109"/>
  <c r="K12" i="59"/>
  <c r="H13" i="59"/>
  <c r="D10" i="50"/>
  <c r="J10" i="50" s="1"/>
  <c r="J11" i="50"/>
  <c r="K11" i="34"/>
  <c r="D45" i="70"/>
  <c r="E45" i="70" s="1"/>
  <c r="R26" i="25"/>
  <c r="J302" i="56"/>
  <c r="J281" i="56"/>
  <c r="G306" i="56"/>
  <c r="G281" i="56" s="1"/>
  <c r="L11" i="34"/>
  <c r="L10" i="34" s="1"/>
  <c r="I17" i="52"/>
  <c r="G17" i="52"/>
  <c r="J17" i="52"/>
  <c r="H17" i="52"/>
  <c r="D11" i="52"/>
  <c r="F50" i="22"/>
  <c r="L42" i="59"/>
  <c r="I42" i="59" s="1"/>
  <c r="I43" i="59"/>
  <c r="K19" i="59"/>
  <c r="H20" i="59"/>
  <c r="K90" i="34"/>
  <c r="I10" i="53"/>
  <c r="G10" i="53"/>
  <c r="J10" i="53"/>
  <c r="H10" i="53"/>
  <c r="K37" i="59"/>
  <c r="H38" i="59"/>
  <c r="F11" i="126"/>
  <c r="F10" i="126" s="1"/>
  <c r="G10" i="126"/>
  <c r="H10" i="126"/>
  <c r="C30" i="128"/>
  <c r="C67" i="109"/>
  <c r="F16" i="124"/>
  <c r="D16" i="124" s="1"/>
  <c r="C23" i="128" l="1"/>
  <c r="E11" i="47"/>
  <c r="K10" i="34"/>
  <c r="E43" i="109"/>
  <c r="E43" i="65" s="1"/>
  <c r="P42" i="70" s="1"/>
  <c r="Q42" i="70" s="1"/>
  <c r="I11" i="52"/>
  <c r="J11" i="52"/>
  <c r="D10" i="52"/>
  <c r="G11" i="52"/>
  <c r="H11" i="52"/>
  <c r="D13" i="47"/>
  <c r="I13" i="47" s="1"/>
  <c r="H19" i="59"/>
  <c r="J295" i="56"/>
  <c r="J277" i="56"/>
  <c r="G302" i="56"/>
  <c r="K11" i="59"/>
  <c r="D12" i="47"/>
  <c r="H12" i="59"/>
  <c r="K31" i="59"/>
  <c r="H32" i="59"/>
  <c r="O67" i="109"/>
  <c r="C66" i="65"/>
  <c r="R10" i="25"/>
  <c r="R43" i="25"/>
  <c r="R39" i="25" s="1"/>
  <c r="C10" i="57"/>
  <c r="E11" i="57"/>
  <c r="K10" i="25"/>
  <c r="K43" i="25"/>
  <c r="K39" i="25" s="1"/>
  <c r="L36" i="59"/>
  <c r="I36" i="59" s="1"/>
  <c r="I37" i="59"/>
  <c r="C47" i="65"/>
  <c r="K42" i="59"/>
  <c r="K36" i="59" s="1"/>
  <c r="H36" i="59" s="1"/>
  <c r="H43" i="59"/>
  <c r="K49" i="59"/>
  <c r="H50" i="59"/>
  <c r="F10" i="25"/>
  <c r="F43" i="25"/>
  <c r="F39" i="25" s="1"/>
  <c r="M11" i="50"/>
  <c r="O12" i="50"/>
  <c r="G12" i="50"/>
  <c r="T43" i="25"/>
  <c r="T39" i="25" s="1"/>
  <c r="T10" i="25"/>
  <c r="R49" i="70"/>
  <c r="N11" i="50"/>
  <c r="H12" i="50"/>
  <c r="G10" i="51"/>
  <c r="J10" i="51"/>
  <c r="H10" i="51"/>
  <c r="I10" i="51"/>
  <c r="G11" i="124"/>
  <c r="F13" i="124"/>
  <c r="C11" i="126"/>
  <c r="G423" i="56"/>
  <c r="G415" i="56"/>
  <c r="L11" i="59"/>
  <c r="I12" i="59"/>
  <c r="J10" i="49"/>
  <c r="K10" i="49"/>
  <c r="H10" i="49"/>
  <c r="I10" i="49"/>
  <c r="G10" i="49"/>
  <c r="E19" i="47"/>
  <c r="E17" i="47" s="1"/>
  <c r="E45" i="109" s="1"/>
  <c r="E45" i="65" s="1"/>
  <c r="P44" i="70" s="1"/>
  <c r="Q44" i="70" s="1"/>
  <c r="D18" i="47"/>
  <c r="H37" i="59"/>
  <c r="O48" i="22"/>
  <c r="D23" i="73"/>
  <c r="E23" i="73" s="1"/>
  <c r="H10" i="25"/>
  <c r="H43" i="25"/>
  <c r="H39" i="25" s="1"/>
  <c r="M10" i="34"/>
  <c r="C21" i="128"/>
  <c r="C10" i="128" s="1"/>
  <c r="F45" i="70"/>
  <c r="D10" i="25"/>
  <c r="D43" i="25"/>
  <c r="D39" i="25" s="1"/>
  <c r="J331" i="56"/>
  <c r="J327" i="56" s="1"/>
  <c r="J320" i="56" s="1"/>
  <c r="D22" i="47" s="1"/>
  <c r="I22" i="47" s="1"/>
  <c r="J411" i="56"/>
  <c r="J404" i="56" s="1"/>
  <c r="C50" i="109"/>
  <c r="I30" i="47"/>
  <c r="D24" i="73"/>
  <c r="E24" i="73" s="1"/>
  <c r="O49" i="22"/>
  <c r="F28" i="57"/>
  <c r="F22" i="73"/>
  <c r="C11" i="47"/>
  <c r="I12" i="47"/>
  <c r="D12" i="1"/>
  <c r="I20" i="57"/>
  <c r="E20" i="57"/>
  <c r="O50" i="22"/>
  <c r="D25" i="73"/>
  <c r="E25" i="73" s="1"/>
  <c r="F45" i="22"/>
  <c r="O46" i="22"/>
  <c r="D21" i="73"/>
  <c r="E21" i="73" s="1"/>
  <c r="L49" i="59"/>
  <c r="I50" i="59"/>
  <c r="C17" i="47"/>
  <c r="I18" i="47"/>
  <c r="L31" i="59"/>
  <c r="I32" i="59"/>
  <c r="F18" i="124"/>
  <c r="R44" i="70" l="1"/>
  <c r="D18" i="124"/>
  <c r="D17" i="124" s="1"/>
  <c r="F17" i="124"/>
  <c r="G17" i="124" s="1"/>
  <c r="G10" i="124" s="1"/>
  <c r="C29" i="47" s="1"/>
  <c r="K48" i="59"/>
  <c r="H48" i="59" s="1"/>
  <c r="H49" i="59"/>
  <c r="D65" i="70"/>
  <c r="E65" i="70" s="1"/>
  <c r="K66" i="65"/>
  <c r="O50" i="109"/>
  <c r="C50" i="65"/>
  <c r="F23" i="73"/>
  <c r="I11" i="59"/>
  <c r="D19" i="47"/>
  <c r="I19" i="47" s="1"/>
  <c r="H42" i="59"/>
  <c r="N10" i="50"/>
  <c r="H10" i="50" s="1"/>
  <c r="H11" i="50"/>
  <c r="G411" i="56"/>
  <c r="G331" i="56"/>
  <c r="G327" i="56" s="1"/>
  <c r="I10" i="52"/>
  <c r="G10" i="52"/>
  <c r="J10" i="52"/>
  <c r="H10" i="52"/>
  <c r="F24" i="73"/>
  <c r="L25" i="59"/>
  <c r="I25" i="59" s="1"/>
  <c r="I31" i="59"/>
  <c r="D16" i="47"/>
  <c r="K25" i="59"/>
  <c r="H25" i="59" s="1"/>
  <c r="H31" i="59"/>
  <c r="C43" i="109"/>
  <c r="W43" i="25"/>
  <c r="J12" i="1"/>
  <c r="D11" i="1"/>
  <c r="D46" i="70"/>
  <c r="E46" i="70" s="1"/>
  <c r="L48" i="59"/>
  <c r="I48" i="59" s="1"/>
  <c r="E21" i="47"/>
  <c r="E20" i="47" s="1"/>
  <c r="E46" i="109" s="1"/>
  <c r="E46" i="65" s="1"/>
  <c r="P45" i="70" s="1"/>
  <c r="Q45" i="70" s="1"/>
  <c r="I49" i="59"/>
  <c r="C10" i="126"/>
  <c r="F21" i="73"/>
  <c r="E16" i="47"/>
  <c r="E14" i="47" s="1"/>
  <c r="D17" i="47"/>
  <c r="D45" i="109" s="1"/>
  <c r="D45" i="65" s="1"/>
  <c r="J44" i="70" s="1"/>
  <c r="K44" i="70" s="1"/>
  <c r="F11" i="124"/>
  <c r="F10" i="124" s="1"/>
  <c r="D13" i="124"/>
  <c r="D11" i="124" s="1"/>
  <c r="D10" i="124" s="1"/>
  <c r="S12" i="50"/>
  <c r="S11" i="50" s="1"/>
  <c r="O11" i="50"/>
  <c r="I12" i="50"/>
  <c r="D11" i="47"/>
  <c r="I11" i="47" s="1"/>
  <c r="C45" i="109"/>
  <c r="M10" i="50"/>
  <c r="G10" i="50" s="1"/>
  <c r="G11" i="50"/>
  <c r="H11" i="59"/>
  <c r="R42" i="70"/>
  <c r="F25" i="73"/>
  <c r="F28" i="109"/>
  <c r="O45" i="22"/>
  <c r="J270" i="56"/>
  <c r="J269" i="56" s="1"/>
  <c r="J10" i="56" s="1"/>
  <c r="G277" i="56"/>
  <c r="D21" i="47" l="1"/>
  <c r="I17" i="47"/>
  <c r="C43" i="65"/>
  <c r="D49" i="70"/>
  <c r="E49" i="70" s="1"/>
  <c r="K50" i="65"/>
  <c r="D43" i="109"/>
  <c r="D43" i="65" s="1"/>
  <c r="J42" i="70" s="1"/>
  <c r="K42" i="70" s="1"/>
  <c r="O10" i="50"/>
  <c r="I10" i="50" s="1"/>
  <c r="I11" i="50"/>
  <c r="R45" i="70"/>
  <c r="D14" i="47"/>
  <c r="D44" i="109" s="1"/>
  <c r="D44" i="65" s="1"/>
  <c r="J43" i="70" s="1"/>
  <c r="K43" i="70" s="1"/>
  <c r="I16" i="47"/>
  <c r="F65" i="70"/>
  <c r="C15" i="47"/>
  <c r="S10" i="50"/>
  <c r="C45" i="65"/>
  <c r="O45" i="109"/>
  <c r="F28" i="65"/>
  <c r="K28" i="65" s="1"/>
  <c r="O28" i="109"/>
  <c r="D20" i="47"/>
  <c r="I21" i="47"/>
  <c r="F46" i="70"/>
  <c r="C49" i="109"/>
  <c r="I29" i="47"/>
  <c r="E44" i="109"/>
  <c r="E44" i="65" s="1"/>
  <c r="P43" i="70" s="1"/>
  <c r="Q43" i="70" s="1"/>
  <c r="L44" i="70"/>
  <c r="D52" i="109"/>
  <c r="J11" i="1"/>
  <c r="L43" i="70" l="1"/>
  <c r="D52" i="65"/>
  <c r="O52" i="109"/>
  <c r="D27" i="128"/>
  <c r="D31" i="128"/>
  <c r="G30" i="128"/>
  <c r="D30" i="128" s="1"/>
  <c r="D12" i="43"/>
  <c r="F11" i="129"/>
  <c r="D23" i="1"/>
  <c r="J23" i="1" s="1"/>
  <c r="D44" i="70"/>
  <c r="E44" i="70" s="1"/>
  <c r="K45" i="65"/>
  <c r="D22" i="1"/>
  <c r="F10" i="129"/>
  <c r="F10" i="127"/>
  <c r="D11" i="127"/>
  <c r="D46" i="109"/>
  <c r="I20" i="47"/>
  <c r="G10" i="127"/>
  <c r="E11" i="127"/>
  <c r="R43" i="70"/>
  <c r="C14" i="47"/>
  <c r="I15" i="47"/>
  <c r="L42" i="70"/>
  <c r="F22" i="128"/>
  <c r="I21" i="128"/>
  <c r="D22" i="128"/>
  <c r="C49" i="65"/>
  <c r="O49" i="109"/>
  <c r="F49" i="70"/>
  <c r="O43" i="109"/>
  <c r="H21" i="128"/>
  <c r="E22" i="128"/>
  <c r="G10" i="129"/>
  <c r="E22" i="1"/>
  <c r="E21" i="1" s="1"/>
  <c r="E55" i="109" s="1"/>
  <c r="E55" i="65" s="1"/>
  <c r="P54" i="70" s="1"/>
  <c r="Q54" i="70" s="1"/>
  <c r="K43" i="65"/>
  <c r="D42" i="70"/>
  <c r="E42" i="70" s="1"/>
  <c r="E13" i="43"/>
  <c r="D11" i="46"/>
  <c r="E14" i="43"/>
  <c r="C46" i="38"/>
  <c r="E38" i="38"/>
  <c r="J38" i="38" s="1"/>
  <c r="E37" i="38"/>
  <c r="J37" i="38" s="1"/>
  <c r="E23" i="43"/>
  <c r="D12" i="46"/>
  <c r="E22" i="43"/>
  <c r="E39" i="38"/>
  <c r="J39" i="38" s="1"/>
  <c r="D13" i="46" l="1"/>
  <c r="R54" i="70"/>
  <c r="K49" i="65"/>
  <c r="D48" i="70"/>
  <c r="E48" i="70" s="1"/>
  <c r="E16" i="1"/>
  <c r="E15" i="1" s="1"/>
  <c r="E10" i="127"/>
  <c r="E17" i="43"/>
  <c r="I10" i="128"/>
  <c r="F21" i="128"/>
  <c r="J46" i="38"/>
  <c r="C39" i="109"/>
  <c r="H10" i="128"/>
  <c r="E21" i="128"/>
  <c r="D46" i="65"/>
  <c r="O46" i="109"/>
  <c r="G23" i="128"/>
  <c r="D16" i="1"/>
  <c r="D10" i="127"/>
  <c r="F12" i="43"/>
  <c r="E36" i="38" s="1"/>
  <c r="J36" i="38" s="1"/>
  <c r="E18" i="43"/>
  <c r="I14" i="47"/>
  <c r="C44" i="109"/>
  <c r="C10" i="47"/>
  <c r="D21" i="1"/>
  <c r="J22" i="1"/>
  <c r="J51" i="70"/>
  <c r="K51" i="70" s="1"/>
  <c r="K52" i="65"/>
  <c r="E35" i="38"/>
  <c r="F42" i="70"/>
  <c r="E11" i="43"/>
  <c r="F44" i="70"/>
  <c r="E40" i="38"/>
  <c r="J40" i="38" s="1"/>
  <c r="E19" i="43"/>
  <c r="E10" i="46"/>
  <c r="C45" i="38" s="1"/>
  <c r="F21" i="43"/>
  <c r="E42" i="38" s="1"/>
  <c r="J42" i="38" s="1"/>
  <c r="E16" i="43"/>
  <c r="P22" i="12"/>
  <c r="K42" i="12"/>
  <c r="K47" i="12"/>
  <c r="K26" i="12"/>
  <c r="K13" i="12"/>
  <c r="P34" i="12"/>
  <c r="E50" i="15"/>
  <c r="F13" i="33"/>
  <c r="K37" i="12" l="1"/>
  <c r="F41" i="15"/>
  <c r="K16" i="12"/>
  <c r="K11" i="12"/>
  <c r="N11" i="12" s="1"/>
  <c r="K17" i="12"/>
  <c r="K52" i="12"/>
  <c r="F42" i="15"/>
  <c r="H35" i="132"/>
  <c r="C24" i="22" s="1"/>
  <c r="H39" i="132"/>
  <c r="H45" i="132"/>
  <c r="H42" i="132" s="1"/>
  <c r="H36" i="132"/>
  <c r="C25" i="42"/>
  <c r="Q34" i="12"/>
  <c r="G45" i="15"/>
  <c r="H45" i="15" s="1"/>
  <c r="H34" i="15"/>
  <c r="L13" i="12"/>
  <c r="N13" i="12"/>
  <c r="P13" i="12" s="1"/>
  <c r="R13" i="12" s="1"/>
  <c r="S13" i="12" s="1"/>
  <c r="T13" i="12" s="1"/>
  <c r="H25" i="15"/>
  <c r="Q25" i="12"/>
  <c r="F28" i="15"/>
  <c r="Q37" i="12"/>
  <c r="H37" i="15"/>
  <c r="F26" i="15"/>
  <c r="I31" i="15"/>
  <c r="K15" i="12"/>
  <c r="K21" i="12"/>
  <c r="K20" i="12"/>
  <c r="K25" i="12"/>
  <c r="F10" i="128"/>
  <c r="E19" i="1"/>
  <c r="E18" i="1" s="1"/>
  <c r="E54" i="109" s="1"/>
  <c r="E54" i="65" s="1"/>
  <c r="P53" i="70" s="1"/>
  <c r="K41" i="12"/>
  <c r="E45" i="15"/>
  <c r="C53" i="11"/>
  <c r="F10" i="43"/>
  <c r="J16" i="1"/>
  <c r="D15" i="1"/>
  <c r="E12" i="43"/>
  <c r="L11" i="12"/>
  <c r="L37" i="12"/>
  <c r="N37" i="12"/>
  <c r="P37" i="12" s="1"/>
  <c r="N17" i="12"/>
  <c r="P17" i="12" s="1"/>
  <c r="R17" i="12" s="1"/>
  <c r="S17" i="12" s="1"/>
  <c r="T17" i="12" s="1"/>
  <c r="L17" i="12"/>
  <c r="L42" i="12"/>
  <c r="N42" i="12"/>
  <c r="P42" i="12" s="1"/>
  <c r="J35" i="38"/>
  <c r="E34" i="38"/>
  <c r="D23" i="128"/>
  <c r="G21" i="128"/>
  <c r="K40" i="12"/>
  <c r="L51" i="70"/>
  <c r="J45" i="70"/>
  <c r="K45" i="70" s="1"/>
  <c r="K46" i="65"/>
  <c r="E53" i="109"/>
  <c r="E53" i="65" s="1"/>
  <c r="P52" i="70" s="1"/>
  <c r="Q52" i="70" s="1"/>
  <c r="Q35" i="12"/>
  <c r="H35" i="15"/>
  <c r="C10" i="38"/>
  <c r="J45" i="38"/>
  <c r="C38" i="109"/>
  <c r="F48" i="70"/>
  <c r="N16" i="12"/>
  <c r="P16" i="12" s="1"/>
  <c r="R16" i="12" s="1"/>
  <c r="S16" i="12" s="1"/>
  <c r="T16" i="12" s="1"/>
  <c r="L16" i="12"/>
  <c r="G12" i="33"/>
  <c r="G11" i="33" s="1"/>
  <c r="G10" i="33" s="1"/>
  <c r="C13" i="25"/>
  <c r="C12" i="25" s="1"/>
  <c r="C11" i="25" s="1"/>
  <c r="N26" i="12"/>
  <c r="P26" i="12" s="1"/>
  <c r="L26" i="12"/>
  <c r="K24" i="12"/>
  <c r="N47" i="12"/>
  <c r="L47" i="12"/>
  <c r="H24" i="15"/>
  <c r="Q24" i="12"/>
  <c r="J21" i="1"/>
  <c r="D55" i="109"/>
  <c r="E10" i="128"/>
  <c r="D19" i="1"/>
  <c r="D18" i="1" s="1"/>
  <c r="D54" i="109" s="1"/>
  <c r="D54" i="65" s="1"/>
  <c r="J53" i="70" s="1"/>
  <c r="E64" i="132"/>
  <c r="H64" i="132"/>
  <c r="C31" i="22" s="1"/>
  <c r="G50" i="15"/>
  <c r="H50" i="15" s="1"/>
  <c r="Q47" i="12"/>
  <c r="H47" i="15"/>
  <c r="Q42" i="12"/>
  <c r="R42" i="12" s="1"/>
  <c r="S42" i="12" s="1"/>
  <c r="T42" i="12" s="1"/>
  <c r="H42" i="15"/>
  <c r="H22" i="15"/>
  <c r="Q22" i="12"/>
  <c r="G31" i="15"/>
  <c r="H41" i="15"/>
  <c r="Q41" i="12"/>
  <c r="K19" i="12"/>
  <c r="C42" i="109"/>
  <c r="N52" i="12"/>
  <c r="L52" i="12"/>
  <c r="E31" i="15"/>
  <c r="E55" i="15" s="1"/>
  <c r="Q26" i="12"/>
  <c r="H26" i="15"/>
  <c r="H28" i="15"/>
  <c r="Q28" i="12"/>
  <c r="C44" i="65"/>
  <c r="O44" i="109"/>
  <c r="F47" i="15"/>
  <c r="I50" i="15"/>
  <c r="F50" i="15" s="1"/>
  <c r="K35" i="12"/>
  <c r="K28" i="12"/>
  <c r="F35" i="15"/>
  <c r="I45" i="15"/>
  <c r="F45" i="15" s="1"/>
  <c r="C39" i="65"/>
  <c r="O39" i="109"/>
  <c r="E33" i="132"/>
  <c r="K22" i="132"/>
  <c r="L22" i="132"/>
  <c r="F28" i="33"/>
  <c r="J163" i="34"/>
  <c r="K163" i="34"/>
  <c r="K173" i="34"/>
  <c r="K170" i="34" s="1"/>
  <c r="K165" i="34" s="1"/>
  <c r="M163" i="34"/>
  <c r="M162" i="34" s="1"/>
  <c r="L163" i="34"/>
  <c r="L162" i="34" s="1"/>
  <c r="R34" i="41"/>
  <c r="H20" i="41"/>
  <c r="H15" i="41" s="1"/>
  <c r="H10" i="41" s="1"/>
  <c r="H48" i="41" s="1"/>
  <c r="N20" i="41"/>
  <c r="N15" i="41" s="1"/>
  <c r="N10" i="41" s="1"/>
  <c r="R35" i="41"/>
  <c r="R36" i="41"/>
  <c r="R37" i="41"/>
  <c r="I28" i="41"/>
  <c r="I27" i="41" s="1"/>
  <c r="J28" i="41"/>
  <c r="J27" i="41" s="1"/>
  <c r="J30" i="41"/>
  <c r="M20" i="41"/>
  <c r="M15" i="41" s="1"/>
  <c r="M10" i="41" s="1"/>
  <c r="K28" i="41"/>
  <c r="K27" i="41" s="1"/>
  <c r="K30" i="41"/>
  <c r="R22" i="41"/>
  <c r="L28" i="41"/>
  <c r="L27" i="41" s="1"/>
  <c r="L30" i="41"/>
  <c r="O28" i="41"/>
  <c r="O27" i="41" s="1"/>
  <c r="Q28" i="41"/>
  <c r="Q27" i="41" s="1"/>
  <c r="N30" i="41"/>
  <c r="N48" i="41" s="1"/>
  <c r="O30" i="41"/>
  <c r="O48" i="41" s="1"/>
  <c r="R33" i="41"/>
  <c r="Q30" i="41"/>
  <c r="Q48" i="41" s="1"/>
  <c r="Q49" i="41" s="1"/>
  <c r="G22" i="40"/>
  <c r="E22" i="41" s="1"/>
  <c r="G29" i="40"/>
  <c r="E29" i="41" s="1"/>
  <c r="G23" i="40"/>
  <c r="E23" i="41" s="1"/>
  <c r="G26" i="40"/>
  <c r="E26" i="41" s="1"/>
  <c r="G21" i="40"/>
  <c r="E21" i="41" s="1"/>
  <c r="J49" i="41"/>
  <c r="K49" i="41"/>
  <c r="L49" i="41"/>
  <c r="C104" i="10"/>
  <c r="H98" i="132"/>
  <c r="C58" i="22" s="1"/>
  <c r="G28" i="39"/>
  <c r="G27" i="39" s="1"/>
  <c r="D19" i="38" s="1"/>
  <c r="J19" i="38" s="1"/>
  <c r="G45" i="39"/>
  <c r="K28" i="40"/>
  <c r="K27" i="40" s="1"/>
  <c r="D29" i="38" s="1"/>
  <c r="C22" i="22"/>
  <c r="O22" i="22" s="1"/>
  <c r="G25" i="39"/>
  <c r="G24" i="39" s="1"/>
  <c r="D18" i="38" s="1"/>
  <c r="J18" i="38" s="1"/>
  <c r="K25" i="40"/>
  <c r="K24" i="40" s="1"/>
  <c r="D28" i="38" s="1"/>
  <c r="J28" i="38" s="1"/>
  <c r="K45" i="40"/>
  <c r="X30" i="41"/>
  <c r="E30" i="38" s="1"/>
  <c r="Y17" i="25"/>
  <c r="Y16" i="25" s="1"/>
  <c r="G39" i="39" l="1"/>
  <c r="G30" i="39" s="1"/>
  <c r="D20" i="38" s="1"/>
  <c r="J20" i="38" s="1"/>
  <c r="E73" i="132"/>
  <c r="E10" i="1"/>
  <c r="E51" i="109" s="1"/>
  <c r="E51" i="65" s="1"/>
  <c r="P50" i="70" s="1"/>
  <c r="Q50" i="70" s="1"/>
  <c r="N49" i="41"/>
  <c r="K162" i="34"/>
  <c r="C27" i="10"/>
  <c r="X17" i="25"/>
  <c r="X16" i="25" s="1"/>
  <c r="G24" i="33"/>
  <c r="G23" i="33" s="1"/>
  <c r="G22" i="33" s="1"/>
  <c r="Y41" i="25"/>
  <c r="Y39" i="25" s="1"/>
  <c r="Y10" i="25"/>
  <c r="C21" i="10"/>
  <c r="C30" i="10"/>
  <c r="C81" i="10"/>
  <c r="C32" i="40"/>
  <c r="F32" i="39"/>
  <c r="C32" i="41"/>
  <c r="J20" i="41"/>
  <c r="J15" i="41" s="1"/>
  <c r="J10" i="41" s="1"/>
  <c r="R22" i="12"/>
  <c r="S22" i="12" s="1"/>
  <c r="T22" i="12" s="1"/>
  <c r="Q31" i="12"/>
  <c r="L25" i="12"/>
  <c r="N25" i="12"/>
  <c r="P25" i="12" s="1"/>
  <c r="R25" i="12" s="1"/>
  <c r="S25" i="12" s="1"/>
  <c r="T25" i="12" s="1"/>
  <c r="C26" i="40"/>
  <c r="C26" i="41"/>
  <c r="C25" i="41" s="1"/>
  <c r="C24" i="41" s="1"/>
  <c r="C25" i="39"/>
  <c r="F26" i="39"/>
  <c r="E18" i="22"/>
  <c r="J22" i="132"/>
  <c r="G120" i="10"/>
  <c r="F120" i="10"/>
  <c r="C103" i="10"/>
  <c r="C15" i="39"/>
  <c r="F21" i="39"/>
  <c r="C21" i="41"/>
  <c r="U21" i="41" s="1"/>
  <c r="C21" i="40"/>
  <c r="R32" i="41"/>
  <c r="I54" i="22"/>
  <c r="AJ35" i="25"/>
  <c r="F14" i="45"/>
  <c r="F10" i="45" s="1"/>
  <c r="K39" i="65"/>
  <c r="D38" i="70"/>
  <c r="E38" i="70" s="1"/>
  <c r="R26" i="12"/>
  <c r="S26" i="12" s="1"/>
  <c r="T26" i="12" s="1"/>
  <c r="O38" i="109"/>
  <c r="C38" i="65"/>
  <c r="L40" i="12"/>
  <c r="N40" i="12"/>
  <c r="P40" i="12" s="1"/>
  <c r="R40" i="12" s="1"/>
  <c r="S40" i="12" s="1"/>
  <c r="T40" i="12" s="1"/>
  <c r="P11" i="12"/>
  <c r="L20" i="12"/>
  <c r="N20" i="12"/>
  <c r="P20" i="12" s="1"/>
  <c r="R20" i="12" s="1"/>
  <c r="S20" i="12" s="1"/>
  <c r="T20" i="12" s="1"/>
  <c r="C12" i="10"/>
  <c r="C96" i="10"/>
  <c r="C88" i="10" s="1"/>
  <c r="C50" i="10"/>
  <c r="F28" i="41"/>
  <c r="R29" i="41"/>
  <c r="D21" i="128"/>
  <c r="G10" i="128"/>
  <c r="N21" i="12"/>
  <c r="P21" i="12" s="1"/>
  <c r="R21" i="12" s="1"/>
  <c r="S21" i="12" s="1"/>
  <c r="T21" i="12" s="1"/>
  <c r="L21" i="12"/>
  <c r="F20" i="41"/>
  <c r="R21" i="41"/>
  <c r="C100" i="10"/>
  <c r="C112" i="10"/>
  <c r="C111" i="10" s="1"/>
  <c r="P47" i="12"/>
  <c r="P50" i="12" s="1"/>
  <c r="N50" i="12"/>
  <c r="C12" i="13" s="1"/>
  <c r="D12" i="13" s="1"/>
  <c r="C31" i="109"/>
  <c r="C22" i="10"/>
  <c r="G20" i="39"/>
  <c r="G15" i="39" s="1"/>
  <c r="I35" i="132"/>
  <c r="I45" i="132"/>
  <c r="I42" i="132" s="1"/>
  <c r="C46" i="40"/>
  <c r="F46" i="39"/>
  <c r="C46" i="41"/>
  <c r="C45" i="41" s="1"/>
  <c r="C45" i="39"/>
  <c r="F45" i="39" s="1"/>
  <c r="J48" i="41"/>
  <c r="I20" i="41"/>
  <c r="I15" i="41" s="1"/>
  <c r="I10" i="41" s="1"/>
  <c r="J162" i="34"/>
  <c r="I53" i="22"/>
  <c r="AJ34" i="25"/>
  <c r="AJ33" i="25" s="1"/>
  <c r="AJ44" i="25" s="1"/>
  <c r="X20" i="41"/>
  <c r="C16" i="10"/>
  <c r="C11" i="10"/>
  <c r="V47" i="41"/>
  <c r="C22" i="41"/>
  <c r="F22" i="39"/>
  <c r="C22" i="40"/>
  <c r="J22" i="40" s="1"/>
  <c r="R46" i="41"/>
  <c r="M45" i="41"/>
  <c r="R45" i="41" s="1"/>
  <c r="E63" i="132"/>
  <c r="N28" i="12"/>
  <c r="P28" i="12" s="1"/>
  <c r="R28" i="12" s="1"/>
  <c r="S28" i="12" s="1"/>
  <c r="T28" i="12" s="1"/>
  <c r="L28" i="12"/>
  <c r="N54" i="12"/>
  <c r="C13" i="13" s="1"/>
  <c r="D13" i="13" s="1"/>
  <c r="P52" i="12"/>
  <c r="Q50" i="12"/>
  <c r="R47" i="12"/>
  <c r="N24" i="12"/>
  <c r="P24" i="12" s="1"/>
  <c r="R24" i="12" s="1"/>
  <c r="S24" i="12" s="1"/>
  <c r="T24" i="12" s="1"/>
  <c r="L24" i="12"/>
  <c r="J34" i="38"/>
  <c r="E33" i="38"/>
  <c r="D53" i="109"/>
  <c r="J15" i="1"/>
  <c r="D10" i="1"/>
  <c r="N15" i="12"/>
  <c r="P15" i="12" s="1"/>
  <c r="R15" i="12" s="1"/>
  <c r="S15" i="12" s="1"/>
  <c r="T15" i="12" s="1"/>
  <c r="L15" i="12"/>
  <c r="Q45" i="12"/>
  <c r="R34" i="12"/>
  <c r="F23" i="39"/>
  <c r="C23" i="40"/>
  <c r="J23" i="40" s="1"/>
  <c r="C23" i="41"/>
  <c r="U23" i="41" s="1"/>
  <c r="C26" i="10"/>
  <c r="H164" i="34"/>
  <c r="F46" i="132"/>
  <c r="E46" i="132"/>
  <c r="L35" i="12"/>
  <c r="N35" i="12"/>
  <c r="F31" i="15"/>
  <c r="I55" i="15"/>
  <c r="F55" i="15" s="1"/>
  <c r="K20" i="40"/>
  <c r="K15" i="40" s="1"/>
  <c r="F84" i="10"/>
  <c r="G84" i="10"/>
  <c r="R26" i="41"/>
  <c r="M25" i="41"/>
  <c r="H48" i="57"/>
  <c r="D50" i="57"/>
  <c r="D48" i="57" s="1"/>
  <c r="O58" i="22"/>
  <c r="C57" i="22"/>
  <c r="L20" i="41"/>
  <c r="L15" i="41" s="1"/>
  <c r="L10" i="41" s="1"/>
  <c r="L48" i="41" s="1"/>
  <c r="F25" i="33"/>
  <c r="F26" i="33"/>
  <c r="L66" i="59"/>
  <c r="I67" i="59"/>
  <c r="C38" i="40"/>
  <c r="J38" i="40" s="1"/>
  <c r="C38" i="41"/>
  <c r="U38" i="41" s="1"/>
  <c r="I30" i="41"/>
  <c r="I48" i="41" s="1"/>
  <c r="I49" i="41" s="1"/>
  <c r="R38" i="41"/>
  <c r="I164" i="34"/>
  <c r="F27" i="45"/>
  <c r="C42" i="65"/>
  <c r="R50" i="70"/>
  <c r="C33" i="41"/>
  <c r="F33" i="39"/>
  <c r="C33" i="40"/>
  <c r="J33" i="40" s="1"/>
  <c r="AJ18" i="25"/>
  <c r="AJ16" i="25" s="1"/>
  <c r="I31" i="22"/>
  <c r="C29" i="40"/>
  <c r="F29" i="39"/>
  <c r="C29" i="41"/>
  <c r="C28" i="41" s="1"/>
  <c r="C27" i="41" s="1"/>
  <c r="C28" i="39"/>
  <c r="W47" i="41"/>
  <c r="X28" i="41"/>
  <c r="U29" i="41"/>
  <c r="E31" i="38"/>
  <c r="J31" i="38" s="1"/>
  <c r="C36" i="22"/>
  <c r="H72" i="132"/>
  <c r="G69" i="10"/>
  <c r="C68" i="10"/>
  <c r="C60" i="10" s="1"/>
  <c r="C29" i="10"/>
  <c r="F69" i="10"/>
  <c r="C40" i="10"/>
  <c r="C36" i="40"/>
  <c r="J36" i="40" s="1"/>
  <c r="C36" i="41"/>
  <c r="F36" i="39"/>
  <c r="C37" i="40"/>
  <c r="J37" i="40" s="1"/>
  <c r="C37" i="41"/>
  <c r="F37" i="39"/>
  <c r="G164" i="34"/>
  <c r="G23" i="132"/>
  <c r="E23" i="132"/>
  <c r="F23" i="132"/>
  <c r="N19" i="12"/>
  <c r="P19" i="12" s="1"/>
  <c r="R19" i="12" s="1"/>
  <c r="S19" i="12" s="1"/>
  <c r="T19" i="12" s="1"/>
  <c r="L19" i="12"/>
  <c r="C40" i="25"/>
  <c r="C10" i="25"/>
  <c r="R52" i="70"/>
  <c r="G98" i="10"/>
  <c r="F98" i="10"/>
  <c r="K39" i="40"/>
  <c r="K30" i="40" s="1"/>
  <c r="D30" i="38" s="1"/>
  <c r="J30" i="38" s="1"/>
  <c r="C15" i="10"/>
  <c r="F43" i="39"/>
  <c r="C43" i="41"/>
  <c r="C39" i="41" s="1"/>
  <c r="C43" i="40"/>
  <c r="C39" i="39"/>
  <c r="F39" i="39" s="1"/>
  <c r="C30" i="22"/>
  <c r="C17" i="22"/>
  <c r="C105" i="10"/>
  <c r="C102" i="10"/>
  <c r="C23" i="10"/>
  <c r="C34" i="40"/>
  <c r="J34" i="40" s="1"/>
  <c r="C34" i="41"/>
  <c r="F34" i="39"/>
  <c r="C35" i="40"/>
  <c r="J35" i="40" s="1"/>
  <c r="F35" i="39"/>
  <c r="C35" i="41"/>
  <c r="R23" i="41"/>
  <c r="K20" i="41"/>
  <c r="K15" i="41" s="1"/>
  <c r="K10" i="41" s="1"/>
  <c r="K48" i="41" s="1"/>
  <c r="R43" i="41"/>
  <c r="M39" i="41"/>
  <c r="R39" i="41" s="1"/>
  <c r="F21" i="45"/>
  <c r="G24" i="132"/>
  <c r="R37" i="12"/>
  <c r="S37" i="12" s="1"/>
  <c r="T37" i="12" s="1"/>
  <c r="D43" i="70"/>
  <c r="E43" i="70" s="1"/>
  <c r="K44" i="65"/>
  <c r="L45" i="70"/>
  <c r="N41" i="12"/>
  <c r="P41" i="12" s="1"/>
  <c r="R41" i="12" s="1"/>
  <c r="S41" i="12" s="1"/>
  <c r="T41" i="12" s="1"/>
  <c r="L41" i="12"/>
  <c r="G55" i="15"/>
  <c r="H55" i="15" s="1"/>
  <c r="H31" i="15"/>
  <c r="O55" i="109"/>
  <c r="D55" i="65"/>
  <c r="C99" i="11"/>
  <c r="C14" i="20"/>
  <c r="M10" i="20" s="1"/>
  <c r="L10" i="20" s="1"/>
  <c r="D16" i="20"/>
  <c r="C10" i="20"/>
  <c r="G24" i="114"/>
  <c r="E38" i="7"/>
  <c r="F23" i="114"/>
  <c r="G26" i="114"/>
  <c r="G23" i="114"/>
  <c r="F14" i="114"/>
  <c r="F26" i="114"/>
  <c r="F25" i="114"/>
  <c r="D14" i="16"/>
  <c r="G30" i="114"/>
  <c r="G12" i="114"/>
  <c r="D13" i="16"/>
  <c r="I27" i="114"/>
  <c r="G25" i="114"/>
  <c r="F24" i="114"/>
  <c r="E35" i="114"/>
  <c r="I70" i="132"/>
  <c r="I67" i="132" s="1"/>
  <c r="H70" i="132"/>
  <c r="H67" i="132" s="1"/>
  <c r="C34" i="22" s="1"/>
  <c r="J70" i="132"/>
  <c r="J67" i="132" s="1"/>
  <c r="H50" i="132"/>
  <c r="H47" i="132" s="1"/>
  <c r="C26" i="22" s="1"/>
  <c r="O26" i="22" s="1"/>
  <c r="F91" i="10"/>
  <c r="G94" i="10"/>
  <c r="E61" i="10"/>
  <c r="E19" i="132"/>
  <c r="E16" i="132"/>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M9" i="20" l="1"/>
  <c r="L9" i="20" s="1"/>
  <c r="F11" i="16"/>
  <c r="E15" i="16"/>
  <c r="F16" i="20"/>
  <c r="E16" i="20"/>
  <c r="G38" i="114"/>
  <c r="C10" i="16"/>
  <c r="P54" i="12"/>
  <c r="R52" i="12"/>
  <c r="E12" i="10"/>
  <c r="G12" i="10"/>
  <c r="F12" i="10"/>
  <c r="J60" i="10"/>
  <c r="G61" i="10"/>
  <c r="I38" i="9"/>
  <c r="D20" i="7" s="1"/>
  <c r="I62" i="9"/>
  <c r="H13" i="9"/>
  <c r="J81" i="9"/>
  <c r="I50" i="57"/>
  <c r="G48" i="57"/>
  <c r="E50" i="57"/>
  <c r="J38" i="9"/>
  <c r="E20" i="7" s="1"/>
  <c r="E12" i="16"/>
  <c r="G11" i="16"/>
  <c r="F18" i="16"/>
  <c r="D18" i="16" s="1"/>
  <c r="D19" i="16"/>
  <c r="E23" i="19"/>
  <c r="E29" i="19" s="1"/>
  <c r="C58" i="7"/>
  <c r="L24" i="114"/>
  <c r="L21" i="114" s="1"/>
  <c r="C17" i="19"/>
  <c r="C11" i="19"/>
  <c r="C16" i="19"/>
  <c r="I27" i="22"/>
  <c r="V14" i="73"/>
  <c r="C30" i="109"/>
  <c r="O57" i="22"/>
  <c r="P35" i="12"/>
  <c r="N45" i="12"/>
  <c r="C11" i="13" s="1"/>
  <c r="D11" i="13" s="1"/>
  <c r="C99" i="10"/>
  <c r="C30" i="39"/>
  <c r="F30" i="39" s="1"/>
  <c r="E113" i="10"/>
  <c r="H100" i="10"/>
  <c r="H112" i="10"/>
  <c r="H111" i="10" s="1"/>
  <c r="J67" i="9"/>
  <c r="J60" i="9"/>
  <c r="F20" i="45"/>
  <c r="I81" i="10"/>
  <c r="D27" i="7" s="1"/>
  <c r="F82" i="10"/>
  <c r="I65" i="9"/>
  <c r="I52" i="132"/>
  <c r="D34" i="22"/>
  <c r="D27" i="22" s="1"/>
  <c r="D25" i="109" s="1"/>
  <c r="D25" i="65" s="1"/>
  <c r="J25" i="70" s="1"/>
  <c r="K25" i="70" s="1"/>
  <c r="F22" i="114"/>
  <c r="I21" i="114"/>
  <c r="C44" i="7" s="1"/>
  <c r="H22" i="132"/>
  <c r="AJ41" i="25"/>
  <c r="AJ39" i="25" s="1"/>
  <c r="AJ10" i="25"/>
  <c r="J46" i="40"/>
  <c r="C45" i="40"/>
  <c r="J45" i="40" s="1"/>
  <c r="C30" i="41"/>
  <c r="U30" i="41" s="1"/>
  <c r="J24" i="9"/>
  <c r="E18" i="7" s="1"/>
  <c r="J66" i="8"/>
  <c r="H38" i="114"/>
  <c r="G11" i="114"/>
  <c r="I32" i="114"/>
  <c r="F35" i="114"/>
  <c r="C16" i="22"/>
  <c r="O17" i="22"/>
  <c r="F48" i="57"/>
  <c r="C15" i="68"/>
  <c r="D51" i="109"/>
  <c r="D51" i="65" s="1"/>
  <c r="J50" i="70" s="1"/>
  <c r="K50" i="70" s="1"/>
  <c r="F15" i="41"/>
  <c r="F10" i="41" s="1"/>
  <c r="R20" i="41"/>
  <c r="R15" i="41" s="1"/>
  <c r="R10" i="41" s="1"/>
  <c r="N31" i="12"/>
  <c r="E16" i="22"/>
  <c r="O18" i="22"/>
  <c r="I30" i="8"/>
  <c r="J13" i="9"/>
  <c r="J45" i="9"/>
  <c r="E21" i="7" s="1"/>
  <c r="D15" i="16"/>
  <c r="I10" i="114"/>
  <c r="C43" i="7" s="1"/>
  <c r="F11" i="114"/>
  <c r="G18" i="16"/>
  <c r="E18" i="16" s="1"/>
  <c r="E19" i="16"/>
  <c r="G18" i="114"/>
  <c r="J16" i="114"/>
  <c r="H52" i="132"/>
  <c r="C35" i="22"/>
  <c r="O36" i="22"/>
  <c r="I22" i="132"/>
  <c r="D24" i="22"/>
  <c r="P31" i="12"/>
  <c r="R11" i="12"/>
  <c r="S11" i="12" s="1"/>
  <c r="T11" i="12" s="1"/>
  <c r="T31" i="12" s="1"/>
  <c r="V28" i="73"/>
  <c r="W28" i="73" s="1"/>
  <c r="O54" i="22"/>
  <c r="J32" i="40"/>
  <c r="J61" i="9"/>
  <c r="H25" i="8"/>
  <c r="G41" i="10"/>
  <c r="J40" i="10"/>
  <c r="I26" i="8"/>
  <c r="F29" i="10"/>
  <c r="G29" i="10"/>
  <c r="C28" i="10"/>
  <c r="C14" i="10" s="1"/>
  <c r="J50" i="10"/>
  <c r="G51" i="10"/>
  <c r="H102" i="10"/>
  <c r="E102" i="10" s="1"/>
  <c r="H105" i="10"/>
  <c r="E108" i="10"/>
  <c r="J26" i="8"/>
  <c r="E120" i="10"/>
  <c r="H103" i="10"/>
  <c r="E103" i="10" s="1"/>
  <c r="J27" i="10"/>
  <c r="G37" i="10"/>
  <c r="H16" i="10"/>
  <c r="C25" i="7" s="1"/>
  <c r="E17" i="10"/>
  <c r="J95" i="9"/>
  <c r="I52" i="9"/>
  <c r="D22" i="7" s="1"/>
  <c r="J27" i="114"/>
  <c r="J21" i="114" s="1"/>
  <c r="D44" i="7" s="1"/>
  <c r="G13" i="114"/>
  <c r="H14" i="114"/>
  <c r="C109" i="11"/>
  <c r="C108" i="11" s="1"/>
  <c r="C94" i="11"/>
  <c r="C93" i="11" s="1"/>
  <c r="C27" i="22"/>
  <c r="R25" i="41"/>
  <c r="M24" i="41"/>
  <c r="R24" i="41" s="1"/>
  <c r="D53" i="65"/>
  <c r="O53" i="109"/>
  <c r="X15" i="41"/>
  <c r="G10" i="39"/>
  <c r="D17" i="38"/>
  <c r="M30" i="41"/>
  <c r="R30" i="41" s="1"/>
  <c r="C24" i="39"/>
  <c r="F24" i="39" s="1"/>
  <c r="F25" i="39"/>
  <c r="G22" i="114"/>
  <c r="F97" i="10"/>
  <c r="I96" i="10"/>
  <c r="I14" i="10" s="1"/>
  <c r="F14" i="10" s="1"/>
  <c r="J17" i="9"/>
  <c r="E17" i="7" s="1"/>
  <c r="J11" i="9"/>
  <c r="F89" i="10"/>
  <c r="F32" i="10"/>
  <c r="I22" i="10"/>
  <c r="F22" i="10" s="1"/>
  <c r="I61" i="9"/>
  <c r="E19" i="109"/>
  <c r="E19" i="65" s="1"/>
  <c r="P19" i="70" s="1"/>
  <c r="Q19" i="70" s="1"/>
  <c r="F43" i="70"/>
  <c r="C13" i="10"/>
  <c r="E35" i="109"/>
  <c r="J33" i="38"/>
  <c r="D10" i="128"/>
  <c r="C19" i="1"/>
  <c r="J52" i="132"/>
  <c r="E34" i="22"/>
  <c r="E27" i="22" s="1"/>
  <c r="E25" i="109" s="1"/>
  <c r="E25" i="65" s="1"/>
  <c r="P25" i="70" s="1"/>
  <c r="Q25" i="70" s="1"/>
  <c r="C28" i="40"/>
  <c r="J29" i="40"/>
  <c r="I40" i="10"/>
  <c r="F41" i="10"/>
  <c r="E31" i="10"/>
  <c r="H21" i="10"/>
  <c r="H30" i="10"/>
  <c r="J65" i="9"/>
  <c r="G17" i="10"/>
  <c r="J16" i="10"/>
  <c r="E25" i="7" s="1"/>
  <c r="I16" i="10"/>
  <c r="D25" i="7" s="1"/>
  <c r="F17" i="10"/>
  <c r="J100" i="10"/>
  <c r="G113" i="10"/>
  <c r="J112" i="10"/>
  <c r="J111" i="10" s="1"/>
  <c r="F113" i="10"/>
  <c r="I112" i="10"/>
  <c r="I111" i="10" s="1"/>
  <c r="I100" i="10"/>
  <c r="E32" i="10"/>
  <c r="H22" i="10"/>
  <c r="E22" i="10" s="1"/>
  <c r="I119" i="9"/>
  <c r="I118" i="9" s="1"/>
  <c r="H102" i="9"/>
  <c r="I95" i="9"/>
  <c r="J102" i="9"/>
  <c r="K32" i="114"/>
  <c r="H37" i="114"/>
  <c r="K36" i="114"/>
  <c r="X27" i="41"/>
  <c r="U28" i="41"/>
  <c r="I52" i="22"/>
  <c r="O53" i="22"/>
  <c r="V27" i="73"/>
  <c r="W27" i="73" s="1"/>
  <c r="K38" i="65"/>
  <c r="D37" i="70"/>
  <c r="E37" i="70" s="1"/>
  <c r="C20" i="40"/>
  <c r="J21" i="40"/>
  <c r="J26" i="40"/>
  <c r="C25" i="40"/>
  <c r="G31" i="10"/>
  <c r="J21" i="10"/>
  <c r="H29" i="10"/>
  <c r="H68" i="10"/>
  <c r="H60" i="10" s="1"/>
  <c r="E69" i="10"/>
  <c r="H45" i="9"/>
  <c r="C21" i="7" s="1"/>
  <c r="G97" i="10"/>
  <c r="J96" i="10"/>
  <c r="J14" i="10" s="1"/>
  <c r="E114" i="11"/>
  <c r="H99" i="11"/>
  <c r="E99" i="11" s="1"/>
  <c r="F51" i="10"/>
  <c r="I50" i="10"/>
  <c r="H24" i="9"/>
  <c r="C18" i="7" s="1"/>
  <c r="J105" i="10"/>
  <c r="J102" i="10"/>
  <c r="G102" i="10" s="1"/>
  <c r="G108" i="10"/>
  <c r="I27" i="10"/>
  <c r="F37" i="10"/>
  <c r="I60" i="9"/>
  <c r="I67" i="9"/>
  <c r="N62" i="109"/>
  <c r="I102" i="10"/>
  <c r="F102" i="10" s="1"/>
  <c r="I105" i="10"/>
  <c r="F108" i="10"/>
  <c r="G36" i="10"/>
  <c r="J26" i="10"/>
  <c r="E51" i="10"/>
  <c r="H50" i="10"/>
  <c r="I81" i="9"/>
  <c r="G37" i="114"/>
  <c r="J36" i="114"/>
  <c r="F38" i="114"/>
  <c r="G14" i="114"/>
  <c r="K10" i="114"/>
  <c r="E43" i="7" s="1"/>
  <c r="H11" i="114"/>
  <c r="J43" i="40"/>
  <c r="C39" i="25"/>
  <c r="W40" i="25"/>
  <c r="C20" i="41"/>
  <c r="C15" i="41" s="1"/>
  <c r="C10" i="41" s="1"/>
  <c r="I30" i="10"/>
  <c r="I21" i="10"/>
  <c r="F31" i="10"/>
  <c r="J25" i="8"/>
  <c r="H46" i="57"/>
  <c r="H10" i="57" s="1"/>
  <c r="D47" i="57"/>
  <c r="D46" i="57" s="1"/>
  <c r="H119" i="9"/>
  <c r="H118" i="9" s="1"/>
  <c r="J12" i="9"/>
  <c r="I47" i="57"/>
  <c r="E24" i="47" s="1"/>
  <c r="I24" i="47" s="1"/>
  <c r="E47" i="57"/>
  <c r="G89" i="10"/>
  <c r="J88" i="10"/>
  <c r="E28" i="7" s="1"/>
  <c r="E121" i="10"/>
  <c r="H104" i="10"/>
  <c r="E104" i="10" s="1"/>
  <c r="J22" i="10"/>
  <c r="G22" i="10" s="1"/>
  <c r="G32" i="10"/>
  <c r="H30" i="8"/>
  <c r="F36" i="10"/>
  <c r="I26" i="10"/>
  <c r="I23" i="10"/>
  <c r="F23" i="10" s="1"/>
  <c r="F33" i="10"/>
  <c r="E36" i="10"/>
  <c r="H26" i="10"/>
  <c r="J119" i="9"/>
  <c r="J118" i="9" s="1"/>
  <c r="J52" i="9"/>
  <c r="E22" i="7" s="1"/>
  <c r="I36" i="114"/>
  <c r="F37" i="114"/>
  <c r="K21" i="114"/>
  <c r="E44" i="7" s="1"/>
  <c r="H22" i="114"/>
  <c r="K55" i="65"/>
  <c r="J54" i="70"/>
  <c r="K54" i="70" s="1"/>
  <c r="C27" i="39"/>
  <c r="F27" i="39" s="1"/>
  <c r="F28" i="39"/>
  <c r="O31" i="22"/>
  <c r="L65" i="59"/>
  <c r="I66" i="59"/>
  <c r="K10" i="40"/>
  <c r="D27" i="38"/>
  <c r="C31" i="65"/>
  <c r="F27" i="41"/>
  <c r="R28" i="41"/>
  <c r="J81" i="10"/>
  <c r="E27" i="7" s="1"/>
  <c r="G82" i="10"/>
  <c r="F121" i="10"/>
  <c r="I104" i="10"/>
  <c r="F104" i="10" s="1"/>
  <c r="H31" i="9"/>
  <c r="C19" i="7" s="1"/>
  <c r="H81" i="9"/>
  <c r="J62" i="9"/>
  <c r="F61" i="10"/>
  <c r="I60" i="10"/>
  <c r="H38" i="9"/>
  <c r="C20" i="7" s="1"/>
  <c r="I10" i="20"/>
  <c r="E53" i="7" s="1"/>
  <c r="F11" i="20"/>
  <c r="E97" i="10"/>
  <c r="H96" i="10"/>
  <c r="H88" i="10" s="1"/>
  <c r="C28" i="7" s="1"/>
  <c r="H23" i="10"/>
  <c r="E23" i="10" s="1"/>
  <c r="E33" i="10"/>
  <c r="G121" i="10"/>
  <c r="J104" i="10"/>
  <c r="G104" i="10" s="1"/>
  <c r="I102" i="9"/>
  <c r="H61" i="9"/>
  <c r="H60" i="9"/>
  <c r="H67" i="9"/>
  <c r="H40" i="10"/>
  <c r="E41" i="10"/>
  <c r="E15" i="19"/>
  <c r="C49" i="7" s="1"/>
  <c r="E27" i="19"/>
  <c r="E28" i="19" s="1"/>
  <c r="R50" i="12"/>
  <c r="S47" i="12"/>
  <c r="T47" i="12" s="1"/>
  <c r="T50" i="12" s="1"/>
  <c r="E12" i="13" s="1"/>
  <c r="F38" i="70"/>
  <c r="F15" i="39"/>
  <c r="C10" i="39"/>
  <c r="Q55" i="12"/>
  <c r="R31" i="12"/>
  <c r="K66" i="59"/>
  <c r="H67" i="59"/>
  <c r="F10" i="16"/>
  <c r="D39" i="7" s="1"/>
  <c r="D38" i="7" s="1"/>
  <c r="J32" i="114"/>
  <c r="J31" i="114" s="1"/>
  <c r="D45" i="7" s="1"/>
  <c r="G35" i="114"/>
  <c r="D41" i="70"/>
  <c r="E41" i="70" s="1"/>
  <c r="S34" i="12"/>
  <c r="T34" i="12" s="1"/>
  <c r="G103" i="10"/>
  <c r="F103" i="10"/>
  <c r="X41" i="25"/>
  <c r="X10" i="25"/>
  <c r="E20" i="132"/>
  <c r="E21" i="132"/>
  <c r="J30" i="10"/>
  <c r="H11" i="9"/>
  <c r="H17" i="9"/>
  <c r="C17" i="7" s="1"/>
  <c r="J32" i="8"/>
  <c r="J53" i="8"/>
  <c r="E14" i="7" s="1"/>
  <c r="E47" i="10"/>
  <c r="N63" i="109"/>
  <c r="E95" i="10"/>
  <c r="M63" i="109"/>
  <c r="K63" i="109"/>
  <c r="L63" i="109"/>
  <c r="H18" i="132" l="1"/>
  <c r="H14" i="132" s="1"/>
  <c r="C15" i="22" s="1"/>
  <c r="O15" i="22" s="1"/>
  <c r="I12" i="9"/>
  <c r="C39" i="40"/>
  <c r="C10" i="10"/>
  <c r="I52" i="7"/>
  <c r="N61" i="109" s="1"/>
  <c r="K31" i="114"/>
  <c r="E45" i="7" s="1"/>
  <c r="U20" i="41"/>
  <c r="H27" i="8"/>
  <c r="J63" i="8"/>
  <c r="I63" i="8"/>
  <c r="K62" i="109"/>
  <c r="F52" i="7"/>
  <c r="K61" i="109" s="1"/>
  <c r="H44" i="11"/>
  <c r="C13" i="22"/>
  <c r="O13" i="22" s="1"/>
  <c r="E12" i="132"/>
  <c r="L59" i="59"/>
  <c r="I65" i="59"/>
  <c r="H66" i="8"/>
  <c r="H65" i="9"/>
  <c r="H26" i="8"/>
  <c r="I24" i="9"/>
  <c r="D18" i="7" s="1"/>
  <c r="J18" i="7" s="1"/>
  <c r="E42" i="7"/>
  <c r="J28" i="40"/>
  <c r="C27" i="40"/>
  <c r="J27" i="40" s="1"/>
  <c r="I88" i="10"/>
  <c r="D28" i="7" s="1"/>
  <c r="J28" i="7" s="1"/>
  <c r="C25" i="109"/>
  <c r="G27" i="10"/>
  <c r="J15" i="10"/>
  <c r="G15" i="10" s="1"/>
  <c r="H24" i="8"/>
  <c r="C13" i="7" s="1"/>
  <c r="E100" i="10"/>
  <c r="H99" i="10"/>
  <c r="C29" i="7" s="1"/>
  <c r="G46" i="57"/>
  <c r="I48" i="57"/>
  <c r="E25" i="47" s="1"/>
  <c r="E23" i="47" s="1"/>
  <c r="E48" i="57"/>
  <c r="J30" i="8"/>
  <c r="J21" i="8"/>
  <c r="I16" i="9"/>
  <c r="C12" i="22"/>
  <c r="H10" i="132"/>
  <c r="E11" i="132"/>
  <c r="C15" i="40"/>
  <c r="J20" i="40"/>
  <c r="R25" i="70"/>
  <c r="R19" i="70"/>
  <c r="E82" i="10"/>
  <c r="H81" i="10"/>
  <c r="C27" i="7" s="1"/>
  <c r="J27" i="7" s="1"/>
  <c r="C26" i="109"/>
  <c r="O35" i="22"/>
  <c r="C24" i="109"/>
  <c r="F41" i="70"/>
  <c r="F37" i="70"/>
  <c r="C57" i="7"/>
  <c r="J58" i="7"/>
  <c r="D15" i="20"/>
  <c r="G14" i="20"/>
  <c r="C54" i="7" s="1"/>
  <c r="H27" i="10"/>
  <c r="E37" i="10"/>
  <c r="H63" i="8"/>
  <c r="H12" i="9"/>
  <c r="C14" i="22"/>
  <c r="O14" i="22" s="1"/>
  <c r="E13" i="132"/>
  <c r="L54" i="70"/>
  <c r="H52" i="7"/>
  <c r="M61" i="109" s="1"/>
  <c r="M62" i="109"/>
  <c r="I75" i="8"/>
  <c r="H95" i="9"/>
  <c r="F26" i="10"/>
  <c r="I13" i="10"/>
  <c r="F13" i="10" s="1"/>
  <c r="I99" i="10"/>
  <c r="D29" i="7" s="1"/>
  <c r="F100" i="10"/>
  <c r="D11" i="38"/>
  <c r="J17" i="38"/>
  <c r="I31" i="114"/>
  <c r="C45" i="7" s="1"/>
  <c r="J45" i="7" s="1"/>
  <c r="J44" i="7"/>
  <c r="I11" i="9"/>
  <c r="I17" i="9"/>
  <c r="D17" i="7" s="1"/>
  <c r="R27" i="41"/>
  <c r="F48" i="41"/>
  <c r="I20" i="10"/>
  <c r="D26" i="7" s="1"/>
  <c r="F21" i="10"/>
  <c r="E29" i="10"/>
  <c r="H28" i="10"/>
  <c r="H14" i="10" s="1"/>
  <c r="E14" i="10" s="1"/>
  <c r="X27" i="73"/>
  <c r="J10" i="114"/>
  <c r="D43" i="7" s="1"/>
  <c r="D42" i="7" s="1"/>
  <c r="D20" i="109" s="1"/>
  <c r="D20" i="65" s="1"/>
  <c r="J20" i="70" s="1"/>
  <c r="K20" i="70" s="1"/>
  <c r="J27" i="8"/>
  <c r="H61" i="8"/>
  <c r="H68" i="8"/>
  <c r="I31" i="9"/>
  <c r="D19" i="7" s="1"/>
  <c r="P45" i="12"/>
  <c r="P55" i="12" s="1"/>
  <c r="R35" i="12"/>
  <c r="I62" i="8"/>
  <c r="H11" i="16"/>
  <c r="D12" i="16"/>
  <c r="J31" i="9"/>
  <c r="E19" i="7" s="1"/>
  <c r="D30" i="70"/>
  <c r="E30" i="70" s="1"/>
  <c r="H23" i="8"/>
  <c r="I59" i="9"/>
  <c r="D23" i="7" s="1"/>
  <c r="G21" i="10"/>
  <c r="I29" i="109"/>
  <c r="O52" i="22"/>
  <c r="H62" i="9"/>
  <c r="U15" i="41"/>
  <c r="E27" i="38"/>
  <c r="X10" i="41"/>
  <c r="C10" i="13"/>
  <c r="N55" i="12"/>
  <c r="E11" i="16"/>
  <c r="G10" i="16"/>
  <c r="C39" i="7" s="1"/>
  <c r="J61" i="8"/>
  <c r="J82" i="8"/>
  <c r="D19" i="109"/>
  <c r="D19" i="65" s="1"/>
  <c r="J19" i="70" s="1"/>
  <c r="K19" i="70" s="1"/>
  <c r="E10" i="22"/>
  <c r="E22" i="109" s="1"/>
  <c r="E22" i="65" s="1"/>
  <c r="P22" i="70" s="1"/>
  <c r="Q22" i="70" s="1"/>
  <c r="E24" i="109"/>
  <c r="E24" i="65" s="1"/>
  <c r="P24" i="70" s="1"/>
  <c r="Q24" i="70" s="1"/>
  <c r="I82" i="8"/>
  <c r="I66" i="8"/>
  <c r="I23" i="8" s="1"/>
  <c r="H75" i="8"/>
  <c r="I45" i="9"/>
  <c r="D21" i="7" s="1"/>
  <c r="J21" i="7" s="1"/>
  <c r="G33" i="10"/>
  <c r="J23" i="10"/>
  <c r="G23" i="10" s="1"/>
  <c r="G30" i="22"/>
  <c r="AH41" i="25"/>
  <c r="X39" i="25"/>
  <c r="K65" i="59"/>
  <c r="H66" i="59"/>
  <c r="C47" i="7"/>
  <c r="J49" i="7"/>
  <c r="O30" i="109"/>
  <c r="C30" i="65"/>
  <c r="C18" i="1"/>
  <c r="J19" i="1"/>
  <c r="L25" i="70"/>
  <c r="H16" i="9"/>
  <c r="H10" i="20"/>
  <c r="D53" i="7" s="1"/>
  <c r="E11" i="20"/>
  <c r="G10" i="20"/>
  <c r="C53" i="7" s="1"/>
  <c r="D11" i="20"/>
  <c r="I21" i="8"/>
  <c r="D21" i="38"/>
  <c r="D22" i="38"/>
  <c r="F25" i="22"/>
  <c r="W39" i="25"/>
  <c r="E21" i="10"/>
  <c r="H20" i="10"/>
  <c r="C26" i="7" s="1"/>
  <c r="I19" i="8"/>
  <c r="X28" i="73"/>
  <c r="G52" i="7"/>
  <c r="L61" i="109" s="1"/>
  <c r="L62" i="109"/>
  <c r="I14" i="20"/>
  <c r="E54" i="7" s="1"/>
  <c r="E63" i="109" s="1"/>
  <c r="E62" i="65" s="1"/>
  <c r="P61" i="70" s="1"/>
  <c r="Q61" i="70" s="1"/>
  <c r="F15" i="20"/>
  <c r="J68" i="8"/>
  <c r="J62" i="8"/>
  <c r="J19" i="8" s="1"/>
  <c r="I32" i="8"/>
  <c r="I25" i="8"/>
  <c r="G14" i="10"/>
  <c r="U27" i="41"/>
  <c r="E29" i="38"/>
  <c r="J29" i="38" s="1"/>
  <c r="O35" i="109"/>
  <c r="E35" i="65"/>
  <c r="J52" i="70"/>
  <c r="K52" i="70" s="1"/>
  <c r="K53" i="65"/>
  <c r="H11" i="10"/>
  <c r="E10" i="13"/>
  <c r="J43" i="7"/>
  <c r="C42" i="7"/>
  <c r="V10" i="73"/>
  <c r="W10" i="73" s="1"/>
  <c r="W14" i="73"/>
  <c r="O34" i="22"/>
  <c r="H52" i="9"/>
  <c r="C22" i="7" s="1"/>
  <c r="J22" i="7" s="1"/>
  <c r="H62" i="8"/>
  <c r="E62" i="109"/>
  <c r="E61" i="65" s="1"/>
  <c r="P60" i="70" s="1"/>
  <c r="Q60" i="70" s="1"/>
  <c r="F46" i="57"/>
  <c r="D10" i="57"/>
  <c r="F10" i="57" s="1"/>
  <c r="G26" i="10"/>
  <c r="J13" i="10"/>
  <c r="G13" i="10" s="1"/>
  <c r="F27" i="10"/>
  <c r="I15" i="10"/>
  <c r="F15" i="10" s="1"/>
  <c r="C20" i="10"/>
  <c r="G100" i="10"/>
  <c r="J99" i="10"/>
  <c r="E29" i="7" s="1"/>
  <c r="L50" i="70"/>
  <c r="J59" i="9"/>
  <c r="E23" i="7" s="1"/>
  <c r="I25" i="109"/>
  <c r="I25" i="65" s="1"/>
  <c r="I10" i="22"/>
  <c r="I22" i="109" s="1"/>
  <c r="S52" i="12"/>
  <c r="T52" i="12" s="1"/>
  <c r="T54" i="12" s="1"/>
  <c r="E13" i="13" s="1"/>
  <c r="R54" i="12"/>
  <c r="I53" i="8"/>
  <c r="D14" i="7" s="1"/>
  <c r="I13" i="9"/>
  <c r="H13" i="10"/>
  <c r="E13" i="10" s="1"/>
  <c r="E26" i="10"/>
  <c r="J25" i="40"/>
  <c r="C24" i="40"/>
  <c r="J24" i="40" s="1"/>
  <c r="I11" i="10"/>
  <c r="J25" i="7"/>
  <c r="D16" i="22"/>
  <c r="O24" i="22"/>
  <c r="J16" i="9"/>
  <c r="E15" i="20"/>
  <c r="H14" i="20"/>
  <c r="D54" i="7" s="1"/>
  <c r="D63" i="109" s="1"/>
  <c r="D62" i="65" s="1"/>
  <c r="J61" i="70" s="1"/>
  <c r="K61" i="70" s="1"/>
  <c r="H53" i="8"/>
  <c r="C14" i="7" s="1"/>
  <c r="H21" i="8"/>
  <c r="I61" i="8"/>
  <c r="I68" i="8"/>
  <c r="F10" i="39"/>
  <c r="J20" i="7"/>
  <c r="J75" i="8"/>
  <c r="H32" i="8"/>
  <c r="I27" i="8"/>
  <c r="E16" i="7" l="1"/>
  <c r="E14" i="109" s="1"/>
  <c r="E14" i="65" s="1"/>
  <c r="P14" i="70" s="1"/>
  <c r="Q14" i="70" s="1"/>
  <c r="H82" i="8"/>
  <c r="J14" i="7"/>
  <c r="D24" i="7"/>
  <c r="D15" i="109" s="1"/>
  <c r="D15" i="65" s="1"/>
  <c r="J15" i="70" s="1"/>
  <c r="K15" i="70" s="1"/>
  <c r="L15" i="70" s="1"/>
  <c r="C24" i="7"/>
  <c r="J39" i="40"/>
  <c r="C30" i="40"/>
  <c r="J30" i="40" s="1"/>
  <c r="R14" i="70"/>
  <c r="G27" i="22"/>
  <c r="O30" i="22"/>
  <c r="R22" i="70"/>
  <c r="J19" i="7"/>
  <c r="J23" i="8"/>
  <c r="C25" i="65"/>
  <c r="D25" i="70" s="1"/>
  <c r="E25" i="70" s="1"/>
  <c r="I24" i="8"/>
  <c r="D13" i="7" s="1"/>
  <c r="I18" i="8"/>
  <c r="D37" i="7"/>
  <c r="D18" i="109" s="1"/>
  <c r="D18" i="65" s="1"/>
  <c r="J18" i="70" s="1"/>
  <c r="K18" i="70" s="1"/>
  <c r="X50" i="41"/>
  <c r="U50" i="41" s="1"/>
  <c r="U10" i="41"/>
  <c r="H15" i="10"/>
  <c r="E15" i="10" s="1"/>
  <c r="E27" i="10"/>
  <c r="C24" i="65"/>
  <c r="D24" i="70" s="1"/>
  <c r="E24" i="70" s="1"/>
  <c r="J11" i="10"/>
  <c r="C20" i="109"/>
  <c r="J42" i="7"/>
  <c r="C10" i="1"/>
  <c r="J18" i="1"/>
  <c r="C54" i="109"/>
  <c r="C63" i="109"/>
  <c r="J54" i="7"/>
  <c r="H10" i="10"/>
  <c r="E11" i="10"/>
  <c r="F30" i="70"/>
  <c r="H60" i="8"/>
  <c r="C15" i="7" s="1"/>
  <c r="C12" i="7" s="1"/>
  <c r="D32" i="109"/>
  <c r="J11" i="38"/>
  <c r="J15" i="40"/>
  <c r="C10" i="40"/>
  <c r="J10" i="40" s="1"/>
  <c r="I46" i="57"/>
  <c r="E46" i="57"/>
  <c r="G10" i="57"/>
  <c r="C62" i="109"/>
  <c r="J53" i="7"/>
  <c r="C52" i="7"/>
  <c r="K30" i="65"/>
  <c r="D29" i="70"/>
  <c r="E29" i="70" s="1"/>
  <c r="C26" i="65"/>
  <c r="O26" i="109"/>
  <c r="J29" i="7"/>
  <c r="I60" i="8"/>
  <c r="D15" i="7" s="1"/>
  <c r="F11" i="10"/>
  <c r="I10" i="10"/>
  <c r="H23" i="11"/>
  <c r="J20" i="8"/>
  <c r="J57" i="7"/>
  <c r="C66" i="109"/>
  <c r="E20" i="109"/>
  <c r="E20" i="65" s="1"/>
  <c r="P20" i="70" s="1"/>
  <c r="Q20" i="70" s="1"/>
  <c r="E37" i="7"/>
  <c r="E18" i="109" s="1"/>
  <c r="E18" i="65" s="1"/>
  <c r="P18" i="70" s="1"/>
  <c r="Q18" i="70" s="1"/>
  <c r="E22" i="38"/>
  <c r="J22" i="38" s="1"/>
  <c r="E21" i="38"/>
  <c r="C15" i="109"/>
  <c r="I10" i="109"/>
  <c r="I10" i="65" s="1"/>
  <c r="I22" i="65"/>
  <c r="K35" i="65"/>
  <c r="P34" i="70"/>
  <c r="Q34" i="70" s="1"/>
  <c r="I29" i="65"/>
  <c r="K29" i="65" s="1"/>
  <c r="O29" i="109"/>
  <c r="L20" i="70"/>
  <c r="O12" i="22"/>
  <c r="C11" i="22"/>
  <c r="I59" i="59"/>
  <c r="L10" i="59"/>
  <c r="I10" i="59" s="1"/>
  <c r="H10" i="9"/>
  <c r="J60" i="8"/>
  <c r="E15" i="7" s="1"/>
  <c r="D52" i="7"/>
  <c r="D61" i="109" s="1"/>
  <c r="D60" i="65" s="1"/>
  <c r="J59" i="70" s="1"/>
  <c r="K59" i="70" s="1"/>
  <c r="D62" i="109"/>
  <c r="D61" i="65" s="1"/>
  <c r="J60" i="70" s="1"/>
  <c r="K60" i="70" s="1"/>
  <c r="J47" i="7"/>
  <c r="C21" i="109"/>
  <c r="C38" i="7"/>
  <c r="J39" i="7"/>
  <c r="J20" i="10"/>
  <c r="E26" i="7" s="1"/>
  <c r="E24" i="7" s="1"/>
  <c r="E15" i="109" s="1"/>
  <c r="E15" i="65" s="1"/>
  <c r="P15" i="70" s="1"/>
  <c r="Q15" i="70" s="1"/>
  <c r="H10" i="16"/>
  <c r="D11" i="16"/>
  <c r="J17" i="7"/>
  <c r="D16" i="7"/>
  <c r="D14" i="109" s="1"/>
  <c r="D14" i="65" s="1"/>
  <c r="J14" i="70" s="1"/>
  <c r="K14" i="70" s="1"/>
  <c r="L52" i="70"/>
  <c r="L61" i="70"/>
  <c r="X14" i="73"/>
  <c r="Z14" i="73"/>
  <c r="Y14" i="73"/>
  <c r="R61" i="70"/>
  <c r="D11" i="73"/>
  <c r="F16" i="22"/>
  <c r="O16" i="22" s="1"/>
  <c r="O25" i="22"/>
  <c r="I10" i="9"/>
  <c r="H18" i="8"/>
  <c r="AH39" i="25"/>
  <c r="J13" i="73"/>
  <c r="D24" i="109"/>
  <c r="D24" i="65" s="1"/>
  <c r="J24" i="70" s="1"/>
  <c r="K24" i="70" s="1"/>
  <c r="D10" i="22"/>
  <c r="L19" i="70"/>
  <c r="H14" i="8"/>
  <c r="I20" i="8"/>
  <c r="E52" i="7"/>
  <c r="E61" i="109" s="1"/>
  <c r="E60" i="65" s="1"/>
  <c r="P59" i="70" s="1"/>
  <c r="Q59" i="70" s="1"/>
  <c r="X10" i="73"/>
  <c r="J27" i="38"/>
  <c r="D25" i="47"/>
  <c r="K59" i="59"/>
  <c r="H65" i="59"/>
  <c r="S35" i="12"/>
  <c r="T35" i="12" s="1"/>
  <c r="T45" i="12" s="1"/>
  <c r="R45" i="12"/>
  <c r="R55" i="12" s="1"/>
  <c r="J24" i="8"/>
  <c r="E13" i="7" s="1"/>
  <c r="J13" i="7" s="1"/>
  <c r="H19" i="8"/>
  <c r="J10" i="9"/>
  <c r="D33" i="109"/>
  <c r="J21" i="38"/>
  <c r="I14" i="8"/>
  <c r="E47" i="109"/>
  <c r="E47" i="65" s="1"/>
  <c r="P46" i="70" s="1"/>
  <c r="Q46" i="70" s="1"/>
  <c r="E10" i="47"/>
  <c r="E42" i="109" s="1"/>
  <c r="E42" i="65" s="1"/>
  <c r="P41" i="70" s="1"/>
  <c r="Q41" i="70" s="1"/>
  <c r="R60" i="70"/>
  <c r="D10" i="13"/>
  <c r="C15" i="13"/>
  <c r="J18" i="8"/>
  <c r="J14" i="8"/>
  <c r="R24" i="70"/>
  <c r="H59" i="9"/>
  <c r="C23" i="7" s="1"/>
  <c r="J23" i="7" s="1"/>
  <c r="C16" i="7"/>
  <c r="H20" i="8"/>
  <c r="D12" i="7" l="1"/>
  <c r="C13" i="109"/>
  <c r="L59" i="70"/>
  <c r="I10" i="57"/>
  <c r="E10" i="57"/>
  <c r="O20" i="109"/>
  <c r="C20" i="65"/>
  <c r="I17" i="8"/>
  <c r="E12" i="7"/>
  <c r="R59" i="70"/>
  <c r="J10" i="73"/>
  <c r="K10" i="73" s="1"/>
  <c r="K13" i="73"/>
  <c r="R34" i="70"/>
  <c r="D13" i="109"/>
  <c r="D13" i="65" s="1"/>
  <c r="J13" i="70" s="1"/>
  <c r="K13" i="70" s="1"/>
  <c r="J10" i="10"/>
  <c r="G11" i="10"/>
  <c r="R41" i="70"/>
  <c r="E11" i="13"/>
  <c r="E15" i="13" s="1"/>
  <c r="T55" i="12"/>
  <c r="H17" i="8"/>
  <c r="F25" i="70"/>
  <c r="D26" i="70"/>
  <c r="E26" i="70" s="1"/>
  <c r="K26" i="65"/>
  <c r="F24" i="70"/>
  <c r="C14" i="109"/>
  <c r="J16" i="7"/>
  <c r="G13" i="13"/>
  <c r="I13" i="13" s="1"/>
  <c r="O15" i="109"/>
  <c r="C15" i="65"/>
  <c r="H59" i="59"/>
  <c r="K10" i="59"/>
  <c r="H10" i="59" s="1"/>
  <c r="R15" i="70"/>
  <c r="C23" i="109"/>
  <c r="O11" i="22"/>
  <c r="C10" i="22"/>
  <c r="J24" i="7"/>
  <c r="H16" i="11"/>
  <c r="H16" i="8" s="1"/>
  <c r="C56" i="7" s="1"/>
  <c r="F29" i="70"/>
  <c r="L24" i="70"/>
  <c r="D23" i="47"/>
  <c r="I25" i="47"/>
  <c r="E33" i="109"/>
  <c r="E33" i="65" s="1"/>
  <c r="P32" i="70" s="1"/>
  <c r="Q32" i="70" s="1"/>
  <c r="J26" i="7"/>
  <c r="O32" i="109"/>
  <c r="D32" i="65"/>
  <c r="C62" i="65"/>
  <c r="O63" i="109"/>
  <c r="D33" i="65"/>
  <c r="C19" i="109"/>
  <c r="J38" i="7"/>
  <c r="C37" i="7"/>
  <c r="C61" i="109"/>
  <c r="J52" i="7"/>
  <c r="C54" i="65"/>
  <c r="O54" i="109"/>
  <c r="R18" i="70"/>
  <c r="J15" i="7"/>
  <c r="D10" i="73"/>
  <c r="E10" i="73" s="1"/>
  <c r="E11" i="73"/>
  <c r="R20" i="70"/>
  <c r="C61" i="65"/>
  <c r="O62" i="109"/>
  <c r="J10" i="1"/>
  <c r="C51" i="109"/>
  <c r="L18" i="70"/>
  <c r="L14" i="70"/>
  <c r="R46" i="70"/>
  <c r="J17" i="8"/>
  <c r="F24" i="109"/>
  <c r="F24" i="65" s="1"/>
  <c r="K24" i="65" s="1"/>
  <c r="F10" i="22"/>
  <c r="F22" i="109" s="1"/>
  <c r="C21" i="65"/>
  <c r="O21" i="109"/>
  <c r="D15" i="13"/>
  <c r="D22" i="109"/>
  <c r="D22" i="65" s="1"/>
  <c r="J22" i="70" s="1"/>
  <c r="K22" i="70" s="1"/>
  <c r="C12" i="68"/>
  <c r="L60" i="70"/>
  <c r="O66" i="109"/>
  <c r="C65" i="65"/>
  <c r="G25" i="109"/>
  <c r="G10" i="22"/>
  <c r="G22" i="109" s="1"/>
  <c r="O27" i="22"/>
  <c r="O24" i="109" l="1"/>
  <c r="F22" i="65"/>
  <c r="F10" i="109"/>
  <c r="F10" i="65" s="1"/>
  <c r="O51" i="109"/>
  <c r="C51" i="65"/>
  <c r="D20" i="70"/>
  <c r="E20" i="70" s="1"/>
  <c r="K20" i="65"/>
  <c r="K61" i="65"/>
  <c r="D60" i="70"/>
  <c r="E60" i="70" s="1"/>
  <c r="K32" i="65"/>
  <c r="J31" i="70"/>
  <c r="K31" i="70" s="1"/>
  <c r="L13" i="73"/>
  <c r="H11" i="73"/>
  <c r="G11" i="73"/>
  <c r="F11" i="73"/>
  <c r="K62" i="65"/>
  <c r="D61" i="70"/>
  <c r="E61" i="70" s="1"/>
  <c r="F26" i="70"/>
  <c r="L10" i="73"/>
  <c r="F10" i="73"/>
  <c r="G25" i="65"/>
  <c r="K25" i="65" s="1"/>
  <c r="O25" i="109"/>
  <c r="K65" i="65"/>
  <c r="D64" i="70"/>
  <c r="C64" i="70" s="1"/>
  <c r="E64" i="70" s="1"/>
  <c r="D53" i="70"/>
  <c r="E53" i="70" s="1"/>
  <c r="K54" i="65"/>
  <c r="C65" i="109"/>
  <c r="J56" i="7"/>
  <c r="L22" i="70"/>
  <c r="C60" i="65"/>
  <c r="O61" i="109"/>
  <c r="D15" i="70"/>
  <c r="E15" i="70" s="1"/>
  <c r="K15" i="65"/>
  <c r="C18" i="109"/>
  <c r="J37" i="7"/>
  <c r="R32" i="70"/>
  <c r="O10" i="22"/>
  <c r="C22" i="109"/>
  <c r="E13" i="109"/>
  <c r="E13" i="65" s="1"/>
  <c r="P13" i="70" s="1"/>
  <c r="Q13" i="70" s="1"/>
  <c r="C19" i="65"/>
  <c r="O19" i="109"/>
  <c r="D47" i="109"/>
  <c r="I23" i="47"/>
  <c r="D10" i="47"/>
  <c r="O23" i="109"/>
  <c r="C23" i="65"/>
  <c r="G10" i="109"/>
  <c r="G10" i="65" s="1"/>
  <c r="G22" i="65"/>
  <c r="D21" i="70"/>
  <c r="E21" i="70" s="1"/>
  <c r="K21" i="65"/>
  <c r="O33" i="109"/>
  <c r="C13" i="65"/>
  <c r="O13" i="109"/>
  <c r="J32" i="70"/>
  <c r="K32" i="70" s="1"/>
  <c r="K33" i="65"/>
  <c r="C14" i="65"/>
  <c r="O14" i="109"/>
  <c r="L13" i="70"/>
  <c r="J12" i="7"/>
  <c r="C64" i="65" l="1"/>
  <c r="O65" i="109"/>
  <c r="L31" i="70"/>
  <c r="K14" i="65"/>
  <c r="D14" i="70"/>
  <c r="E14" i="70" s="1"/>
  <c r="D42" i="109"/>
  <c r="C14" i="68"/>
  <c r="I10" i="47"/>
  <c r="F53" i="70"/>
  <c r="F60" i="70"/>
  <c r="C18" i="65"/>
  <c r="O18" i="109"/>
  <c r="H64" i="70"/>
  <c r="F64" i="70"/>
  <c r="G64" i="70"/>
  <c r="D23" i="70"/>
  <c r="E23" i="70" s="1"/>
  <c r="K23" i="65"/>
  <c r="F20" i="70"/>
  <c r="F15" i="70"/>
  <c r="K13" i="65"/>
  <c r="D13" i="70"/>
  <c r="E13" i="70" s="1"/>
  <c r="D19" i="70"/>
  <c r="E19" i="70" s="1"/>
  <c r="K19" i="65"/>
  <c r="K51" i="65"/>
  <c r="D50" i="70"/>
  <c r="E50" i="70" s="1"/>
  <c r="D47" i="65"/>
  <c r="O47" i="109"/>
  <c r="R13" i="70"/>
  <c r="L32" i="70"/>
  <c r="F61" i="70"/>
  <c r="K60" i="65"/>
  <c r="D59" i="70"/>
  <c r="E59" i="70" s="1"/>
  <c r="G21" i="70"/>
  <c r="F21" i="70"/>
  <c r="H21" i="70"/>
  <c r="O22" i="109"/>
  <c r="C22" i="65"/>
  <c r="F59" i="70" l="1"/>
  <c r="D42" i="65"/>
  <c r="O42" i="109"/>
  <c r="F14" i="70"/>
  <c r="F13" i="70"/>
  <c r="D22" i="70"/>
  <c r="E22" i="70" s="1"/>
  <c r="K22" i="65"/>
  <c r="K18" i="65"/>
  <c r="D18" i="70"/>
  <c r="E18" i="70" s="1"/>
  <c r="F50" i="70"/>
  <c r="F19" i="70"/>
  <c r="F23" i="70"/>
  <c r="J46" i="70"/>
  <c r="K46" i="70" s="1"/>
  <c r="K47" i="65"/>
  <c r="K64" i="65"/>
  <c r="D63" i="70"/>
  <c r="E63" i="70" s="1"/>
  <c r="F22" i="70" l="1"/>
  <c r="J41" i="70"/>
  <c r="K41" i="70" s="1"/>
  <c r="K42" i="65"/>
  <c r="F63" i="70"/>
  <c r="F18" i="70"/>
  <c r="L46" i="70"/>
  <c r="G16" i="45"/>
  <c r="G17" i="45"/>
  <c r="H12" i="45"/>
  <c r="G12" i="45"/>
  <c r="G19" i="45"/>
  <c r="H29" i="45"/>
  <c r="G13" i="45"/>
  <c r="H26" i="45"/>
  <c r="H19" i="45"/>
  <c r="H17" i="45"/>
  <c r="H18" i="45"/>
  <c r="H16" i="45"/>
  <c r="G18" i="45"/>
  <c r="G26" i="45"/>
  <c r="G29" i="45"/>
  <c r="H13" i="45"/>
  <c r="J21" i="45" l="1"/>
  <c r="H22" i="45"/>
  <c r="I27" i="45"/>
  <c r="G27" i="45" s="1"/>
  <c r="G28" i="45"/>
  <c r="I14" i="45"/>
  <c r="G14" i="45" s="1"/>
  <c r="G15" i="45"/>
  <c r="I10" i="45"/>
  <c r="G11" i="45"/>
  <c r="J14" i="45"/>
  <c r="H14" i="45" s="1"/>
  <c r="H15" i="45"/>
  <c r="J27" i="45"/>
  <c r="H27" i="45" s="1"/>
  <c r="H28" i="45"/>
  <c r="L41" i="70"/>
  <c r="H11" i="45"/>
  <c r="I21" i="45"/>
  <c r="G22" i="45"/>
  <c r="G10" i="42"/>
  <c r="D32" i="38"/>
  <c r="F11" i="42"/>
  <c r="C41" i="11"/>
  <c r="J10" i="45" l="1"/>
  <c r="C63" i="8"/>
  <c r="G71" i="8"/>
  <c r="E71" i="8"/>
  <c r="F71" i="8"/>
  <c r="F85" i="8"/>
  <c r="G85" i="8"/>
  <c r="E85" i="8"/>
  <c r="C26" i="8"/>
  <c r="G34" i="8"/>
  <c r="F34" i="8"/>
  <c r="E34" i="8"/>
  <c r="C66" i="8"/>
  <c r="G88" i="8"/>
  <c r="F88" i="8"/>
  <c r="E88" i="8"/>
  <c r="J32" i="38"/>
  <c r="D34" i="109"/>
  <c r="G10" i="45"/>
  <c r="G56" i="8"/>
  <c r="E56" i="8"/>
  <c r="F56" i="8"/>
  <c r="C25" i="8"/>
  <c r="G33" i="8"/>
  <c r="E33" i="8"/>
  <c r="F33" i="8"/>
  <c r="C32" i="8"/>
  <c r="F77" i="8"/>
  <c r="E77" i="8"/>
  <c r="G77" i="8"/>
  <c r="F84" i="8"/>
  <c r="E84" i="8"/>
  <c r="G84" i="8"/>
  <c r="C62" i="8"/>
  <c r="F70" i="8"/>
  <c r="E70" i="8"/>
  <c r="G70" i="8"/>
  <c r="C82" i="8"/>
  <c r="F83" i="8"/>
  <c r="E83" i="8"/>
  <c r="G83" i="8"/>
  <c r="I20" i="45"/>
  <c r="G20" i="45" s="1"/>
  <c r="G21" i="45"/>
  <c r="C21" i="8"/>
  <c r="G57" i="8"/>
  <c r="E57" i="8"/>
  <c r="F57" i="8"/>
  <c r="C53" i="8"/>
  <c r="G54" i="8"/>
  <c r="E54" i="8"/>
  <c r="F54" i="8"/>
  <c r="H10" i="45"/>
  <c r="C68" i="8"/>
  <c r="C61" i="8"/>
  <c r="G69" i="8"/>
  <c r="E69" i="8"/>
  <c r="F69" i="8"/>
  <c r="C75" i="8"/>
  <c r="G76" i="8"/>
  <c r="E76" i="8"/>
  <c r="F76" i="8"/>
  <c r="G78" i="8"/>
  <c r="E78" i="8"/>
  <c r="F78" i="8"/>
  <c r="C30" i="8"/>
  <c r="E38" i="8"/>
  <c r="F38" i="8"/>
  <c r="G38" i="8"/>
  <c r="J20" i="45"/>
  <c r="H20" i="45" s="1"/>
  <c r="H21" i="45"/>
  <c r="C19" i="11"/>
  <c r="C20" i="11"/>
  <c r="C62" i="11"/>
  <c r="C40" i="11"/>
  <c r="G58" i="11"/>
  <c r="F58" i="11"/>
  <c r="D44" i="38" l="1"/>
  <c r="C12" i="11"/>
  <c r="F47" i="11"/>
  <c r="I46" i="11"/>
  <c r="I39" i="11"/>
  <c r="I109" i="11"/>
  <c r="I108" i="11" s="1"/>
  <c r="D36" i="7" s="1"/>
  <c r="D34" i="7" s="1"/>
  <c r="D17" i="109" s="1"/>
  <c r="D17" i="65" s="1"/>
  <c r="J17" i="70" s="1"/>
  <c r="K17" i="70" s="1"/>
  <c r="F110" i="11"/>
  <c r="I94" i="11"/>
  <c r="I23" i="11"/>
  <c r="F31" i="11"/>
  <c r="F62" i="8"/>
  <c r="E62" i="8"/>
  <c r="G62" i="8"/>
  <c r="G66" i="8"/>
  <c r="F66" i="8"/>
  <c r="E66" i="8"/>
  <c r="H62" i="11"/>
  <c r="E62" i="11" s="1"/>
  <c r="E69" i="11"/>
  <c r="H20" i="11"/>
  <c r="E28" i="11"/>
  <c r="E48" i="11"/>
  <c r="H40" i="11"/>
  <c r="E40" i="11" s="1"/>
  <c r="C25" i="11"/>
  <c r="C18" i="11"/>
  <c r="J25" i="11"/>
  <c r="G26" i="11"/>
  <c r="J18" i="11"/>
  <c r="G48" i="11"/>
  <c r="J40" i="11"/>
  <c r="G40" i="11" s="1"/>
  <c r="J62" i="11"/>
  <c r="G62" i="11" s="1"/>
  <c r="G69" i="11"/>
  <c r="C14" i="8"/>
  <c r="E21" i="8"/>
  <c r="G21" i="8"/>
  <c r="F21" i="8"/>
  <c r="H60" i="11"/>
  <c r="H66" i="11"/>
  <c r="E67" i="11"/>
  <c r="F27" i="11"/>
  <c r="I19" i="11"/>
  <c r="I44" i="11"/>
  <c r="F52" i="11"/>
  <c r="H41" i="11"/>
  <c r="E41" i="11" s="1"/>
  <c r="E49" i="11"/>
  <c r="I99" i="11"/>
  <c r="F99" i="11" s="1"/>
  <c r="F114" i="11"/>
  <c r="C60" i="8"/>
  <c r="F61" i="8"/>
  <c r="E61" i="8"/>
  <c r="G61" i="8"/>
  <c r="C60" i="11"/>
  <c r="C59" i="11" s="1"/>
  <c r="C66" i="11"/>
  <c r="C23" i="11"/>
  <c r="E31" i="11"/>
  <c r="C23" i="8"/>
  <c r="F30" i="8"/>
  <c r="E30" i="8"/>
  <c r="G30" i="8"/>
  <c r="C19" i="8"/>
  <c r="G26" i="8"/>
  <c r="F26" i="8"/>
  <c r="E26" i="8"/>
  <c r="J23" i="11"/>
  <c r="G31" i="11"/>
  <c r="J66" i="11"/>
  <c r="J60" i="11"/>
  <c r="G67" i="11"/>
  <c r="F48" i="11"/>
  <c r="I40" i="11"/>
  <c r="F40" i="11" s="1"/>
  <c r="E54" i="11"/>
  <c r="H53" i="11"/>
  <c r="F67" i="11"/>
  <c r="I66" i="11"/>
  <c r="I60" i="11"/>
  <c r="D37" i="109"/>
  <c r="E47" i="11"/>
  <c r="H39" i="11"/>
  <c r="H46" i="11"/>
  <c r="I41" i="11"/>
  <c r="F41" i="11" s="1"/>
  <c r="F49" i="11"/>
  <c r="J19" i="11"/>
  <c r="G27" i="11"/>
  <c r="J20" i="11"/>
  <c r="G28" i="11"/>
  <c r="E44" i="38"/>
  <c r="D10" i="38"/>
  <c r="F26" i="11"/>
  <c r="I18" i="11"/>
  <c r="I25" i="11"/>
  <c r="E27" i="11"/>
  <c r="H19" i="11"/>
  <c r="E110" i="11"/>
  <c r="H94" i="11"/>
  <c r="H109" i="11"/>
  <c r="H108" i="11" s="1"/>
  <c r="C36" i="7" s="1"/>
  <c r="G49" i="11"/>
  <c r="J41" i="11"/>
  <c r="G41" i="11" s="1"/>
  <c r="F28" i="11"/>
  <c r="I20" i="11"/>
  <c r="C13" i="11"/>
  <c r="C27" i="8"/>
  <c r="E35" i="8"/>
  <c r="F35" i="8"/>
  <c r="G35" i="8"/>
  <c r="O34" i="109"/>
  <c r="D34" i="65"/>
  <c r="J39" i="11"/>
  <c r="G47" i="11"/>
  <c r="J46" i="11"/>
  <c r="F69" i="11"/>
  <c r="I62" i="11"/>
  <c r="F62" i="11" s="1"/>
  <c r="C44" i="11"/>
  <c r="E44" i="11" s="1"/>
  <c r="E52" i="11"/>
  <c r="J94" i="11"/>
  <c r="J109" i="11"/>
  <c r="J108" i="11" s="1"/>
  <c r="E36" i="7" s="1"/>
  <c r="E34" i="7" s="1"/>
  <c r="E17" i="109" s="1"/>
  <c r="E17" i="65" s="1"/>
  <c r="P17" i="70" s="1"/>
  <c r="Q17" i="70" s="1"/>
  <c r="G110" i="11"/>
  <c r="F54" i="11"/>
  <c r="I53" i="11"/>
  <c r="H25" i="11"/>
  <c r="H18" i="11"/>
  <c r="E26" i="11"/>
  <c r="G114" i="11"/>
  <c r="J99" i="11"/>
  <c r="G99" i="11" s="1"/>
  <c r="C39" i="11"/>
  <c r="C38" i="11" s="1"/>
  <c r="C46" i="11"/>
  <c r="J44" i="11"/>
  <c r="G52" i="11"/>
  <c r="G54" i="11"/>
  <c r="J53" i="11"/>
  <c r="C18" i="8"/>
  <c r="C24" i="8"/>
  <c r="G25" i="8"/>
  <c r="E25" i="8"/>
  <c r="F25" i="8"/>
  <c r="F63" i="8"/>
  <c r="G63" i="8"/>
  <c r="E63" i="8"/>
  <c r="H20" i="47"/>
  <c r="M46" i="109" s="1"/>
  <c r="F20" i="47"/>
  <c r="K46" i="109" s="1"/>
  <c r="G20" i="47"/>
  <c r="L46" i="109" s="1"/>
  <c r="H14" i="47"/>
  <c r="M44" i="109" s="1"/>
  <c r="M16" i="22"/>
  <c r="F14" i="47"/>
  <c r="K44" i="109" s="1"/>
  <c r="F34" i="7"/>
  <c r="K17" i="109" s="1"/>
  <c r="M35" i="22"/>
  <c r="M26" i="109" s="1"/>
  <c r="G34" i="7"/>
  <c r="L17" i="109" s="1"/>
  <c r="G12" i="7"/>
  <c r="H23" i="47"/>
  <c r="M47" i="109" s="1"/>
  <c r="F30" i="7"/>
  <c r="K16" i="109" s="1"/>
  <c r="H11" i="1"/>
  <c r="G30" i="7"/>
  <c r="L16" i="109" s="1"/>
  <c r="F23" i="47"/>
  <c r="K47" i="109" s="1"/>
  <c r="G14" i="47"/>
  <c r="L44" i="109" s="1"/>
  <c r="I34" i="7"/>
  <c r="N17" i="109" s="1"/>
  <c r="G23" i="47"/>
  <c r="L47" i="109" s="1"/>
  <c r="M57" i="22"/>
  <c r="M30" i="109" s="1"/>
  <c r="L27" i="22"/>
  <c r="H34" i="7"/>
  <c r="M17" i="109" s="1"/>
  <c r="F24" i="7" l="1"/>
  <c r="K15" i="109" s="1"/>
  <c r="G44" i="11"/>
  <c r="I30" i="7"/>
  <c r="N16" i="109" s="1"/>
  <c r="H11" i="47"/>
  <c r="G17" i="47"/>
  <c r="L45" i="109" s="1"/>
  <c r="E37" i="109"/>
  <c r="E37" i="65" s="1"/>
  <c r="P36" i="70" s="1"/>
  <c r="Q36" i="70" s="1"/>
  <c r="E10" i="38"/>
  <c r="E31" i="109" s="1"/>
  <c r="E31" i="65" s="1"/>
  <c r="P30" i="70" s="1"/>
  <c r="Q30" i="70" s="1"/>
  <c r="F60" i="11"/>
  <c r="I59" i="11"/>
  <c r="D33" i="7" s="1"/>
  <c r="F16" i="7"/>
  <c r="K14" i="109" s="1"/>
  <c r="F17" i="47"/>
  <c r="K45" i="109" s="1"/>
  <c r="M27" i="22"/>
  <c r="M25" i="109" s="1"/>
  <c r="G42" i="7"/>
  <c r="H42" i="7"/>
  <c r="F10" i="38"/>
  <c r="K37" i="109"/>
  <c r="H11" i="11"/>
  <c r="E18" i="11"/>
  <c r="H17" i="11"/>
  <c r="C31" i="7" s="1"/>
  <c r="J13" i="11"/>
  <c r="G20" i="11"/>
  <c r="H59" i="11"/>
  <c r="C33" i="7" s="1"/>
  <c r="E60" i="11"/>
  <c r="C11" i="11"/>
  <c r="C17" i="11"/>
  <c r="J38" i="11"/>
  <c r="E32" i="7" s="1"/>
  <c r="G39" i="11"/>
  <c r="J36" i="7"/>
  <c r="C34" i="7"/>
  <c r="G19" i="8"/>
  <c r="F19" i="8"/>
  <c r="E19" i="8"/>
  <c r="L10" i="22"/>
  <c r="L25" i="109"/>
  <c r="I24" i="7"/>
  <c r="N15" i="109" s="1"/>
  <c r="J33" i="70"/>
  <c r="K33" i="70" s="1"/>
  <c r="K34" i="65"/>
  <c r="H16" i="7"/>
  <c r="M14" i="109" s="1"/>
  <c r="H17" i="47"/>
  <c r="M45" i="109" s="1"/>
  <c r="F11" i="47"/>
  <c r="I16" i="11"/>
  <c r="F23" i="11"/>
  <c r="F42" i="7"/>
  <c r="L13" i="109"/>
  <c r="I16" i="7"/>
  <c r="N14" i="109" s="1"/>
  <c r="E19" i="11"/>
  <c r="H12" i="11"/>
  <c r="F13" i="13"/>
  <c r="H13" i="13" s="1"/>
  <c r="E14" i="8"/>
  <c r="G14" i="8"/>
  <c r="F14" i="8"/>
  <c r="F94" i="11"/>
  <c r="I93" i="11"/>
  <c r="R17" i="70"/>
  <c r="F23" i="8"/>
  <c r="E23" i="8"/>
  <c r="G23" i="8"/>
  <c r="H13" i="11"/>
  <c r="E20" i="11"/>
  <c r="K27" i="22"/>
  <c r="G16" i="7"/>
  <c r="L14" i="109" s="1"/>
  <c r="L17" i="70"/>
  <c r="M43" i="109"/>
  <c r="H10" i="47"/>
  <c r="H21" i="1"/>
  <c r="M55" i="109" s="1"/>
  <c r="E39" i="11"/>
  <c r="H38" i="11"/>
  <c r="C32" i="7" s="1"/>
  <c r="J32" i="7" s="1"/>
  <c r="J59" i="11"/>
  <c r="E33" i="7" s="1"/>
  <c r="G60" i="11"/>
  <c r="M52" i="109"/>
  <c r="H10" i="1"/>
  <c r="G24" i="7"/>
  <c r="L15" i="109" s="1"/>
  <c r="M24" i="109"/>
  <c r="C20" i="8"/>
  <c r="F27" i="8"/>
  <c r="G27" i="8"/>
  <c r="E27" i="8"/>
  <c r="F18" i="11"/>
  <c r="I17" i="11"/>
  <c r="D31" i="7" s="1"/>
  <c r="I11" i="11"/>
  <c r="C16" i="11"/>
  <c r="E16" i="11" s="1"/>
  <c r="E23" i="11"/>
  <c r="F44" i="11"/>
  <c r="I38" i="11"/>
  <c r="D32" i="7" s="1"/>
  <c r="F39" i="11"/>
  <c r="M37" i="109"/>
  <c r="H10" i="38"/>
  <c r="G11" i="47"/>
  <c r="C17" i="8"/>
  <c r="G18" i="8"/>
  <c r="F18" i="8"/>
  <c r="E18" i="8"/>
  <c r="G19" i="11"/>
  <c r="J12" i="11"/>
  <c r="G94" i="11"/>
  <c r="J93" i="11"/>
  <c r="I12" i="7"/>
  <c r="G10" i="38"/>
  <c r="L37" i="109"/>
  <c r="N27" i="22"/>
  <c r="O37" i="109"/>
  <c r="D37" i="65"/>
  <c r="F19" i="11"/>
  <c r="I12" i="11"/>
  <c r="H93" i="11"/>
  <c r="E94" i="11"/>
  <c r="H12" i="7"/>
  <c r="H30" i="7"/>
  <c r="M16" i="109" s="1"/>
  <c r="F12" i="7"/>
  <c r="H24" i="7"/>
  <c r="M15" i="109" s="1"/>
  <c r="F20" i="11"/>
  <c r="I13" i="11"/>
  <c r="D31" i="109"/>
  <c r="C13" i="68"/>
  <c r="J10" i="38"/>
  <c r="J44" i="38"/>
  <c r="G23" i="11"/>
  <c r="J16" i="11"/>
  <c r="J17" i="11"/>
  <c r="E31" i="7" s="1"/>
  <c r="G18" i="11"/>
  <c r="J11" i="11"/>
  <c r="E30" i="7" l="1"/>
  <c r="D30" i="7"/>
  <c r="C65" i="9"/>
  <c r="F73" i="9"/>
  <c r="G73" i="9"/>
  <c r="E73" i="9"/>
  <c r="G47" i="9"/>
  <c r="E47" i="9"/>
  <c r="F47" i="9"/>
  <c r="K25" i="109"/>
  <c r="K10" i="22"/>
  <c r="F10" i="47"/>
  <c r="K43" i="109"/>
  <c r="J34" i="7"/>
  <c r="C17" i="109"/>
  <c r="H10" i="11"/>
  <c r="E11" i="11"/>
  <c r="H11" i="8"/>
  <c r="F101" i="9"/>
  <c r="E101" i="9"/>
  <c r="G101" i="9"/>
  <c r="F26" i="9"/>
  <c r="G26" i="9"/>
  <c r="E26" i="9"/>
  <c r="G51" i="9"/>
  <c r="E51" i="9"/>
  <c r="F51" i="9"/>
  <c r="I10" i="11"/>
  <c r="F11" i="11"/>
  <c r="I11" i="8"/>
  <c r="F16" i="11"/>
  <c r="I16" i="8"/>
  <c r="F105" i="9"/>
  <c r="G105" i="9"/>
  <c r="E105" i="9"/>
  <c r="G30" i="9"/>
  <c r="E30" i="9"/>
  <c r="F30" i="9"/>
  <c r="F104" i="9"/>
  <c r="G104" i="9"/>
  <c r="E104" i="9"/>
  <c r="F122" i="9"/>
  <c r="E122" i="9"/>
  <c r="G122" i="9"/>
  <c r="K37" i="65"/>
  <c r="J36" i="70"/>
  <c r="K36" i="70" s="1"/>
  <c r="D16" i="109"/>
  <c r="D16" i="65" s="1"/>
  <c r="J16" i="70" s="1"/>
  <c r="K16" i="70" s="1"/>
  <c r="D11" i="7"/>
  <c r="E13" i="11"/>
  <c r="H13" i="8"/>
  <c r="F13" i="68"/>
  <c r="K31" i="109"/>
  <c r="C60" i="9"/>
  <c r="C67" i="9"/>
  <c r="G68" i="9"/>
  <c r="F68" i="9"/>
  <c r="E68" i="9"/>
  <c r="C16" i="9"/>
  <c r="G23" i="9"/>
  <c r="E23" i="9"/>
  <c r="F23" i="9"/>
  <c r="D31" i="65"/>
  <c r="O31" i="109"/>
  <c r="H37" i="7"/>
  <c r="M18" i="109" s="1"/>
  <c r="M20" i="109"/>
  <c r="G87" i="9"/>
  <c r="F87" i="9"/>
  <c r="E87" i="9"/>
  <c r="F12" i="11"/>
  <c r="I12" i="8"/>
  <c r="E33" i="9"/>
  <c r="G33" i="9"/>
  <c r="F33" i="9"/>
  <c r="F58" i="9"/>
  <c r="G58" i="9"/>
  <c r="E58" i="9"/>
  <c r="F54" i="9"/>
  <c r="G54" i="9"/>
  <c r="E54" i="9"/>
  <c r="C61" i="9"/>
  <c r="E69" i="9"/>
  <c r="F69" i="9"/>
  <c r="G69" i="9"/>
  <c r="C38" i="9"/>
  <c r="G39" i="9"/>
  <c r="F39" i="9"/>
  <c r="E39" i="9"/>
  <c r="F13" i="11"/>
  <c r="I13" i="8"/>
  <c r="N10" i="22"/>
  <c r="N22" i="109" s="1"/>
  <c r="N25" i="109"/>
  <c r="E12" i="11"/>
  <c r="H12" i="8"/>
  <c r="L33" i="70"/>
  <c r="G37" i="7"/>
  <c r="L18" i="109" s="1"/>
  <c r="L20" i="109"/>
  <c r="F44" i="9"/>
  <c r="E44" i="9"/>
  <c r="G44" i="9"/>
  <c r="C95" i="9"/>
  <c r="F96" i="9"/>
  <c r="G96" i="9"/>
  <c r="E96" i="9"/>
  <c r="C12" i="9"/>
  <c r="G19" i="9"/>
  <c r="F19" i="9"/>
  <c r="E19" i="9"/>
  <c r="F34" i="9"/>
  <c r="G34" i="9"/>
  <c r="E34" i="9"/>
  <c r="E55" i="9"/>
  <c r="G55" i="9"/>
  <c r="F55" i="9"/>
  <c r="F37" i="9"/>
  <c r="G37" i="9"/>
  <c r="E37" i="9"/>
  <c r="L43" i="109"/>
  <c r="G10" i="47"/>
  <c r="C102" i="9"/>
  <c r="F103" i="9"/>
  <c r="E103" i="9"/>
  <c r="G103" i="9"/>
  <c r="G40" i="9"/>
  <c r="F40" i="9"/>
  <c r="E40" i="9"/>
  <c r="E13" i="68"/>
  <c r="M31" i="109"/>
  <c r="E14" i="68"/>
  <c r="M42" i="109"/>
  <c r="C119" i="9"/>
  <c r="C118" i="9" s="1"/>
  <c r="F120" i="9"/>
  <c r="G120" i="9"/>
  <c r="E120" i="9"/>
  <c r="E15" i="68"/>
  <c r="M51" i="109"/>
  <c r="C62" i="9"/>
  <c r="G70" i="9"/>
  <c r="E70" i="9"/>
  <c r="F70" i="9"/>
  <c r="C11" i="9"/>
  <c r="C17" i="9"/>
  <c r="E18" i="9"/>
  <c r="G18" i="9"/>
  <c r="F18" i="9"/>
  <c r="C10" i="11"/>
  <c r="G27" i="9"/>
  <c r="E27" i="9"/>
  <c r="F27" i="9"/>
  <c r="G98" i="9"/>
  <c r="F98" i="9"/>
  <c r="E98" i="9"/>
  <c r="C52" i="9"/>
  <c r="G53" i="9"/>
  <c r="F53" i="9"/>
  <c r="E53" i="9"/>
  <c r="G11" i="11"/>
  <c r="J10" i="11"/>
  <c r="J11" i="8"/>
  <c r="K13" i="109"/>
  <c r="F11" i="7"/>
  <c r="N13" i="109"/>
  <c r="I11" i="7"/>
  <c r="E20" i="8"/>
  <c r="G20" i="8"/>
  <c r="F20" i="8"/>
  <c r="D12" i="68"/>
  <c r="L22" i="109"/>
  <c r="J33" i="7"/>
  <c r="C13" i="9"/>
  <c r="C13" i="8" s="1"/>
  <c r="F12" i="13" s="1"/>
  <c r="H12" i="13" s="1"/>
  <c r="E20" i="9"/>
  <c r="G20" i="9"/>
  <c r="F20" i="9"/>
  <c r="G41" i="9"/>
  <c r="E41" i="9"/>
  <c r="F41" i="9"/>
  <c r="M10" i="22"/>
  <c r="G11" i="7"/>
  <c r="C45" i="9"/>
  <c r="G46" i="9"/>
  <c r="E46" i="9"/>
  <c r="F46" i="9"/>
  <c r="D13" i="68"/>
  <c r="L31" i="109"/>
  <c r="E16" i="109"/>
  <c r="E16" i="65" s="1"/>
  <c r="P16" i="70" s="1"/>
  <c r="Q16" i="70" s="1"/>
  <c r="E11" i="7"/>
  <c r="H11" i="7"/>
  <c r="M13" i="109"/>
  <c r="F37" i="7"/>
  <c r="K18" i="109" s="1"/>
  <c r="K20" i="109"/>
  <c r="G13" i="11"/>
  <c r="J13" i="8"/>
  <c r="G83" i="9"/>
  <c r="F83" i="9"/>
  <c r="E83" i="9"/>
  <c r="G121" i="9"/>
  <c r="F121" i="9"/>
  <c r="E121" i="9"/>
  <c r="E48" i="9"/>
  <c r="G48" i="9"/>
  <c r="F48" i="9"/>
  <c r="C24" i="9"/>
  <c r="F25" i="9"/>
  <c r="G25" i="9"/>
  <c r="E25" i="9"/>
  <c r="C81" i="9"/>
  <c r="G82" i="9"/>
  <c r="F82" i="9"/>
  <c r="E82" i="9"/>
  <c r="F125" i="9"/>
  <c r="G125" i="9"/>
  <c r="E125" i="9"/>
  <c r="G84" i="9"/>
  <c r="E84" i="9"/>
  <c r="F84" i="9"/>
  <c r="C31" i="9"/>
  <c r="G32" i="9"/>
  <c r="E32" i="9"/>
  <c r="F32" i="9"/>
  <c r="G16" i="11"/>
  <c r="J16" i="8"/>
  <c r="G12" i="11"/>
  <c r="J12" i="8"/>
  <c r="C30" i="7"/>
  <c r="J31" i="7"/>
  <c r="R30" i="70"/>
  <c r="R36" i="70"/>
  <c r="G13" i="8" l="1"/>
  <c r="J30" i="70"/>
  <c r="K30" i="70" s="1"/>
  <c r="K31" i="65"/>
  <c r="G12" i="13"/>
  <c r="I12" i="13" s="1"/>
  <c r="E13" i="8"/>
  <c r="D10" i="7"/>
  <c r="D12" i="109"/>
  <c r="D12" i="65" s="1"/>
  <c r="J12" i="70" s="1"/>
  <c r="K12" i="70" s="1"/>
  <c r="K42" i="109"/>
  <c r="F14" i="68"/>
  <c r="L16" i="70"/>
  <c r="K22" i="109"/>
  <c r="F12" i="68"/>
  <c r="D14" i="68"/>
  <c r="L42" i="109"/>
  <c r="M12" i="109"/>
  <c r="H10" i="7"/>
  <c r="G11" i="13"/>
  <c r="I11" i="13" s="1"/>
  <c r="E10" i="7"/>
  <c r="E11" i="109" s="1"/>
  <c r="E12" i="109"/>
  <c r="E12" i="65" s="1"/>
  <c r="P12" i="70" s="1"/>
  <c r="Q12" i="70" s="1"/>
  <c r="E61" i="9"/>
  <c r="F61" i="9"/>
  <c r="G61" i="9"/>
  <c r="J30" i="7"/>
  <c r="C16" i="109"/>
  <c r="C11" i="7"/>
  <c r="C10" i="9"/>
  <c r="E11" i="9"/>
  <c r="G11" i="9"/>
  <c r="F11" i="9"/>
  <c r="C11" i="8"/>
  <c r="L36" i="70"/>
  <c r="R16" i="70"/>
  <c r="M22" i="109"/>
  <c r="E12" i="68"/>
  <c r="G12" i="9"/>
  <c r="F12" i="9"/>
  <c r="E12" i="9"/>
  <c r="C12" i="8"/>
  <c r="F11" i="13" s="1"/>
  <c r="H11" i="13" s="1"/>
  <c r="G16" i="9"/>
  <c r="E16" i="9"/>
  <c r="F16" i="9"/>
  <c r="C16" i="8"/>
  <c r="E16" i="8" s="1"/>
  <c r="I10" i="7"/>
  <c r="N11" i="109" s="1"/>
  <c r="N10" i="109" s="1"/>
  <c r="N12" i="109"/>
  <c r="K12" i="109"/>
  <c r="F10" i="7"/>
  <c r="F62" i="9"/>
  <c r="G62" i="9"/>
  <c r="E62" i="9"/>
  <c r="I10" i="8"/>
  <c r="H10" i="8"/>
  <c r="G10" i="13"/>
  <c r="F13" i="8"/>
  <c r="C59" i="9"/>
  <c r="E60" i="9"/>
  <c r="F60" i="9"/>
  <c r="G60" i="9"/>
  <c r="G10" i="7"/>
  <c r="L12" i="109"/>
  <c r="E13" i="9"/>
  <c r="G13" i="9"/>
  <c r="F13" i="9"/>
  <c r="J10" i="8"/>
  <c r="C17" i="65"/>
  <c r="O17" i="109"/>
  <c r="F65" i="9"/>
  <c r="G65" i="9"/>
  <c r="E65" i="9"/>
  <c r="E12" i="8" l="1"/>
  <c r="G12" i="8"/>
  <c r="F12" i="8"/>
  <c r="F16" i="8"/>
  <c r="R12" i="70"/>
  <c r="F11" i="8"/>
  <c r="F10" i="13"/>
  <c r="C10" i="8"/>
  <c r="E10" i="109"/>
  <c r="E10" i="65" s="1"/>
  <c r="E11" i="65"/>
  <c r="P11" i="70" s="1"/>
  <c r="L11" i="109"/>
  <c r="L10" i="109" s="1"/>
  <c r="D11" i="68"/>
  <c r="D10" i="68" s="1"/>
  <c r="K11" i="109"/>
  <c r="K10" i="109" s="1"/>
  <c r="F11" i="68"/>
  <c r="F10" i="68" s="1"/>
  <c r="E11" i="68"/>
  <c r="E10" i="68" s="1"/>
  <c r="M11" i="109"/>
  <c r="M10" i="109" s="1"/>
  <c r="C10" i="7"/>
  <c r="J11" i="7"/>
  <c r="C12" i="109"/>
  <c r="L12" i="70"/>
  <c r="C16" i="65"/>
  <c r="O16" i="109"/>
  <c r="C11" i="68"/>
  <c r="C10" i="68" s="1"/>
  <c r="D11" i="109"/>
  <c r="K17" i="65"/>
  <c r="D17" i="70"/>
  <c r="E17" i="70" s="1"/>
  <c r="G11" i="8"/>
  <c r="E11" i="8"/>
  <c r="G16" i="8"/>
  <c r="G15" i="13"/>
  <c r="I15" i="13" s="1"/>
  <c r="I10" i="13"/>
  <c r="L30" i="70"/>
  <c r="K16" i="65" l="1"/>
  <c r="D16" i="70"/>
  <c r="E16" i="70" s="1"/>
  <c r="Q11" i="70"/>
  <c r="P10" i="70"/>
  <c r="Q10" i="70" s="1"/>
  <c r="D11" i="65"/>
  <c r="J11" i="70" s="1"/>
  <c r="D10" i="109"/>
  <c r="D10" i="65" s="1"/>
  <c r="F15" i="13"/>
  <c r="H15" i="13" s="1"/>
  <c r="H10" i="13"/>
  <c r="O12" i="109"/>
  <c r="C12" i="65"/>
  <c r="J10" i="7"/>
  <c r="C11" i="109"/>
  <c r="F17" i="70"/>
  <c r="J10" i="70" l="1"/>
  <c r="K10" i="70" s="1"/>
  <c r="K11" i="70"/>
  <c r="C11" i="65"/>
  <c r="C10" i="109"/>
  <c r="O11" i="109"/>
  <c r="K12" i="65"/>
  <c r="D12" i="70"/>
  <c r="E12" i="70" s="1"/>
  <c r="R10" i="70"/>
  <c r="R11" i="70"/>
  <c r="F16" i="70"/>
  <c r="F12" i="70" l="1"/>
  <c r="C10" i="65"/>
  <c r="K10" i="65" s="1"/>
  <c r="O10" i="109"/>
  <c r="K11" i="65"/>
  <c r="D11" i="70"/>
  <c r="L11" i="70"/>
  <c r="L10" i="70"/>
  <c r="E11" i="70" l="1"/>
  <c r="D10" i="70"/>
  <c r="K72" i="65"/>
  <c r="K71" i="65"/>
  <c r="G34" i="73" l="1"/>
  <c r="E10" i="70"/>
  <c r="F11" i="70"/>
  <c r="F10" i="70" l="1"/>
  <c r="H10" i="70"/>
  <c r="H11" i="70"/>
  <c r="I34" i="73"/>
  <c r="J34" i="73" s="1"/>
  <c r="G35" i="73"/>
  <c r="H45" i="70"/>
  <c r="H22" i="73"/>
  <c r="T49" i="70"/>
  <c r="H23" i="73"/>
  <c r="H21" i="73"/>
  <c r="T44" i="70"/>
  <c r="H24" i="73"/>
  <c r="T42" i="70"/>
  <c r="H25" i="73"/>
  <c r="H46" i="70"/>
  <c r="H65" i="70"/>
  <c r="N44" i="70"/>
  <c r="T45" i="70"/>
  <c r="N43" i="70"/>
  <c r="N42" i="70"/>
  <c r="T43" i="70"/>
  <c r="H49" i="70"/>
  <c r="T54" i="70"/>
  <c r="H44" i="70"/>
  <c r="H42" i="70"/>
  <c r="N51" i="70"/>
  <c r="H48" i="70"/>
  <c r="T50" i="70"/>
  <c r="T52" i="70"/>
  <c r="N45" i="70"/>
  <c r="H38" i="70"/>
  <c r="H43" i="70"/>
  <c r="T25" i="70"/>
  <c r="N50" i="70"/>
  <c r="H41" i="70"/>
  <c r="N54" i="70"/>
  <c r="Z27" i="73"/>
  <c r="T19" i="70"/>
  <c r="N25" i="70"/>
  <c r="H37" i="70"/>
  <c r="Z28" i="73"/>
  <c r="H30" i="70"/>
  <c r="Z10" i="73"/>
  <c r="N52" i="70"/>
  <c r="N20" i="70"/>
  <c r="T22" i="70"/>
  <c r="N19" i="70"/>
  <c r="T14" i="70"/>
  <c r="N61" i="70"/>
  <c r="T61" i="70"/>
  <c r="T24" i="70"/>
  <c r="N15" i="70"/>
  <c r="T60" i="70"/>
  <c r="T15" i="70"/>
  <c r="N24" i="70"/>
  <c r="N18" i="70"/>
  <c r="N59" i="70"/>
  <c r="T59" i="70"/>
  <c r="T41" i="70"/>
  <c r="H25" i="70"/>
  <c r="T20" i="70"/>
  <c r="N14" i="70"/>
  <c r="T46" i="70"/>
  <c r="N60" i="70"/>
  <c r="H29" i="70"/>
  <c r="T34" i="70"/>
  <c r="H24" i="70"/>
  <c r="T18" i="70"/>
  <c r="N22" i="70"/>
  <c r="H10" i="73"/>
  <c r="N13" i="73"/>
  <c r="H26" i="70"/>
  <c r="N13" i="70"/>
  <c r="T32" i="70"/>
  <c r="N10" i="73"/>
  <c r="H20" i="70"/>
  <c r="H60" i="70"/>
  <c r="T13" i="70"/>
  <c r="N32" i="70"/>
  <c r="H61" i="70"/>
  <c r="N31" i="70"/>
  <c r="H15" i="70"/>
  <c r="H53" i="70"/>
  <c r="H59" i="70"/>
  <c r="H50" i="70"/>
  <c r="H19" i="70"/>
  <c r="H14" i="70"/>
  <c r="H23" i="70"/>
  <c r="H13" i="70"/>
  <c r="N46" i="70"/>
  <c r="H22" i="70"/>
  <c r="H63" i="70"/>
  <c r="H18" i="70"/>
  <c r="N41" i="70"/>
  <c r="N17" i="70"/>
  <c r="T17" i="70"/>
  <c r="T36" i="70"/>
  <c r="N33" i="70"/>
  <c r="T30" i="70"/>
  <c r="N36" i="70"/>
  <c r="T16" i="70"/>
  <c r="N16" i="70"/>
  <c r="T12" i="70"/>
  <c r="N12" i="70"/>
  <c r="N30" i="70"/>
  <c r="H17" i="70"/>
  <c r="H16" i="70"/>
  <c r="T10" i="70"/>
  <c r="T11" i="70"/>
  <c r="H12" i="70"/>
  <c r="N11" i="70"/>
  <c r="N10" i="70"/>
  <c r="I35" i="73" l="1"/>
  <c r="J35" i="73" s="1"/>
  <c r="G22" i="73"/>
  <c r="G23" i="73"/>
  <c r="G21" i="73"/>
  <c r="G24" i="73"/>
  <c r="G25" i="73"/>
  <c r="G65" i="70"/>
  <c r="S54" i="70"/>
  <c r="M51" i="70"/>
  <c r="S50" i="70"/>
  <c r="S52" i="70"/>
  <c r="G38" i="70"/>
  <c r="S25" i="70"/>
  <c r="M25" i="70"/>
  <c r="M50" i="70"/>
  <c r="M54" i="70"/>
  <c r="Y27" i="73"/>
  <c r="S19" i="70"/>
  <c r="G37" i="70"/>
  <c r="Y28" i="73"/>
  <c r="S61" i="70"/>
  <c r="G30" i="70"/>
  <c r="Y10" i="73"/>
  <c r="S24" i="70"/>
  <c r="S60" i="70"/>
  <c r="M20" i="70"/>
  <c r="M52" i="70"/>
  <c r="S22" i="70"/>
  <c r="M19" i="70"/>
  <c r="S14" i="70"/>
  <c r="M61" i="70"/>
  <c r="M15" i="70"/>
  <c r="S15" i="70"/>
  <c r="M24" i="70"/>
  <c r="S18" i="70"/>
  <c r="M18" i="70"/>
  <c r="M59" i="70"/>
  <c r="M14" i="70"/>
  <c r="G25" i="70"/>
  <c r="S59" i="70"/>
  <c r="S34" i="70"/>
  <c r="S20" i="70"/>
  <c r="M60" i="70"/>
  <c r="G24" i="70"/>
  <c r="G29" i="70"/>
  <c r="M13" i="73"/>
  <c r="G10" i="73"/>
  <c r="M22" i="70"/>
  <c r="M10" i="73"/>
  <c r="M13" i="70"/>
  <c r="G26" i="70"/>
  <c r="S32" i="70"/>
  <c r="G53" i="70"/>
  <c r="G20" i="70"/>
  <c r="G15" i="70"/>
  <c r="M32" i="70"/>
  <c r="G61" i="70"/>
  <c r="G60" i="70"/>
  <c r="S13" i="70"/>
  <c r="M31" i="70"/>
  <c r="G59" i="70"/>
  <c r="G50" i="70"/>
  <c r="G13" i="70"/>
  <c r="G14" i="70"/>
  <c r="G19" i="70"/>
  <c r="G23" i="70"/>
  <c r="G22" i="70"/>
  <c r="G63" i="70"/>
  <c r="G18" i="70"/>
  <c r="M17" i="70"/>
  <c r="S17" i="70"/>
  <c r="S36" i="70"/>
  <c r="M33" i="70"/>
  <c r="S30" i="70"/>
  <c r="M36" i="70"/>
  <c r="S16" i="70"/>
  <c r="M16" i="70"/>
  <c r="M30" i="70"/>
  <c r="S12" i="70"/>
  <c r="M12" i="70"/>
  <c r="G17" i="70"/>
  <c r="S11" i="70"/>
  <c r="G16" i="70"/>
  <c r="S10" i="70"/>
  <c r="M10" i="70"/>
  <c r="G12" i="70"/>
  <c r="M11" i="70"/>
  <c r="G11" i="70"/>
  <c r="G10" i="70"/>
</calcChain>
</file>

<file path=xl/sharedStrings.xml><?xml version="1.0" encoding="utf-8"?>
<sst xmlns="http://schemas.openxmlformats.org/spreadsheetml/2006/main" count="19141" uniqueCount="2462">
  <si>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</si>
  <si>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</si>
  <si>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</si>
  <si>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</si>
  <si>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</si>
  <si>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</si>
  <si>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</si>
  <si>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</si>
  <si>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</si>
  <si>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</si>
  <si>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</si>
  <si>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</si>
  <si>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</si>
  <si>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</si>
  <si>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</si>
  <si>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</si>
  <si>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</si>
  <si>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</si>
  <si>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</si>
  <si>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</si>
  <si>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</si>
  <si>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</si>
  <si>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</si>
  <si>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</si>
  <si>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</si>
  <si>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</si>
  <si>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</si>
  <si>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</si>
  <si>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</si>
  <si>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</si>
  <si>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</si>
  <si>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</si>
  <si>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</si>
  <si>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</si>
  <si>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</si>
  <si>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</si>
  <si>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</si>
  <si>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</si>
  <si>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</si>
  <si>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</si>
  <si>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</si>
  <si>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</si>
  <si>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</si>
  <si>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</si>
  <si>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</si>
  <si>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</si>
  <si>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</si>
  <si>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</si>
  <si>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</si>
  <si>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</si>
  <si>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</si>
  <si>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</si>
  <si>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</si>
  <si>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</si>
  <si>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</si>
  <si>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</si>
  <si>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</si>
  <si>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</si>
  <si>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</si>
  <si>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</si>
  <si>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</si>
  <si>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</si>
  <si>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</si>
  <si>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</si>
  <si>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</si>
  <si>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</si>
  <si>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</si>
  <si>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</si>
  <si>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</si>
  <si>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</si>
  <si>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</si>
  <si>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</si>
  <si>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</si>
  <si>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</si>
  <si>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</si>
  <si>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</si>
  <si>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</si>
  <si>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</si>
  <si>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</si>
  <si>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</si>
  <si>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</si>
  <si>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</si>
  <si>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</si>
  <si>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</si>
  <si>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</si>
  <si>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</si>
  <si>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</si>
  <si>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</si>
  <si>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</si>
  <si>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</si>
  <si>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</si>
  <si>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</si>
  <si>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</si>
  <si>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</si>
  <si>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</si>
  <si>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</si>
  <si>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</si>
  <si>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</si>
  <si>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</si>
  <si>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</si>
  <si>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</si>
  <si>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</si>
  <si>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</si>
  <si>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</si>
  <si>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</si>
  <si>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</si>
  <si>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</si>
  <si>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</si>
  <si>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</si>
  <si>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</si>
  <si>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</si>
  <si>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</si>
  <si>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</si>
  <si>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</si>
  <si>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</si>
  <si>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</si>
  <si>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</si>
  <si>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</si>
  <si>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</si>
  <si>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</si>
  <si>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</si>
  <si>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</si>
  <si>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</si>
  <si>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</si>
  <si>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</si>
  <si>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</si>
  <si>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</si>
  <si>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</si>
  <si>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</si>
  <si>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</si>
  <si>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</si>
  <si>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</si>
  <si>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</si>
  <si>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</si>
  <si>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</si>
  <si>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</si>
  <si>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</si>
  <si>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</si>
  <si>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</si>
  <si>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</si>
  <si>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</si>
  <si>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</si>
  <si>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</si>
  <si>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</si>
  <si>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</si>
  <si>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</si>
  <si>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</si>
  <si>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</si>
  <si>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</si>
  <si>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</si>
  <si>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</si>
  <si>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</si>
  <si>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</si>
  <si>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</si>
  <si>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</si>
  <si>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</si>
  <si>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</si>
  <si>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</si>
  <si>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</si>
  <si>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</si>
  <si>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</si>
  <si>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</si>
  <si>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</si>
  <si>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</si>
  <si>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</si>
  <si>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</si>
  <si>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</si>
  <si>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</si>
  <si>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</si>
  <si>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</si>
  <si>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</si>
  <si>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</si>
  <si>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</si>
  <si>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</si>
  <si>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</si>
  <si>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</si>
  <si>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</si>
  <si>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</si>
  <si>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</si>
  <si>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</si>
  <si>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</si>
  <si>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</si>
  <si>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</si>
  <si>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</si>
  <si>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</si>
  <si>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</si>
  <si>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</si>
  <si>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</si>
  <si>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</si>
  <si>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</si>
  <si>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</si>
  <si>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</si>
  <si>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</si>
  <si>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</si>
  <si>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</si>
  <si>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</si>
  <si>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</si>
  <si>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</si>
  <si>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</si>
  <si>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</si>
  <si>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</si>
  <si>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</si>
  <si>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</si>
  <si>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</si>
  <si>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</si>
  <si>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</si>
  <si>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</si>
  <si>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</si>
  <si>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</si>
  <si>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</si>
  <si>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</si>
  <si>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</si>
  <si>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</si>
  <si>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</si>
  <si>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</si>
  <si>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</si>
  <si>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</si>
  <si>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</si>
  <si>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</si>
  <si>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</si>
  <si>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</si>
  <si>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</si>
  <si>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</si>
  <si>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</si>
  <si>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</si>
  <si>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</si>
  <si>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</si>
  <si>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</si>
  <si>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</si>
  <si>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</si>
  <si>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</si>
  <si>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</si>
  <si>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</si>
  <si>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</si>
  <si>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</si>
  <si>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</si>
  <si>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</si>
  <si>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</si>
  <si>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</si>
  <si>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</si>
  <si>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</si>
  <si>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</si>
  <si>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</si>
  <si>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</si>
  <si>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</si>
  <si>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</si>
  <si>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</si>
  <si>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</si>
  <si>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</si>
  <si>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</si>
  <si>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</si>
  <si>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</si>
  <si>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</si>
  <si>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</si>
  <si>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</si>
  <si>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</si>
  <si>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</si>
  <si>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</si>
  <si>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</si>
  <si>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</si>
  <si>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</si>
  <si>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</si>
  <si>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</si>
  <si>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</si>
  <si>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</si>
  <si>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</si>
  <si>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</si>
  <si>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</si>
  <si>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</si>
  <si>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</si>
  <si>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</si>
  <si>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</si>
  <si>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</si>
  <si>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</si>
  <si>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</si>
  <si>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</si>
  <si>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</si>
  <si>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</si>
  <si>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</si>
  <si>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</si>
  <si>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</si>
  <si>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</si>
  <si>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</si>
  <si>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</si>
  <si>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</si>
  <si>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</si>
  <si>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</si>
  <si>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</si>
  <si>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</si>
  <si>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</si>
  <si>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</si>
  <si>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</si>
  <si>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</si>
  <si>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</si>
  <si>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</si>
  <si>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</si>
  <si>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</si>
  <si>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</si>
  <si>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</si>
  <si>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</si>
  <si>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</si>
  <si>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</si>
  <si>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</si>
  <si>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</si>
  <si>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</si>
  <si>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</si>
  <si>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</si>
  <si>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</si>
  <si>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</si>
  <si>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</si>
  <si>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</si>
  <si>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</si>
  <si>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</si>
  <si>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</si>
  <si>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</si>
  <si>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</si>
  <si>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</si>
  <si>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</si>
  <si>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</si>
  <si>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</si>
  <si>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</si>
  <si>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</si>
  <si>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</si>
  <si>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</si>
  <si>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</si>
  <si>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</si>
  <si>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</si>
  <si>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</si>
  <si>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</si>
  <si>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</si>
  <si>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</si>
  <si>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</si>
  <si>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</si>
  <si>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</si>
  <si>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</si>
  <si>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</si>
  <si>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</si>
  <si>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</si>
  <si>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</si>
  <si>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</si>
  <si>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</si>
  <si>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</si>
  <si>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</si>
  <si>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</si>
  <si>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</si>
  <si>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</si>
  <si>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</si>
  <si>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</si>
  <si>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</si>
  <si>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</si>
  <si>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</si>
  <si>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</si>
  <si>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</si>
  <si>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</si>
  <si>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</si>
  <si>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</si>
  <si>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</si>
  <si>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</si>
  <si>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</si>
  <si>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</si>
  <si>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</si>
  <si>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</si>
  <si>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</si>
  <si>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</si>
  <si>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</si>
  <si>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</si>
  <si>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</si>
  <si>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</si>
  <si>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</si>
  <si>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</si>
  <si>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</si>
  <si>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</si>
  <si>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</si>
  <si>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</si>
  <si>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</si>
  <si>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</si>
  <si>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</si>
  <si>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</si>
  <si>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</si>
  <si>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</si>
  <si>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</si>
  <si>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</si>
  <si>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</si>
  <si>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</si>
  <si>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</si>
  <si>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</si>
  <si>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</si>
  <si>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</si>
  <si>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</si>
  <si>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</si>
  <si>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</si>
  <si>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</si>
  <si>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</si>
  <si>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</si>
  <si>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</si>
  <si>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</si>
  <si>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</si>
  <si>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</si>
  <si>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</si>
  <si>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</si>
  <si>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</si>
  <si>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</si>
  <si>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</si>
  <si>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</si>
  <si>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</si>
  <si>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</si>
  <si>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</si>
  <si>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</si>
  <si>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</si>
  <si>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</si>
  <si>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</si>
  <si>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</si>
  <si>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</si>
  <si>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</si>
  <si>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</si>
  <si>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</si>
  <si>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</si>
  <si>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</si>
  <si>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</si>
  <si>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</si>
  <si>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</si>
  <si>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</si>
  <si>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</si>
  <si>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</si>
  <si>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</si>
  <si>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</si>
  <si>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</si>
  <si>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</si>
  <si>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</si>
  <si>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</si>
  <si>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</si>
  <si>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</si>
  <si>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</si>
  <si>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</si>
  <si>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</si>
  <si>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</si>
  <si>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</si>
  <si>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</si>
  <si>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</si>
  <si>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</si>
  <si>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</si>
  <si>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</si>
  <si>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</si>
  <si>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</si>
  <si>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</si>
  <si>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</si>
  <si>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</si>
  <si>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</si>
  <si>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</si>
  <si>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</si>
  <si>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</si>
  <si>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</si>
  <si>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</si>
  <si>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</si>
  <si>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</si>
  <si>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</si>
  <si>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</si>
  <si>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</si>
  <si>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</si>
  <si>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</si>
  <si>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</si>
  <si>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</si>
  <si>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</si>
  <si>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</si>
  <si>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</si>
  <si>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</si>
  <si>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</si>
  <si>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</si>
  <si>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</si>
  <si>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</si>
  <si>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</si>
  <si>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</si>
  <si>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</si>
  <si>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</si>
  <si>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</si>
  <si>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</si>
  <si>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</si>
  <si>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</si>
  <si>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</si>
  <si>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</si>
  <si>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</si>
  <si>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</si>
  <si>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</si>
  <si>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</si>
  <si>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</si>
  <si>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</si>
  <si>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</si>
  <si>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</si>
  <si>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</si>
  <si>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</si>
  <si>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</si>
  <si>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</si>
  <si>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</si>
  <si>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</si>
  <si>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</si>
  <si>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</si>
  <si>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</si>
  <si>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</si>
  <si>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</si>
  <si>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</si>
  <si>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</si>
  <si>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</si>
  <si>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</si>
  <si>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</si>
  <si>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</si>
  <si>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</si>
  <si>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</si>
  <si>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</si>
  <si>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</si>
  <si>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</si>
  <si>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</si>
  <si>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</si>
  <si>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</si>
  <si>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</si>
  <si>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</si>
  <si>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</si>
  <si>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</si>
  <si>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</si>
  <si>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</si>
  <si>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</si>
  <si>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</si>
  <si>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</si>
  <si>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</si>
  <si>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</si>
  <si>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</si>
  <si>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</si>
  <si>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</si>
  <si>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</si>
  <si>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</si>
  <si>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</si>
  <si>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</si>
  <si>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</si>
  <si>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</si>
  <si>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</si>
  <si>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</si>
  <si>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</si>
  <si>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</si>
  <si>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</si>
  <si>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</si>
  <si>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</si>
  <si>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</si>
  <si>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</si>
  <si>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</si>
  <si>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</si>
  <si>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</si>
  <si>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</si>
  <si>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</si>
  <si>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</si>
  <si>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</si>
  <si>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</si>
  <si>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</si>
  <si>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</si>
  <si>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</si>
  <si>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</si>
  <si>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</si>
  <si>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</si>
  <si>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</si>
  <si>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</si>
  <si>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</si>
  <si>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</si>
  <si>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</si>
  <si>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</si>
  <si>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</si>
  <si>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</si>
  <si>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</si>
  <si>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</si>
  <si>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</si>
  <si>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</si>
  <si>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</si>
  <si>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</si>
  <si>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</si>
  <si>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</si>
  <si>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</si>
  <si>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</si>
  <si>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</si>
  <si>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</si>
  <si>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</si>
  <si>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</si>
  <si>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</si>
  <si>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</si>
  <si>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</si>
  <si>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</si>
  <si>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</si>
  <si>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</si>
  <si>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</si>
  <si>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</si>
  <si>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</si>
  <si>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</si>
  <si>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</si>
  <si>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</si>
  <si>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</si>
  <si>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</si>
  <si>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</si>
  <si>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</si>
  <si>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</si>
  <si>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</si>
  <si>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</si>
  <si>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</si>
  <si>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</si>
  <si>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</si>
  <si>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</si>
  <si>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</si>
  <si>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</si>
  <si>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</si>
  <si>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</si>
  <si>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</si>
  <si>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</si>
  <si>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</si>
  <si>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</si>
  <si>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</si>
  <si>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</si>
  <si>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</si>
  <si>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</si>
  <si>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</si>
  <si>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</si>
  <si>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</si>
  <si>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</si>
  <si>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</si>
  <si>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</si>
  <si>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</si>
  <si>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</si>
  <si>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</si>
  <si>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</si>
  <si>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</si>
  <si>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</si>
  <si>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</si>
  <si>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</si>
  <si>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</si>
  <si>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</si>
  <si>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</si>
  <si>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</si>
  <si>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</si>
  <si>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</si>
  <si>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</si>
  <si>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</si>
  <si>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</si>
  <si>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</si>
  <si>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</si>
  <si>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</si>
  <si>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</si>
  <si>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</si>
  <si>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</si>
  <si>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</si>
  <si>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</si>
  <si>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</si>
  <si>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</si>
  <si>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</si>
  <si>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</si>
  <si>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</si>
  <si>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</si>
  <si>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</si>
  <si>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</si>
  <si>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</si>
  <si>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</si>
  <si>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</si>
  <si>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</si>
  <si>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</si>
  <si>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</si>
  <si>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</si>
  <si>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</si>
  <si>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</si>
  <si>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</si>
  <si>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</si>
  <si>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</si>
  <si>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</si>
  <si>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</si>
  <si>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</si>
  <si>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</si>
  <si>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</si>
  <si>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</si>
  <si>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</si>
  <si>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</si>
  <si>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</si>
  <si>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</si>
  <si>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</si>
  <si>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</si>
  <si>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</si>
  <si>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</si>
  <si>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</si>
  <si>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</si>
  <si>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</si>
  <si>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</si>
  <si>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</si>
  <si>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</si>
  <si>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</si>
  <si>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</si>
  <si>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</si>
  <si>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</si>
  <si>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</si>
  <si>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</si>
  <si>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</si>
  <si>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</si>
  <si>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</si>
  <si>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</si>
  <si>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</si>
  <si>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</si>
  <si>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</si>
  <si>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</si>
  <si>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</si>
  <si>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</si>
  <si>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</si>
  <si>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</si>
  <si>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</si>
  <si>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</si>
  <si>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</si>
  <si>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</si>
  <si>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</si>
  <si>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</si>
  <si>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</si>
  <si>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</si>
  <si>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</si>
  <si>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</si>
  <si>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</si>
  <si>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</si>
  <si>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</si>
  <si>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</si>
  <si>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</si>
  <si>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</si>
  <si>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</si>
  <si>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</si>
  <si>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</si>
  <si>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</si>
  <si>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</si>
  <si>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</si>
  <si>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</si>
  <si>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</si>
  <si>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</si>
  <si>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</si>
  <si>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</si>
  <si>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</si>
  <si>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</si>
  <si>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</si>
  <si>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</si>
  <si>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</si>
  <si>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</si>
  <si>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</si>
  <si>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</si>
  <si>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</si>
  <si>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</si>
  <si>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</si>
  <si>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</si>
  <si>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</si>
  <si>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</si>
  <si>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</si>
  <si>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</si>
  <si>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</si>
  <si>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</si>
  <si>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</si>
  <si>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</si>
  <si>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</si>
  <si>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</si>
  <si>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</si>
  <si>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</si>
  <si>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</si>
  <si>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</si>
  <si>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</si>
  <si>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</si>
  <si>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</si>
  <si>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</si>
  <si>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</si>
  <si>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</si>
  <si>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</si>
  <si>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</si>
  <si>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</si>
  <si>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</si>
  <si>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</si>
  <si>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</si>
  <si>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</si>
  <si>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</si>
  <si>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</si>
  <si>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</si>
  <si>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</si>
  <si>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</si>
  <si>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</si>
  <si>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</si>
  <si>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</si>
  <si>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</si>
  <si>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</si>
  <si>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</si>
  <si>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</si>
  <si>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</si>
  <si>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</si>
  <si>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</si>
  <si>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</si>
  <si>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</si>
  <si>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</si>
  <si>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</si>
  <si>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</si>
  <si>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</si>
  <si>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</si>
  <si>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</si>
  <si>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</si>
  <si>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</si>
  <si>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</si>
  <si>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</si>
  <si>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</si>
  <si>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</si>
  <si>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</si>
  <si>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</si>
  <si>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</si>
  <si>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</si>
  <si>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</si>
  <si>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</si>
  <si>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</si>
  <si>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</si>
  <si>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</si>
  <si>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</si>
  <si>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</si>
  <si>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</si>
  <si>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</si>
  <si>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</si>
  <si>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</si>
  <si>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</si>
  <si>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</si>
  <si>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</si>
  <si>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</si>
  <si>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</si>
  <si>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</si>
  <si>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</si>
  <si>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</si>
  <si>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</si>
  <si>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</si>
  <si>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</si>
  <si>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</si>
  <si>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</si>
  <si>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</si>
  <si>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</si>
  <si>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</si>
  <si>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</si>
  <si>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</si>
  <si>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</si>
  <si>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</si>
  <si>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</si>
  <si>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</si>
  <si>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</si>
  <si>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</si>
  <si>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</si>
  <si>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</si>
  <si>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</si>
  <si>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</si>
  <si>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</si>
  <si>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</si>
  <si>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</si>
  <si>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</si>
  <si>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</si>
  <si>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</si>
  <si>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</si>
  <si>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</si>
  <si>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</si>
  <si>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</si>
  <si>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</si>
  <si>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</si>
  <si>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</si>
  <si>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</si>
  <si>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</si>
  <si>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</si>
  <si>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</si>
  <si>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</si>
  <si>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</si>
  <si>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</si>
  <si>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</si>
  <si>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</si>
  <si>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</si>
  <si>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</si>
  <si>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</si>
  <si>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</si>
  <si>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</si>
  <si>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</si>
  <si>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</si>
  <si>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</si>
  <si>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</si>
  <si>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</si>
  <si>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</si>
  <si>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</si>
  <si>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</si>
  <si>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</si>
  <si>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</si>
  <si>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</si>
  <si>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</si>
  <si>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</si>
  <si>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</si>
  <si>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</si>
  <si>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</si>
  <si>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</si>
  <si>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</si>
  <si>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</si>
  <si>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</si>
  <si>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</si>
  <si>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</si>
  <si>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</si>
  <si>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</si>
  <si>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</si>
  <si>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</si>
  <si>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</si>
  <si>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</si>
  <si>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</si>
  <si>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</si>
  <si>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</si>
  <si>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</si>
  <si>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</si>
  <si>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</si>
  <si>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</si>
  <si>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</si>
  <si>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</si>
  <si>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</si>
  <si>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</si>
  <si>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</si>
  <si>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</si>
  <si>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</si>
  <si>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</si>
  <si>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</si>
  <si>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</si>
  <si>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</si>
  <si>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</si>
  <si>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</si>
  <si>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</si>
  <si>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</si>
  <si>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</si>
  <si>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</si>
  <si>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</si>
  <si>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</si>
  <si>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</si>
  <si>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</si>
  <si>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</si>
  <si>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</si>
  <si>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</si>
  <si>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</si>
  <si>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</si>
  <si>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</si>
  <si>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</si>
  <si>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</si>
  <si>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</si>
  <si>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</si>
  <si>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</si>
  <si>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</si>
  <si>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</si>
  <si>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</si>
  <si>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</si>
  <si>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</si>
  <si>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</si>
  <si>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</si>
  <si>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</si>
  <si>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</si>
  <si>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</si>
  <si>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</si>
  <si>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</si>
  <si>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</si>
  <si>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</si>
  <si>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</si>
  <si>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</si>
  <si>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</si>
  <si>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</si>
  <si>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</si>
  <si>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</si>
  <si>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</si>
  <si>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</si>
  <si>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</si>
  <si>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</si>
  <si>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</si>
  <si>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</si>
  <si>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</si>
  <si>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</si>
  <si>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</si>
  <si>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</si>
  <si>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</si>
  <si>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</si>
  <si>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</si>
  <si>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</si>
  <si>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</si>
  <si>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</si>
  <si>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</si>
  <si>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</si>
  <si>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</si>
  <si>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</si>
  <si>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</si>
  <si>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</si>
  <si>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</si>
  <si>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</si>
  <si>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</si>
  <si>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</si>
  <si>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</si>
  <si>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</si>
  <si>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</si>
  <si>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</si>
  <si>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</si>
  <si>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</si>
  <si>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</si>
  <si>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</si>
  <si>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</si>
  <si>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</si>
  <si>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</si>
  <si>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</si>
  <si>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</si>
  <si>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</si>
  <si>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</si>
  <si>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</si>
  <si>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</si>
  <si>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</si>
  <si>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</si>
  <si>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</si>
  <si>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</si>
  <si>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</si>
  <si>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</si>
  <si>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</si>
  <si>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</si>
  <si>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</si>
  <si>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</si>
  <si>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</si>
  <si>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</si>
  <si>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</si>
  <si>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</si>
  <si>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</si>
  <si>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</si>
  <si>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</si>
  <si>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</si>
  <si>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</si>
  <si>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</si>
  <si>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</si>
  <si>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</si>
  <si>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</si>
  <si>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</si>
  <si>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</si>
  <si>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</si>
  <si>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</si>
  <si>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</si>
  <si>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</si>
  <si>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</si>
  <si>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</si>
  <si>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</si>
  <si>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</si>
  <si>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</si>
  <si>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</si>
  <si>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</si>
  <si>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</si>
  <si>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</si>
  <si>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</si>
  <si>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</si>
  <si>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</si>
  <si>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</si>
  <si>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</si>
  <si>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</si>
  <si>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</si>
  <si>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</si>
  <si>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</si>
  <si>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</si>
  <si>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</si>
  <si>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</si>
  <si>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</si>
  <si>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</si>
  <si>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</si>
  <si>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</si>
  <si>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</si>
  <si>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</si>
  <si>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</si>
  <si>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</si>
  <si>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</si>
  <si>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</si>
  <si>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</si>
  <si>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</si>
  <si>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</si>
  <si>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</si>
  <si>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</si>
  <si>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</si>
  <si>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</si>
  <si>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</si>
  <si>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</si>
  <si>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</si>
  <si>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</si>
  <si>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</si>
  <si>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</si>
  <si>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</si>
  <si>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</si>
  <si>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</si>
  <si>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</si>
  <si>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</si>
  <si>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</si>
  <si>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</si>
  <si>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</si>
  <si>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</si>
  <si>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</si>
  <si>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</si>
  <si>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</si>
  <si>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</si>
  <si>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</si>
  <si>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</si>
  <si>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</si>
  <si>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</si>
  <si>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</si>
  <si>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</si>
  <si>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</si>
  <si>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</si>
  <si>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</si>
  <si>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</si>
  <si>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</si>
  <si>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</si>
  <si>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</si>
  <si>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</si>
  <si>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</si>
  <si>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</si>
  <si>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</si>
  <si>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</si>
  <si>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</si>
  <si>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</si>
  <si>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</si>
  <si>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</si>
  <si>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</si>
  <si>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</si>
  <si>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</si>
  <si>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</si>
  <si>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</si>
  <si>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</si>
  <si>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</si>
  <si>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</si>
  <si>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</si>
  <si>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</si>
  <si>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</si>
  <si>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</si>
  <si>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</si>
  <si>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</si>
  <si>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</si>
  <si>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</si>
  <si>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</si>
  <si>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</si>
  <si>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</si>
  <si>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</si>
  <si>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</si>
  <si>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</si>
  <si>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</si>
  <si>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</si>
  <si>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</si>
  <si>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</si>
  <si>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</si>
  <si>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</si>
  <si>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</si>
  <si>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</si>
  <si>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</si>
  <si>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</si>
  <si>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</si>
  <si>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</si>
  <si>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</si>
  <si>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</si>
  <si>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</si>
  <si>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</si>
  <si>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</si>
  <si>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</si>
  <si>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</si>
  <si>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</si>
  <si>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</si>
  <si>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</si>
  <si>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</si>
  <si>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</si>
  <si>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</si>
  <si>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</si>
  <si>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</si>
  <si>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</si>
  <si>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</si>
  <si>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</si>
  <si>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</si>
  <si>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</si>
  <si>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</si>
  <si>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</si>
  <si>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</si>
  <si>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</si>
  <si>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</si>
  <si>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</si>
  <si>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</si>
  <si>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</si>
  <si>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</si>
  <si>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</si>
  <si>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</si>
  <si>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</si>
  <si>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</si>
  <si>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</si>
  <si>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</si>
  <si>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</si>
  <si>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</si>
  <si>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</si>
  <si>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</si>
  <si>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</si>
  <si>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</si>
  <si>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</si>
  <si>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</si>
  <si>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</si>
  <si>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</si>
  <si>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</si>
  <si>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</si>
  <si>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</si>
  <si>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</si>
  <si>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</si>
  <si>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</si>
  <si>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</si>
  <si>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</si>
  <si>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</si>
  <si>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</si>
  <si>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</si>
  <si>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</si>
  <si>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</si>
  <si>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</si>
  <si>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</si>
  <si>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</si>
  <si>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</si>
  <si>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</si>
  <si>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</si>
  <si>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</si>
  <si>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</si>
  <si>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</si>
  <si>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</si>
  <si>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</si>
  <si>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</si>
  <si>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</si>
  <si>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</si>
  <si>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</si>
  <si>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</si>
  <si>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</si>
  <si>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</si>
  <si>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</si>
  <si>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</si>
  <si>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</si>
  <si>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</si>
  <si>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</si>
  <si>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</si>
  <si>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</si>
  <si>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</si>
  <si>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</si>
  <si>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</si>
  <si>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</si>
  <si>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</si>
  <si>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</si>
  <si>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</si>
  <si>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</si>
  <si>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</si>
  <si>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</si>
  <si>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</si>
  <si>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</si>
  <si>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</si>
  <si>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</si>
  <si>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</si>
  <si>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</si>
  <si>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</si>
  <si>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</si>
  <si>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</si>
  <si>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</si>
  <si>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</si>
  <si>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</si>
  <si>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</si>
  <si>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</si>
  <si>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</si>
  <si>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</si>
  <si>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</si>
  <si>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</si>
  <si>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</si>
  <si>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</si>
  <si>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</si>
  <si>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</si>
  <si>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</si>
  <si>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</si>
  <si>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</si>
  <si>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</si>
  <si>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</si>
  <si>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</si>
  <si>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</si>
  <si>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</si>
  <si>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</si>
  <si>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</si>
  <si>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</si>
  <si>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</si>
  <si>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</si>
  <si>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</si>
  <si>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</si>
  <si>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</si>
  <si>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</si>
  <si>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</si>
  <si>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</si>
  <si>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</si>
  <si>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</si>
  <si>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</si>
  <si>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</si>
  <si>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</si>
  <si>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</si>
  <si>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</si>
  <si>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</si>
  <si>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</si>
  <si>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</si>
  <si>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</si>
  <si>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</si>
  <si>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</si>
  <si>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</si>
  <si>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</si>
  <si>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</si>
  <si>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</si>
  <si>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</si>
  <si>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</si>
  <si>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</si>
  <si>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</si>
  <si>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</si>
  <si>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</si>
  <si>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</si>
  <si>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</si>
  <si>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</si>
  <si>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</si>
  <si>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</si>
  <si>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</si>
  <si>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</si>
  <si>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</si>
  <si>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</si>
  <si>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</si>
  <si>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</si>
  <si>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</si>
  <si>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</si>
  <si>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</si>
  <si>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</si>
  <si>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</si>
  <si>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</si>
  <si>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</si>
  <si>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</si>
  <si>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</si>
  <si>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</si>
  <si>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</si>
  <si>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</si>
  <si>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</si>
  <si>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</si>
  <si>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</si>
  <si>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</si>
  <si>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</si>
  <si>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</si>
  <si>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</si>
  <si>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</si>
  <si>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</si>
  <si>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</si>
  <si>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</si>
  <si>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</si>
  <si>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</si>
  <si>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</si>
  <si>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</si>
  <si>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</si>
  <si>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</si>
  <si>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</si>
  <si>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</si>
  <si>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</si>
  <si>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</si>
  <si>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</si>
  <si>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</si>
  <si>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</si>
  <si>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</si>
  <si>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</si>
  <si>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</si>
  <si>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</si>
  <si>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</si>
  <si>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</si>
  <si>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</si>
  <si>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</si>
  <si>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</si>
  <si>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</si>
  <si>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</si>
  <si>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</si>
  <si>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</si>
  <si>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</si>
  <si>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</si>
  <si>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</si>
  <si>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</si>
  <si>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</si>
  <si>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</si>
  <si>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</si>
  <si>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</si>
  <si>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</si>
  <si>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</si>
  <si>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</si>
  <si>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</si>
  <si>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</si>
  <si>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</si>
  <si>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</si>
  <si>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</si>
  <si>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</si>
  <si>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</si>
  <si>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</si>
  <si>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</si>
  <si>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</si>
  <si>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</si>
  <si>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</si>
  <si>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</si>
  <si>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</si>
  <si>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</si>
  <si>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</si>
  <si>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</si>
  <si>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</si>
  <si>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</si>
  <si>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</si>
  <si>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</si>
  <si>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</si>
  <si>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</si>
  <si>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</si>
  <si>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</si>
  <si>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</si>
  <si>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</si>
  <si>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</si>
  <si>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</si>
  <si>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</si>
  <si>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</si>
  <si>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</si>
  <si>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</si>
  <si>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</si>
  <si>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</si>
  <si>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</si>
  <si>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</si>
  <si>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</si>
  <si>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</si>
  <si>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</si>
  <si>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</si>
  <si>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</si>
  <si>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</si>
  <si>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</si>
  <si>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</si>
  <si>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</si>
  <si>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</si>
  <si>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</si>
  <si>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</si>
  <si>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</si>
  <si>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</si>
  <si>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</si>
  <si>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</si>
  <si>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</si>
  <si>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</si>
  <si>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</si>
  <si>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</si>
  <si>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</si>
  <si>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</si>
  <si>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</si>
  <si>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</si>
  <si>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</si>
  <si>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</si>
  <si>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</si>
  <si>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</si>
  <si>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</si>
  <si>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</si>
  <si>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</si>
  <si>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</si>
  <si>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</si>
  <si>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</si>
  <si>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</si>
  <si>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</si>
  <si>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</si>
  <si>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</si>
  <si>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</si>
  <si>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</si>
  <si>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</si>
  <si>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</si>
  <si>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</si>
  <si>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</si>
  <si>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</si>
  <si>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</si>
  <si>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</si>
  <si>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</si>
  <si>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</si>
  <si>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</si>
  <si>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</si>
  <si>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</si>
  <si>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</si>
  <si>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</si>
  <si>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</si>
  <si>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</si>
  <si>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</si>
  <si>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</si>
  <si>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</si>
  <si>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</si>
  <si>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</si>
  <si>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</si>
  <si>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</si>
  <si>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</si>
  <si>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</si>
  <si>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</si>
  <si>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</si>
  <si>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</si>
  <si>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</si>
  <si>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</si>
  <si>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</si>
  <si>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</si>
  <si>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</si>
  <si>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</si>
  <si>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</si>
  <si>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</si>
  <si>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</si>
  <si>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</si>
  <si>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</si>
  <si>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</si>
  <si>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</si>
  <si>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</si>
  <si>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</si>
  <si>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</si>
  <si>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</si>
  <si>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</si>
  <si>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</si>
  <si>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</si>
  <si>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</si>
  <si>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</si>
  <si>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</si>
  <si>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</si>
  <si>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</si>
  <si>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</si>
  <si>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</si>
  <si>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</si>
  <si>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</si>
  <si>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</si>
  <si>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</si>
  <si>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</si>
  <si>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</si>
  <si>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</si>
  <si>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</si>
  <si>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</si>
  <si>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</si>
  <si>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</si>
  <si>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</si>
  <si>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</si>
  <si>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</si>
  <si>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</si>
  <si>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</si>
  <si>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</si>
  <si>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</si>
  <si>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</si>
  <si>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</si>
  <si>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</si>
  <si>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</si>
  <si>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</si>
  <si>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</si>
  <si>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</si>
  <si>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</si>
  <si>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</si>
  <si>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</si>
  <si>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</si>
  <si>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</si>
  <si>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</si>
  <si>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</si>
  <si>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</si>
  <si>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</si>
  <si>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</si>
  <si>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</si>
  <si>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</si>
  <si>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</si>
  <si>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</si>
  <si>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</si>
  <si>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</si>
  <si>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</si>
  <si>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</si>
  <si>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</si>
  <si>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</si>
  <si>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</si>
  <si>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</si>
  <si>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</si>
  <si>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</si>
  <si>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</si>
  <si>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</si>
  <si>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</si>
  <si>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</si>
  <si>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</si>
  <si>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</si>
  <si>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</si>
  <si>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</si>
  <si>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</si>
  <si>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</si>
  <si>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</si>
  <si>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</si>
  <si>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</si>
  <si>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</si>
  <si>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</si>
  <si>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</si>
  <si>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</si>
  <si>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</si>
  <si>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</si>
  <si>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</si>
  <si>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</si>
  <si>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</si>
  <si>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</si>
  <si>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</si>
  <si>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</si>
  <si>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</si>
  <si>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</si>
  <si>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</si>
  <si>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</si>
  <si>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</si>
  <si>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</si>
  <si>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</si>
  <si>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</si>
  <si>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</si>
  <si>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</si>
  <si>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</si>
  <si>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</si>
  <si>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</si>
  <si>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</si>
  <si>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</si>
  <si>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</si>
  <si>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</si>
  <si>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</si>
  <si>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</si>
  <si>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</si>
  <si>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</si>
  <si>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</si>
  <si>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</si>
  <si>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</si>
  <si>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</si>
  <si>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</si>
  <si>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</si>
  <si>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</si>
  <si>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</si>
  <si>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</si>
  <si>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</si>
  <si>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</si>
  <si>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</si>
  <si>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</si>
  <si>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</si>
  <si>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</si>
  <si>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</si>
  <si>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</si>
  <si>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</si>
  <si>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</si>
  <si>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</si>
  <si>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</si>
  <si>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</si>
  <si>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</si>
  <si>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</si>
  <si>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</si>
  <si>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</si>
  <si>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</si>
  <si>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</si>
  <si>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</si>
  <si>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</si>
  <si>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</si>
  <si>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</si>
  <si>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</si>
  <si>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</si>
  <si>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</si>
  <si>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</si>
  <si>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</si>
  <si>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</si>
  <si>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</si>
  <si>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</si>
  <si>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</si>
  <si>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</si>
  <si>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</si>
  <si>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</si>
  <si>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</si>
  <si>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</si>
  <si>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</si>
  <si>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</si>
  <si>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</si>
  <si>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</si>
  <si>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</si>
  <si>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</si>
  <si>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</si>
  <si>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</si>
  <si>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</si>
  <si>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</si>
  <si>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</si>
  <si>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</si>
  <si>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</si>
  <si>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</si>
  <si>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</si>
  <si>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</si>
  <si>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</si>
  <si>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</si>
  <si>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</si>
  <si>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</si>
  <si>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</si>
  <si>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</si>
  <si>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</si>
  <si>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</si>
  <si>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</si>
  <si>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</si>
  <si>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</si>
  <si>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</si>
  <si>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</si>
  <si>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</si>
  <si>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</si>
  <si>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</si>
  <si>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</si>
  <si>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</si>
  <si>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</si>
  <si>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</si>
  <si>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</si>
  <si>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</si>
  <si>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</si>
  <si>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</si>
  <si>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</si>
  <si>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</si>
  <si>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</si>
  <si>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</si>
  <si>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</si>
  <si>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</si>
  <si>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</si>
  <si>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</si>
  <si>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</si>
  <si>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</si>
  <si>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</si>
  <si>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</si>
  <si>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</si>
  <si>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</si>
  <si>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</si>
  <si>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</si>
  <si>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</si>
  <si>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</si>
  <si>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</si>
  <si>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</si>
  <si>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</si>
  <si>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</si>
  <si>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</si>
  <si>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</si>
  <si>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</si>
  <si>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</si>
  <si>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</si>
  <si>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</si>
  <si>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</si>
  <si>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</si>
  <si>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</si>
  <si>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</si>
  <si>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</si>
  <si>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</si>
  <si>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</si>
  <si>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</si>
  <si>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</si>
  <si>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</si>
  <si>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</si>
  <si>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</si>
  <si>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</si>
  <si>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</si>
  <si>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</si>
  <si>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</si>
  <si>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</si>
  <si>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</si>
  <si>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</si>
  <si>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</si>
  <si>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</si>
  <si>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</si>
  <si>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</si>
  <si>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</si>
  <si>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</si>
  <si>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</si>
  <si>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</si>
  <si>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</si>
  <si>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</si>
  <si>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</si>
  <si>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</si>
  <si>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</si>
  <si>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</si>
  <si>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</si>
  <si>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</si>
  <si>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</si>
  <si>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</si>
  <si>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</si>
  <si>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</si>
  <si>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</si>
  <si>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</si>
  <si>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</si>
  <si>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</si>
  <si>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</si>
  <si>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</si>
  <si>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</si>
  <si>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</si>
  <si>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</si>
  <si>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</si>
  <si>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</si>
  <si>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</si>
  <si>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</si>
  <si>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</si>
  <si>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</si>
  <si>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</si>
  <si>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</si>
  <si>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</si>
  <si>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</si>
  <si>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</si>
  <si>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</si>
  <si>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</si>
  <si>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</si>
  <si>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</si>
  <si>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</si>
  <si>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</si>
  <si>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</si>
  <si>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</si>
  <si>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</si>
  <si>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</si>
  <si>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</si>
  <si>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</si>
  <si>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</si>
  <si>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</si>
  <si>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</si>
  <si>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</si>
  <si>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</si>
  <si>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</si>
  <si>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</si>
  <si>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</si>
  <si>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</si>
  <si>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</si>
  <si>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</si>
  <si>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</si>
  <si>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</si>
  <si>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</si>
  <si>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</si>
  <si>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</si>
  <si>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</si>
  <si>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</si>
  <si>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</si>
  <si>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</si>
  <si>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</si>
  <si>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</si>
  <si>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</si>
  <si>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</si>
  <si>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</si>
  <si>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</si>
  <si>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</si>
  <si>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</si>
  <si>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</si>
  <si>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</si>
  <si>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</si>
  <si>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</si>
  <si>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</si>
  <si>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</si>
  <si>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</si>
  <si>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</si>
  <si>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</si>
  <si>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</si>
  <si>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</si>
  <si>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</si>
  <si>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</si>
  <si>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</si>
  <si>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</si>
  <si>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</si>
  <si>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</si>
  <si>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</si>
  <si>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</si>
  <si>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</si>
  <si>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</si>
  <si>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</si>
  <si>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</si>
  <si>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</si>
  <si>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</si>
  <si>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</si>
  <si>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</si>
  <si>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</si>
  <si>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</si>
  <si>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</si>
  <si>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</si>
  <si>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</si>
  <si>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</si>
  <si>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</si>
  <si>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</si>
  <si>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</si>
  <si>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</si>
  <si>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</si>
  <si>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</si>
  <si>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</si>
  <si>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</si>
  <si>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</si>
  <si>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</si>
  <si>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</si>
  <si>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</si>
  <si>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</si>
  <si>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</si>
  <si>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</si>
  <si>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</si>
  <si>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</si>
  <si>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</si>
  <si>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</si>
  <si>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</si>
  <si>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</si>
  <si>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</si>
  <si>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</si>
  <si>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</si>
  <si>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</si>
  <si>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</si>
  <si>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</si>
  <si>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</si>
  <si>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</si>
  <si>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</si>
  <si>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</si>
  <si>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</si>
  <si>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</si>
  <si>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</si>
  <si>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</si>
  <si>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</si>
  <si>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</si>
  <si>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</si>
  <si>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</si>
  <si>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</si>
  <si>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</si>
  <si>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</si>
  <si>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</si>
  <si>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</si>
  <si>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</si>
  <si>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</si>
  <si>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</si>
  <si>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</si>
  <si>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</si>
  <si>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</si>
  <si>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</si>
  <si>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</si>
  <si>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</si>
  <si>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</si>
  <si>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</si>
  <si>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</si>
  <si>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</si>
  <si>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</si>
  <si>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</si>
  <si>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</si>
  <si>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</si>
  <si>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</si>
  <si>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</si>
  <si>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</si>
  <si>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</si>
  <si>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</si>
  <si>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</si>
  <si>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</si>
  <si>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</si>
  <si>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</si>
  <si>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</si>
  <si>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</si>
  <si>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</si>
  <si>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</si>
  <si>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</si>
  <si>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</si>
  <si>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</si>
  <si>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</si>
  <si>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</si>
  <si>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</si>
  <si>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</si>
  <si>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</si>
  <si>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</si>
  <si>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</si>
  <si>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</si>
  <si>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</si>
  <si>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</si>
  <si>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</si>
  <si>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</si>
  <si>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</si>
  <si>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</si>
  <si>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</si>
  <si>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</si>
  <si>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</si>
  <si>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</si>
  <si>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</si>
  <si>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</si>
  <si>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</si>
  <si>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</si>
  <si>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</si>
  <si>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</si>
  <si>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</si>
  <si>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</si>
  <si>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</si>
  <si>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</si>
  <si>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</si>
  <si>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</si>
  <si>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</si>
  <si>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</si>
  <si>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</si>
  <si>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</si>
  <si>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</si>
  <si>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</si>
  <si>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</si>
  <si>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</si>
  <si>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</si>
  <si>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</si>
  <si>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</si>
  <si>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</si>
  <si>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</si>
  <si>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</si>
  <si>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</si>
  <si>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</si>
  <si>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</si>
  <si>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</si>
  <si>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</si>
  <si>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</si>
  <si>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</si>
  <si>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</si>
  <si>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</si>
  <si>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</si>
  <si>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</si>
  <si>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</si>
  <si>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</si>
  <si>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</si>
  <si>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</si>
  <si>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</si>
  <si>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</si>
  <si>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</si>
  <si>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</si>
  <si>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</si>
  <si>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</si>
  <si>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</si>
  <si>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</si>
  <si>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</si>
  <si>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</si>
  <si>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</si>
  <si>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</si>
  <si>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</si>
  <si>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</si>
  <si>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</si>
  <si>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</si>
  <si>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</si>
  <si>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</si>
  <si>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</si>
  <si>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</si>
  <si>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</si>
  <si>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</si>
  <si>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</si>
  <si>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</si>
  <si>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</si>
  <si>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</si>
  <si>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</si>
  <si>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</si>
  <si>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</si>
  <si>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</si>
  <si>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</si>
  <si>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</si>
  <si>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</si>
  <si>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</si>
  <si>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</si>
  <si>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</si>
  <si>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</si>
  <si>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</si>
  <si>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</si>
  <si>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</si>
  <si>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</si>
  <si>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</si>
  <si>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</si>
  <si>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</si>
  <si>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</si>
  <si>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</si>
  <si>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</si>
  <si>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</si>
  <si>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</si>
  <si>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</si>
  <si>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</si>
  <si>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</si>
  <si>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</si>
  <si>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</si>
  <si>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</si>
  <si>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</si>
  <si>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</si>
  <si>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</si>
  <si>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</si>
  <si>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</si>
  <si>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</si>
  <si>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</si>
  <si>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</si>
  <si>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</si>
  <si>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</si>
  <si>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</si>
  <si>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</si>
  <si>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</si>
  <si>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</si>
  <si>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</si>
  <si>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</si>
  <si>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</si>
  <si>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</si>
  <si>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</si>
  <si>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</si>
  <si>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</si>
  <si>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</si>
  <si>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</si>
  <si>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</si>
  <si>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</si>
  <si>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</si>
  <si>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</si>
  <si>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</si>
  <si>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</si>
  <si>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</si>
  <si>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</si>
  <si>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</si>
  <si>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</si>
  <si>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</si>
  <si>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</si>
  <si>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</si>
  <si>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</si>
  <si>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</si>
  <si>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</si>
  <si>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</si>
  <si>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</si>
  <si>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</si>
  <si>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</si>
  <si>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</si>
  <si>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</si>
  <si>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</si>
  <si>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</si>
  <si>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</si>
  <si>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</si>
  <si>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</si>
  <si>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</si>
  <si>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</si>
  <si>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</si>
  <si>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</si>
  <si>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</si>
  <si>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</si>
  <si>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</si>
  <si>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</si>
  <si>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</si>
  <si>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</si>
  <si>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</si>
  <si>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</si>
  <si>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</si>
  <si>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</si>
  <si>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</si>
  <si>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</si>
  <si>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</si>
  <si>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</si>
  <si>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</si>
  <si>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</si>
  <si>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</si>
  <si>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</si>
  <si>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</si>
  <si>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</si>
  <si>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</si>
  <si>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</si>
  <si>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</si>
  <si>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</si>
  <si>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</si>
  <si>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</si>
  <si>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</si>
  <si>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</si>
  <si>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</si>
  <si>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</si>
  <si>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</si>
  <si>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</si>
  <si>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</si>
  <si>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</si>
  <si>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</si>
  <si>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</si>
  <si>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</si>
  <si>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</si>
  <si>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</si>
  <si>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</si>
  <si>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</si>
  <si>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</si>
  <si>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</si>
  <si>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</si>
  <si>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</si>
  <si>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</si>
  <si>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</si>
  <si>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</si>
  <si>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</si>
  <si>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</si>
  <si>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</si>
  <si>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</si>
  <si>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</si>
  <si>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</si>
  <si>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</si>
  <si>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</si>
  <si>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</si>
  <si>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</si>
  <si>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</si>
  <si>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</si>
  <si>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</si>
  <si>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</si>
  <si>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</si>
  <si>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</si>
  <si>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</si>
  <si>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</si>
  <si>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</si>
  <si>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</si>
  <si>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</si>
  <si>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</si>
  <si>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</si>
  <si>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</si>
  <si>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</si>
  <si>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</si>
  <si>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</si>
  <si>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</si>
  <si>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</si>
  <si>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</si>
  <si>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</si>
  <si>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</si>
  <si>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</si>
  <si>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</si>
  <si>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</si>
  <si>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</si>
  <si>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</si>
  <si>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</si>
  <si>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</si>
  <si>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</si>
  <si>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</si>
  <si>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</si>
  <si>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</si>
  <si>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</si>
  <si>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</si>
  <si>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</si>
  <si>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</si>
  <si>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</si>
  <si>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</si>
  <si>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</si>
  <si>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</si>
  <si>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</si>
  <si>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</si>
  <si>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</si>
  <si>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</si>
  <si>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</si>
  <si>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</si>
  <si>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</si>
  <si>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</si>
  <si>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</si>
  <si>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</si>
  <si>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</si>
  <si>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</si>
  <si>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</si>
  <si>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</si>
  <si>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</si>
  <si>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</si>
  <si>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</si>
  <si>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</si>
  <si>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</si>
  <si>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</si>
  <si>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</si>
  <si>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</si>
  <si>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</si>
  <si>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</si>
  <si>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</si>
  <si>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</si>
  <si>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</si>
  <si>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</si>
  <si>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</si>
  <si>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</si>
  <si>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</si>
  <si>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</si>
  <si>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</si>
  <si>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</si>
  <si>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</si>
  <si>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</si>
  <si>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</si>
  <si>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</si>
  <si>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</si>
  <si>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</si>
  <si>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</si>
  <si>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</si>
  <si>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</si>
  <si>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</si>
  <si>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</si>
  <si>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</si>
  <si>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</si>
  <si>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</si>
  <si>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</si>
  <si>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</si>
  <si>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</si>
  <si>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</si>
  <si>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</si>
  <si>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</si>
  <si>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</si>
  <si>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</si>
  <si>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</si>
  <si>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</si>
  <si>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</si>
  <si>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</si>
  <si>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</si>
  <si>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</si>
  <si>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</si>
  <si>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</si>
  <si>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</si>
  <si>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</si>
  <si>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</si>
  <si>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</si>
  <si>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</si>
  <si>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</si>
  <si>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</si>
  <si>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</si>
  <si>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</si>
  <si>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</si>
  <si>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</si>
  <si>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</si>
  <si>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</si>
  <si>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</si>
  <si>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</si>
  <si>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</si>
  <si>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</si>
  <si>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</si>
  <si>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</si>
  <si>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</si>
  <si>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</si>
  <si>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</si>
  <si>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</si>
  <si>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</si>
  <si>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</si>
  <si>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</si>
  <si>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</si>
  <si>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</si>
  <si>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</si>
  <si>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</si>
  <si>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</si>
  <si>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</si>
  <si>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</si>
  <si>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</si>
  <si>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</si>
  <si>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</si>
  <si>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</si>
  <si>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</si>
  <si>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</si>
  <si>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</si>
  <si>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</si>
  <si>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</si>
  <si>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</si>
  <si>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</si>
  <si>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</si>
  <si>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</si>
  <si>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</si>
  <si>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</si>
  <si>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</si>
  <si>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</si>
  <si>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</si>
  <si>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</si>
  <si>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</si>
  <si>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</si>
  <si>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</si>
  <si>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</si>
  <si>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</si>
  <si>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</si>
  <si>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</si>
  <si>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</si>
  <si>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</si>
  <si>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</si>
  <si>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</si>
  <si>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</si>
  <si>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</si>
  <si>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</si>
  <si>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</si>
  <si>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</si>
  <si>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</si>
  <si>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</si>
  <si>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</si>
  <si>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</si>
  <si>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</si>
  <si>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</si>
  <si>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</si>
  <si>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</si>
  <si>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</si>
  <si>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</si>
  <si>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</si>
  <si>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</si>
  <si>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</si>
  <si>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</si>
  <si>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</si>
  <si>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</si>
  <si>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</si>
  <si>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</si>
  <si>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</si>
  <si>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</si>
  <si>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</si>
  <si>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</si>
  <si>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</si>
  <si>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</si>
  <si>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</si>
  <si>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</si>
  <si>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</si>
  <si>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</si>
  <si>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</si>
  <si>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</si>
  <si>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</si>
  <si>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</si>
  <si>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</si>
  <si>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</si>
  <si>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</si>
  <si>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</si>
  <si>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</si>
  <si>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</si>
  <si>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</si>
  <si>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</si>
  <si>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</si>
  <si>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</si>
  <si>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</si>
  <si>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</si>
  <si>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</si>
  <si>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</si>
  <si>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</si>
  <si>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</si>
  <si>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</si>
  <si>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</si>
  <si>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</si>
  <si>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</si>
  <si>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</si>
  <si>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</si>
  <si>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</si>
  <si>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</si>
  <si>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</si>
  <si>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</si>
  <si>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</si>
  <si>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</si>
  <si>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</si>
  <si>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</si>
  <si>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</si>
  <si>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</si>
  <si>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</si>
  <si>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</si>
  <si>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</si>
  <si>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</si>
  <si>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</si>
  <si>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</si>
  <si>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</si>
  <si>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</si>
  <si>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</si>
  <si>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</si>
  <si>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</si>
  <si>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</si>
  <si>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</si>
  <si>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</si>
  <si>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</si>
  <si>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</si>
  <si>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</si>
  <si>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</si>
  <si>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</si>
  <si>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</si>
  <si>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</si>
  <si>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</si>
  <si>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</si>
  <si>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</si>
  <si>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</si>
  <si>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</si>
  <si>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</si>
  <si>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</si>
  <si>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</si>
  <si>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</si>
  <si>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</si>
  <si>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</si>
  <si>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</si>
  <si>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</si>
  <si>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</si>
  <si>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</si>
  <si>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</si>
  <si>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</si>
  <si>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</si>
  <si>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</si>
  <si>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</si>
  <si>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</si>
  <si>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</si>
  <si>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</si>
  <si>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</si>
  <si>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</si>
  <si>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</si>
  <si>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</si>
  <si>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</si>
  <si>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</si>
  <si>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</si>
  <si>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</si>
  <si>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</si>
  <si>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</si>
  <si>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</si>
  <si>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</si>
  <si>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</si>
  <si>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</si>
  <si>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</si>
  <si>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</si>
  <si>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</si>
  <si>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</si>
  <si>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</si>
  <si>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</si>
  <si>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</si>
  <si>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</si>
  <si>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</si>
  <si>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</si>
  <si>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</si>
  <si>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</si>
  <si>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</si>
  <si>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</si>
  <si>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</si>
  <si>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</si>
  <si>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</si>
  <si>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</si>
  <si>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</si>
  <si>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</si>
  <si>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</si>
  <si>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Emissions have been assessed as insignificant with an absolute estimate of 17. 3kt CO₂-e.  See NIR Chapter 1.7.3.</t>
  </si>
  <si>
    <t>Inventory 2007</t>
  </si>
  <si>
    <t>Submission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</si>
</sst>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69">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9"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2" fillId="0" borderId="0" xfId="0" applyFont="1"/>
    <xf numFmtId="2" fontId="121" fillId="4" borderId="108" xfId="52" applyNumberFormat="1" applyFont="1" applyFill="1" applyBorder="1" applyAlignment="1">
      <alignment horizontal="right" vertical="center" wrapText="1" shrinkToFit="1"/>
    </xf>
    <xf numFmtId="0" fontId="121" fillId="0" borderId="108" xfId="28" applyFont="1" applyBorder="1">
      <alignment horizontal="right" vertical="center"/>
    </xf>
    <xf numFmtId="0" fontId="121" fillId="0" borderId="29" xfId="16" applyFont="1" applyFill="1" applyBorder="1">
      <alignment horizontal="right" vertical="center"/>
    </xf>
    <xf numFmtId="0" fontId="122" fillId="0" borderId="10" xfId="25" applyFont="1"/>
    <xf numFmtId="0" fontId="124" fillId="0" borderId="0" xfId="0" applyFont="1" applyAlignment="1">
      <alignment horizontal="left"/>
    </xf>
    <xf numFmtId="0" fontId="123" fillId="0" borderId="0" xfId="63" applyFont="1" applyAlignment="1">
      <alignment horizontal="left"/>
    </xf>
    <xf numFmtId="0" fontId="121" fillId="0" borderId="0" xfId="0" applyFont="1"/>
    <xf numFmtId="0" fontId="121" fillId="4" borderId="10" xfId="63" applyFont="1" applyFill="1" applyBorder="1"/>
    <xf numFmtId="0" fontId="121" fillId="4" borderId="0" xfId="63" applyFont="1" applyFill="1"/>
    <xf numFmtId="0" fontId="121" fillId="4" borderId="8" xfId="63" applyFont="1" applyFill="1" applyBorder="1" applyAlignment="1">
      <alignment horizontal="centerContinuous" wrapText="1"/>
    </xf>
    <xf numFmtId="0" fontId="122"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33" fillId="2" borderId="65" xfId="46"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166" fontId="19" fillId="3" borderId="1" xfId="8" applyNumberFormat="1">
      <alignment horizontal="right" vertical="center"/>
    </xf>
    <xf numFmtId="167" fontId="19" fillId="3" borderId="2" xfId="7" applyNumberFormat="1" applyBorder="1">
      <alignment horizontal="right" vertical="center"/>
    </xf>
    <xf numFmtId="168" fontId="18" fillId="0" borderId="0" xfId="47" applyNumberFormat="1" applyFont="1" applyAlignment="1">
      <alignment horizontal="center" vertical="center"/>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topLeftCell="A16" workbookViewId="0">
      <selection activeCell="B48" sqref="B48"/>
    </sheetView>
  </sheetViews>
  <sheetFormatPr defaultRowHeight="12.75" x14ac:dyDescent="0.2"/>
  <cols>
    <col min="1" max="1" width="1.85546875" customWidth="1"/>
    <col min="2" max="2" width="25.85546875" customWidth="1"/>
  </cols>
  <sheetData>
    <row r="1" spans="2:2" x14ac:dyDescent="0.2">
      <c r="B1" s="83" t="s">
        <v>0</v>
      </c>
    </row>
    <row r="2" spans="2:2" x14ac:dyDescent="0.2">
      <c r="B2" s="2465" t="s">
        <v>1</v>
      </c>
    </row>
    <row r="3" spans="2:2" x14ac:dyDescent="0.2">
      <c r="B3" s="2465" t="s">
        <v>2</v>
      </c>
    </row>
    <row r="4" spans="2:2" x14ac:dyDescent="0.2">
      <c r="B4" s="2465" t="s">
        <v>3</v>
      </c>
    </row>
    <row r="5" spans="2:2" x14ac:dyDescent="0.2">
      <c r="B5" s="2465" t="s">
        <v>4</v>
      </c>
    </row>
    <row r="6" spans="2:2" x14ac:dyDescent="0.2">
      <c r="B6" s="2465" t="s">
        <v>5</v>
      </c>
    </row>
    <row r="7" spans="2:2" x14ac:dyDescent="0.2">
      <c r="B7" s="2465" t="s">
        <v>6</v>
      </c>
    </row>
    <row r="8" spans="2:2" x14ac:dyDescent="0.2">
      <c r="B8" s="2465" t="s">
        <v>7</v>
      </c>
    </row>
    <row r="9" spans="2:2" x14ac:dyDescent="0.2">
      <c r="B9" s="2465" t="s">
        <v>8</v>
      </c>
    </row>
    <row r="10" spans="2:2" x14ac:dyDescent="0.2">
      <c r="B10" s="2465" t="s">
        <v>9</v>
      </c>
    </row>
    <row r="11" spans="2:2" x14ac:dyDescent="0.2">
      <c r="B11" s="2465" t="s">
        <v>10</v>
      </c>
    </row>
    <row r="12" spans="2:2" x14ac:dyDescent="0.2">
      <c r="B12" s="2465" t="s">
        <v>11</v>
      </c>
    </row>
    <row r="13" spans="2:2" x14ac:dyDescent="0.2">
      <c r="B13" s="2465" t="s">
        <v>12</v>
      </c>
    </row>
    <row r="14" spans="2:2" x14ac:dyDescent="0.2">
      <c r="B14" s="2465" t="s">
        <v>13</v>
      </c>
    </row>
    <row r="15" spans="2:2" x14ac:dyDescent="0.2">
      <c r="B15" s="2465" t="s">
        <v>14</v>
      </c>
    </row>
    <row r="16" spans="2:2" x14ac:dyDescent="0.2">
      <c r="B16" s="2465" t="s">
        <v>15</v>
      </c>
    </row>
    <row r="17" spans="2:2" x14ac:dyDescent="0.2">
      <c r="B17" s="2465" t="s">
        <v>16</v>
      </c>
    </row>
    <row r="18" spans="2:2" x14ac:dyDescent="0.2">
      <c r="B18" s="2465" t="s">
        <v>17</v>
      </c>
    </row>
    <row r="19" spans="2:2" x14ac:dyDescent="0.2">
      <c r="B19" s="2465" t="s">
        <v>18</v>
      </c>
    </row>
    <row r="20" spans="2:2" x14ac:dyDescent="0.2">
      <c r="B20" s="2465" t="s">
        <v>19</v>
      </c>
    </row>
    <row r="21" spans="2:2" x14ac:dyDescent="0.2">
      <c r="B21" s="2465" t="s">
        <v>20</v>
      </c>
    </row>
    <row r="22" spans="2:2" x14ac:dyDescent="0.2">
      <c r="B22" s="2465" t="s">
        <v>21</v>
      </c>
    </row>
    <row r="23" spans="2:2" x14ac:dyDescent="0.2">
      <c r="B23" s="2465" t="s">
        <v>22</v>
      </c>
    </row>
    <row r="24" spans="2:2" x14ac:dyDescent="0.2">
      <c r="B24" s="2465" t="s">
        <v>23</v>
      </c>
    </row>
    <row r="25" spans="2:2" x14ac:dyDescent="0.2">
      <c r="B25" s="2465" t="s">
        <v>24</v>
      </c>
    </row>
    <row r="26" spans="2:2" x14ac:dyDescent="0.2">
      <c r="B26" s="2465" t="s">
        <v>25</v>
      </c>
    </row>
    <row r="27" spans="2:2" x14ac:dyDescent="0.2">
      <c r="B27" s="2465" t="s">
        <v>26</v>
      </c>
    </row>
    <row r="28" spans="2:2" x14ac:dyDescent="0.2">
      <c r="B28" s="2465" t="s">
        <v>27</v>
      </c>
    </row>
    <row r="29" spans="2:2" x14ac:dyDescent="0.2">
      <c r="B29" s="2465" t="s">
        <v>28</v>
      </c>
    </row>
    <row r="30" spans="2:2" x14ac:dyDescent="0.2">
      <c r="B30" s="2465" t="s">
        <v>29</v>
      </c>
    </row>
    <row r="31" spans="2:2" x14ac:dyDescent="0.2">
      <c r="B31" s="2465" t="s">
        <v>30</v>
      </c>
    </row>
    <row r="32" spans="2:2" x14ac:dyDescent="0.2">
      <c r="B32" s="2465" t="s">
        <v>31</v>
      </c>
    </row>
    <row r="33" spans="2:2" x14ac:dyDescent="0.2">
      <c r="B33" s="2465" t="s">
        <v>32</v>
      </c>
    </row>
    <row r="34" spans="2:2" x14ac:dyDescent="0.2">
      <c r="B34" s="2465" t="s">
        <v>33</v>
      </c>
    </row>
    <row r="35" spans="2:2" x14ac:dyDescent="0.2">
      <c r="B35" s="2465" t="s">
        <v>34</v>
      </c>
    </row>
    <row r="36" spans="2:2" x14ac:dyDescent="0.2">
      <c r="B36" s="2465" t="s">
        <v>35</v>
      </c>
    </row>
    <row r="37" spans="2:2" x14ac:dyDescent="0.2">
      <c r="B37" s="2465" t="s">
        <v>36</v>
      </c>
    </row>
    <row r="38" spans="2:2" x14ac:dyDescent="0.2">
      <c r="B38" s="2465" t="s">
        <v>37</v>
      </c>
    </row>
    <row r="39" spans="2:2" x14ac:dyDescent="0.2">
      <c r="B39" s="2465" t="s">
        <v>38</v>
      </c>
    </row>
    <row r="40" spans="2:2" x14ac:dyDescent="0.2">
      <c r="B40" s="2465" t="s">
        <v>39</v>
      </c>
    </row>
    <row r="41" spans="2:2" x14ac:dyDescent="0.2">
      <c r="B41" s="2465" t="s">
        <v>40</v>
      </c>
    </row>
    <row r="42" spans="2:2" x14ac:dyDescent="0.2">
      <c r="B42" s="2465" t="s">
        <v>41</v>
      </c>
    </row>
    <row r="43" spans="2:2" x14ac:dyDescent="0.2">
      <c r="B43" s="2465" t="s">
        <v>42</v>
      </c>
    </row>
    <row r="44" spans="2:2" x14ac:dyDescent="0.2">
      <c r="B44" s="2465" t="s">
        <v>43</v>
      </c>
    </row>
    <row r="45" spans="2:2" x14ac:dyDescent="0.2">
      <c r="B45" s="2465" t="s">
        <v>44</v>
      </c>
    </row>
    <row r="46" spans="2:2" x14ac:dyDescent="0.2">
      <c r="B46" s="2465" t="s">
        <v>45</v>
      </c>
    </row>
    <row r="47" spans="2:2" x14ac:dyDescent="0.2">
      <c r="B47" s="2465" t="s">
        <v>46</v>
      </c>
    </row>
    <row r="48" spans="2:2" x14ac:dyDescent="0.2">
      <c r="B48" s="2465" t="s">
        <v>47</v>
      </c>
    </row>
    <row r="49" spans="2:2" x14ac:dyDescent="0.2">
      <c r="B49" s="2465" t="s">
        <v>48</v>
      </c>
    </row>
    <row r="50" spans="2:2" x14ac:dyDescent="0.2">
      <c r="B50" s="2465" t="s">
        <v>49</v>
      </c>
    </row>
    <row r="51" spans="2:2" x14ac:dyDescent="0.2">
      <c r="B51" s="2465" t="s">
        <v>50</v>
      </c>
    </row>
    <row r="52" spans="2:2" x14ac:dyDescent="0.2">
      <c r="B52" s="2465" t="s">
        <v>51</v>
      </c>
    </row>
    <row r="53" spans="2:2" x14ac:dyDescent="0.2">
      <c r="B53" s="2465" t="s">
        <v>52</v>
      </c>
    </row>
    <row r="54" spans="2:2" x14ac:dyDescent="0.2">
      <c r="B54" s="2465" t="s">
        <v>53</v>
      </c>
    </row>
    <row r="55" spans="2:2" x14ac:dyDescent="0.2">
      <c r="B55" s="2465" t="s">
        <v>54</v>
      </c>
    </row>
    <row r="56" spans="2:2" x14ac:dyDescent="0.2">
      <c r="B56" s="2465" t="s">
        <v>55</v>
      </c>
    </row>
    <row r="57" spans="2:2" x14ac:dyDescent="0.2">
      <c r="B57" s="2465" t="s">
        <v>56</v>
      </c>
    </row>
    <row r="58" spans="2:2" x14ac:dyDescent="0.2">
      <c r="B58" s="2465" t="s">
        <v>57</v>
      </c>
    </row>
    <row r="59" spans="2:2" x14ac:dyDescent="0.2">
      <c r="B59" s="2465" t="s">
        <v>58</v>
      </c>
    </row>
    <row r="60" spans="2:2" x14ac:dyDescent="0.2">
      <c r="B60" s="2465" t="s">
        <v>59</v>
      </c>
    </row>
    <row r="61" spans="2:2" x14ac:dyDescent="0.2">
      <c r="B61" s="2465" t="s">
        <v>60</v>
      </c>
    </row>
    <row r="62" spans="2:2" x14ac:dyDescent="0.2">
      <c r="B62" s="2465" t="s">
        <v>61</v>
      </c>
    </row>
    <row r="63" spans="2:2" x14ac:dyDescent="0.2">
      <c r="B63" s="2260"/>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2460</v>
      </c>
    </row>
    <row r="2" spans="2:13" ht="15.75" customHeight="1" x14ac:dyDescent="0.25">
      <c r="B2" s="209" t="s">
        <v>437</v>
      </c>
      <c r="C2" s="209"/>
      <c r="D2" s="209"/>
      <c r="E2" s="209"/>
      <c r="F2" s="209"/>
      <c r="I2" s="51"/>
      <c r="J2" s="14" t="s">
        <v>2461</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5"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80"/>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1" t="s">
        <v>271</v>
      </c>
      <c r="E10" s="2382"/>
      <c r="F10" s="2383"/>
      <c r="G10" s="2383"/>
      <c r="H10" s="2383"/>
      <c r="I10" s="2383"/>
      <c r="J10" s="2384"/>
      <c r="M10" s="125"/>
    </row>
    <row r="11" spans="2:13" ht="18" customHeight="1" x14ac:dyDescent="0.2">
      <c r="B11" s="1433" t="s">
        <v>371</v>
      </c>
      <c r="C11" s="167" t="s">
        <v>372</v>
      </c>
      <c r="D11" s="1451" t="s">
        <v>373</v>
      </c>
      <c r="E11" s="3359" t="s">
        <v>205</v>
      </c>
      <c r="F11" s="3384" t="str">
        <f t="shared" ref="F11:F27" si="0">IF(I11="NA","NA",I11/(44/12)*1000/E11)</f>
        <v>NA</v>
      </c>
      <c r="G11" s="3359" t="s">
        <v>205</v>
      </c>
      <c r="H11" s="3339" t="str">
        <f t="shared" ref="H11:H27" si="1">IF(G11="NA","NA",IF(G11="NO","NO",G11*44/12))</f>
        <v>NA</v>
      </c>
      <c r="I11" s="2599" t="s">
        <v>205</v>
      </c>
      <c r="J11" s="2601"/>
      <c r="M11" s="125"/>
    </row>
    <row r="12" spans="2:13" ht="18" customHeight="1" x14ac:dyDescent="0.2">
      <c r="B12" s="1433"/>
      <c r="C12" s="167"/>
      <c r="D12" s="1451" t="s">
        <v>375</v>
      </c>
      <c r="E12" s="3359" t="s">
        <v>205</v>
      </c>
      <c r="F12" s="3384" t="str">
        <f t="shared" si="0"/>
        <v>NA</v>
      </c>
      <c r="G12" s="3359" t="s">
        <v>205</v>
      </c>
      <c r="H12" s="3339" t="str">
        <f t="shared" si="1"/>
        <v>NA</v>
      </c>
      <c r="I12" s="2599" t="s">
        <v>205</v>
      </c>
      <c r="J12" s="2602"/>
      <c r="M12" s="125"/>
    </row>
    <row r="13" spans="2:13" ht="18" customHeight="1" x14ac:dyDescent="0.2">
      <c r="B13" s="1433"/>
      <c r="C13" s="168"/>
      <c r="D13" s="96" t="s">
        <v>376</v>
      </c>
      <c r="E13" s="3359" t="s">
        <v>205</v>
      </c>
      <c r="F13" s="3384" t="str">
        <f t="shared" si="0"/>
        <v>NA</v>
      </c>
      <c r="G13" s="3359" t="s">
        <v>205</v>
      </c>
      <c r="H13" s="3339" t="str">
        <f t="shared" si="1"/>
        <v>NA</v>
      </c>
      <c r="I13" s="2599" t="s">
        <v>205</v>
      </c>
      <c r="J13" s="2603"/>
      <c r="M13" s="125"/>
    </row>
    <row r="14" spans="2:13" ht="18" customHeight="1" x14ac:dyDescent="0.2">
      <c r="B14" s="1433"/>
      <c r="C14" s="1565" t="s">
        <v>452</v>
      </c>
      <c r="D14" s="2385" t="s">
        <v>271</v>
      </c>
      <c r="E14" s="2374"/>
      <c r="F14" s="3385"/>
      <c r="G14" s="2361"/>
      <c r="H14" s="3335"/>
      <c r="I14" s="2361"/>
      <c r="J14" s="2604"/>
      <c r="M14" s="125"/>
    </row>
    <row r="15" spans="2:13" ht="18" customHeight="1" x14ac:dyDescent="0.2">
      <c r="B15" s="1433"/>
      <c r="C15" s="1566" t="s">
        <v>378</v>
      </c>
      <c r="D15" s="1451" t="s">
        <v>281</v>
      </c>
      <c r="E15" s="1449" t="s">
        <v>205</v>
      </c>
      <c r="F15" s="3384" t="str">
        <f t="shared" si="0"/>
        <v>NA</v>
      </c>
      <c r="G15" s="3359" t="s">
        <v>205</v>
      </c>
      <c r="H15" s="3339" t="str">
        <f t="shared" si="1"/>
        <v>NA</v>
      </c>
      <c r="I15" s="2599" t="s">
        <v>205</v>
      </c>
      <c r="J15" s="2602"/>
      <c r="M15" s="125"/>
    </row>
    <row r="16" spans="2:13" ht="18" customHeight="1" x14ac:dyDescent="0.2">
      <c r="B16" s="165"/>
      <c r="C16" s="1566"/>
      <c r="D16" s="1451" t="s">
        <v>293</v>
      </c>
      <c r="E16" s="1449" t="s">
        <v>205</v>
      </c>
      <c r="F16" s="3384" t="str">
        <f t="shared" si="0"/>
        <v>NA</v>
      </c>
      <c r="G16" s="3359" t="s">
        <v>205</v>
      </c>
      <c r="H16" s="3339" t="str">
        <f t="shared" si="1"/>
        <v>NA</v>
      </c>
      <c r="I16" s="2599" t="s">
        <v>205</v>
      </c>
      <c r="J16" s="2602"/>
      <c r="M16" s="125"/>
    </row>
    <row r="17" spans="2:13" ht="18" customHeight="1" x14ac:dyDescent="0.2">
      <c r="B17" s="165"/>
      <c r="C17" s="1566"/>
      <c r="D17" s="1451" t="s">
        <v>453</v>
      </c>
      <c r="E17" s="1449" t="s">
        <v>205</v>
      </c>
      <c r="F17" s="3384" t="str">
        <f t="shared" si="0"/>
        <v>NA</v>
      </c>
      <c r="G17" s="3359" t="s">
        <v>205</v>
      </c>
      <c r="H17" s="3339" t="str">
        <f t="shared" si="1"/>
        <v>NA</v>
      </c>
      <c r="I17" s="2599" t="s">
        <v>205</v>
      </c>
      <c r="J17" s="2602"/>
      <c r="M17" s="125"/>
    </row>
    <row r="18" spans="2:13" ht="18" customHeight="1" x14ac:dyDescent="0.2">
      <c r="B18" s="165"/>
      <c r="C18" s="1566"/>
      <c r="D18" s="1451" t="s">
        <v>380</v>
      </c>
      <c r="E18" s="1449" t="s">
        <v>205</v>
      </c>
      <c r="F18" s="3384" t="str">
        <f t="shared" si="0"/>
        <v>NA</v>
      </c>
      <c r="G18" s="3359" t="s">
        <v>205</v>
      </c>
      <c r="H18" s="3339" t="str">
        <f t="shared" si="1"/>
        <v>NA</v>
      </c>
      <c r="I18" s="2599" t="s">
        <v>205</v>
      </c>
      <c r="J18" s="2602"/>
      <c r="M18" s="125"/>
    </row>
    <row r="19" spans="2:13" ht="18" customHeight="1" x14ac:dyDescent="0.2">
      <c r="B19" s="165"/>
      <c r="C19" s="1566"/>
      <c r="D19" s="1451" t="s">
        <v>454</v>
      </c>
      <c r="E19" s="1449" t="s">
        <v>205</v>
      </c>
      <c r="F19" s="3384" t="str">
        <f t="shared" si="0"/>
        <v>NA</v>
      </c>
      <c r="G19" s="3359" t="s">
        <v>205</v>
      </c>
      <c r="H19" s="3339" t="str">
        <f t="shared" si="1"/>
        <v>NA</v>
      </c>
      <c r="I19" s="2599" t="s">
        <v>205</v>
      </c>
      <c r="J19" s="2602"/>
      <c r="M19" s="125"/>
    </row>
    <row r="20" spans="2:13" ht="18" customHeight="1" x14ac:dyDescent="0.2">
      <c r="B20" s="165"/>
      <c r="C20" s="1566"/>
      <c r="D20" s="1451" t="s">
        <v>306</v>
      </c>
      <c r="E20" s="1449" t="s">
        <v>205</v>
      </c>
      <c r="F20" s="3384" t="str">
        <f t="shared" si="0"/>
        <v>NA</v>
      </c>
      <c r="G20" s="3359" t="s">
        <v>205</v>
      </c>
      <c r="H20" s="3339" t="str">
        <f t="shared" si="1"/>
        <v>NA</v>
      </c>
      <c r="I20" s="2599" t="s">
        <v>205</v>
      </c>
      <c r="J20" s="2602"/>
      <c r="M20" s="125"/>
    </row>
    <row r="21" spans="2:13" ht="18" customHeight="1" x14ac:dyDescent="0.2">
      <c r="B21" s="165"/>
      <c r="C21" s="1566"/>
      <c r="D21" s="1451" t="s">
        <v>455</v>
      </c>
      <c r="E21" s="1449" t="s">
        <v>205</v>
      </c>
      <c r="F21" s="3384" t="str">
        <f t="shared" si="0"/>
        <v>NA</v>
      </c>
      <c r="G21" s="3359" t="s">
        <v>205</v>
      </c>
      <c r="H21" s="3339" t="str">
        <f t="shared" si="1"/>
        <v>NA</v>
      </c>
      <c r="I21" s="2599" t="s">
        <v>205</v>
      </c>
      <c r="J21" s="2600"/>
      <c r="M21" s="125"/>
    </row>
    <row r="22" spans="2:13" ht="18" customHeight="1" x14ac:dyDescent="0.2">
      <c r="B22" s="165"/>
      <c r="C22" s="1566"/>
      <c r="D22" s="1451" t="s">
        <v>456</v>
      </c>
      <c r="E22" s="3379">
        <v>23147.682286585525</v>
      </c>
      <c r="F22" s="3384" t="str">
        <f t="shared" si="0"/>
        <v>NA</v>
      </c>
      <c r="G22" s="3360">
        <v>356.68474068874968</v>
      </c>
      <c r="H22" s="3339">
        <f t="shared" si="1"/>
        <v>1307.8440491920821</v>
      </c>
      <c r="I22" s="2599" t="s">
        <v>205</v>
      </c>
      <c r="J22" s="2600"/>
      <c r="M22" s="125"/>
    </row>
    <row r="23" spans="2:13" ht="18" customHeight="1" x14ac:dyDescent="0.2">
      <c r="B23" s="165"/>
      <c r="C23" s="1566"/>
      <c r="D23" s="1451" t="s">
        <v>457</v>
      </c>
      <c r="E23" s="1449" t="s">
        <v>205</v>
      </c>
      <c r="F23" s="3384" t="str">
        <f t="shared" si="0"/>
        <v>NA</v>
      </c>
      <c r="G23" s="3359" t="s">
        <v>205</v>
      </c>
      <c r="H23" s="3339" t="str">
        <f t="shared" si="1"/>
        <v>NA</v>
      </c>
      <c r="I23" s="2599" t="s">
        <v>205</v>
      </c>
      <c r="J23" s="2600"/>
      <c r="M23" s="125"/>
    </row>
    <row r="24" spans="2:13" ht="18" customHeight="1" x14ac:dyDescent="0.2">
      <c r="B24" s="165"/>
      <c r="C24" s="1566"/>
      <c r="D24" s="1451" t="s">
        <v>383</v>
      </c>
      <c r="E24" s="3379">
        <v>35547.5</v>
      </c>
      <c r="F24" s="3384" t="str">
        <f t="shared" si="0"/>
        <v>NA</v>
      </c>
      <c r="G24" s="3360">
        <v>782.3681590909091</v>
      </c>
      <c r="H24" s="3339">
        <f t="shared" si="1"/>
        <v>2868.68325</v>
      </c>
      <c r="I24" s="2599" t="s">
        <v>205</v>
      </c>
      <c r="J24" s="2600"/>
      <c r="M24" s="125"/>
    </row>
    <row r="25" spans="2:13" ht="18" customHeight="1" x14ac:dyDescent="0.2">
      <c r="B25" s="165"/>
      <c r="C25" s="1566"/>
      <c r="D25" s="1451" t="s">
        <v>458</v>
      </c>
      <c r="E25" s="3379">
        <v>16317.3</v>
      </c>
      <c r="F25" s="3384" t="str">
        <f t="shared" si="0"/>
        <v>NA</v>
      </c>
      <c r="G25" s="3360">
        <v>309.88777786363642</v>
      </c>
      <c r="H25" s="3339">
        <f t="shared" si="1"/>
        <v>1136.2551855000002</v>
      </c>
      <c r="I25" s="2599" t="s">
        <v>205</v>
      </c>
      <c r="J25" s="2600"/>
      <c r="M25" s="125"/>
    </row>
    <row r="26" spans="2:13" ht="18" customHeight="1" x14ac:dyDescent="0.2">
      <c r="B26" s="165"/>
      <c r="C26" s="1566"/>
      <c r="D26" s="1451" t="s">
        <v>459</v>
      </c>
      <c r="E26" s="3383">
        <v>16541.680654300446</v>
      </c>
      <c r="F26" s="3384">
        <f t="shared" si="0"/>
        <v>25.26136363636364</v>
      </c>
      <c r="G26" s="3360">
        <v>417.86541016488519</v>
      </c>
      <c r="H26" s="3339">
        <f t="shared" si="1"/>
        <v>1532.1731706045791</v>
      </c>
      <c r="I26" s="3360">
        <v>1532.1731706045789</v>
      </c>
      <c r="J26" s="3381" t="s">
        <v>460</v>
      </c>
      <c r="M26" s="125"/>
    </row>
    <row r="27" spans="2:13" ht="18" customHeight="1" x14ac:dyDescent="0.2">
      <c r="B27" s="165"/>
      <c r="C27" s="1566"/>
      <c r="D27" s="1451" t="s">
        <v>385</v>
      </c>
      <c r="E27" s="1449" t="s">
        <v>205</v>
      </c>
      <c r="F27" s="3384" t="str">
        <f t="shared" si="0"/>
        <v>NA</v>
      </c>
      <c r="G27" s="3359" t="s">
        <v>205</v>
      </c>
      <c r="H27" s="3339" t="str">
        <f t="shared" si="1"/>
        <v>NA</v>
      </c>
      <c r="I27" s="2599" t="s">
        <v>205</v>
      </c>
      <c r="J27" s="2600"/>
      <c r="M27" s="125"/>
    </row>
    <row r="28" spans="2:13" ht="18" customHeight="1" x14ac:dyDescent="0.2">
      <c r="B28" s="165"/>
      <c r="C28" s="1567"/>
      <c r="D28" s="40" t="s">
        <v>461</v>
      </c>
      <c r="E28" s="3382">
        <v>31232.223823848275</v>
      </c>
      <c r="F28" s="3384">
        <f>IF(I28="NA","NA",I28/(44/12)*1000/E28)</f>
        <v>1.1426340607643699</v>
      </c>
      <c r="G28" s="3360">
        <v>540.51305614387661</v>
      </c>
      <c r="H28" s="3339">
        <f>IF(G28="NA","NA",IF(G28="NO","NO",G28*44/12))</f>
        <v>1981.881205860881</v>
      </c>
      <c r="I28" s="3360">
        <v>130.85234335999999</v>
      </c>
      <c r="J28" s="3381" t="s">
        <v>462</v>
      </c>
      <c r="M28" s="125"/>
    </row>
    <row r="29" spans="2:13" ht="18" customHeight="1" x14ac:dyDescent="0.2">
      <c r="B29" s="2366"/>
      <c r="C29" s="31" t="s">
        <v>387</v>
      </c>
      <c r="D29" s="31"/>
      <c r="E29" s="111" t="str">
        <f>E30</f>
        <v>NA</v>
      </c>
      <c r="F29" s="116" t="str">
        <f>F30</f>
        <v>NA</v>
      </c>
      <c r="G29" s="111" t="str">
        <f t="shared" ref="G29:I29" si="2">G30</f>
        <v>NA</v>
      </c>
      <c r="H29" s="3339" t="str">
        <f t="shared" si="2"/>
        <v>NA</v>
      </c>
      <c r="I29" s="111" t="str">
        <f t="shared" si="2"/>
        <v>NA</v>
      </c>
      <c r="J29" s="1026"/>
      <c r="M29" s="125"/>
    </row>
    <row r="30" spans="2:13" ht="18" customHeight="1" x14ac:dyDescent="0.2">
      <c r="B30" s="2364"/>
      <c r="C30" s="34"/>
      <c r="D30" s="34" t="s">
        <v>205</v>
      </c>
      <c r="E30" s="2386" t="s">
        <v>205</v>
      </c>
      <c r="F30" s="3384" t="str">
        <f>IF(I30="NA","NA",I30/(44/12)*1000/E30)</f>
        <v>NA</v>
      </c>
      <c r="G30" s="131" t="s">
        <v>205</v>
      </c>
      <c r="H30" s="3339" t="str">
        <f>IF(G30="NA","NA",IF(G30="NO","NO",G30*44/12))</f>
        <v>NA</v>
      </c>
      <c r="I30" s="2599" t="s">
        <v>205</v>
      </c>
      <c r="J30" s="2600"/>
      <c r="M30" s="125"/>
    </row>
    <row r="31" spans="2:13" ht="18" customHeight="1" thickBot="1" x14ac:dyDescent="0.25">
      <c r="B31" s="1250" t="s">
        <v>388</v>
      </c>
      <c r="C31" s="2368"/>
      <c r="D31" s="80"/>
      <c r="E31" s="3388">
        <f>SUM(E11:E29)</f>
        <v>122786.38676473426</v>
      </c>
      <c r="F31" s="3324">
        <f t="shared" ref="F31" si="3">IF(I31="NA","NA",I31/(44/12)*1000/E31)</f>
        <v>3.6938330449324401</v>
      </c>
      <c r="G31" s="3388">
        <f>SUM(G11:G29)</f>
        <v>2407.3191439520569</v>
      </c>
      <c r="H31" s="3336">
        <f t="shared" ref="H31" si="4">IF(G31="NA","NA",IF(G31="NO","NO",G31*44/12))</f>
        <v>8826.8368611575424</v>
      </c>
      <c r="I31" s="3388">
        <f>SUM(I11:I29)</f>
        <v>1663.025513964579</v>
      </c>
      <c r="J31" s="2390"/>
      <c r="M31" s="125"/>
    </row>
    <row r="32" spans="2:13" ht="18" customHeight="1" x14ac:dyDescent="0.2">
      <c r="B32" s="1433" t="s">
        <v>463</v>
      </c>
      <c r="C32" s="1566" t="s">
        <v>370</v>
      </c>
      <c r="D32" s="2381" t="s">
        <v>271</v>
      </c>
      <c r="E32" s="2371"/>
      <c r="F32" s="3330"/>
      <c r="G32" s="2372"/>
      <c r="H32" s="3337"/>
      <c r="I32" s="2372"/>
      <c r="J32" s="2605"/>
      <c r="M32" s="125"/>
    </row>
    <row r="33" spans="2:13" ht="18" customHeight="1" x14ac:dyDescent="0.2">
      <c r="B33" s="1433" t="s">
        <v>371</v>
      </c>
      <c r="C33" s="1566" t="s">
        <v>372</v>
      </c>
      <c r="D33" s="1453" t="s">
        <v>464</v>
      </c>
      <c r="E33" s="2387" t="s">
        <v>274</v>
      </c>
      <c r="F33" s="3384" t="s">
        <v>205</v>
      </c>
      <c r="G33" s="2388" t="s">
        <v>274</v>
      </c>
      <c r="H33" s="3339" t="s">
        <v>205</v>
      </c>
      <c r="I33" s="2388" t="s">
        <v>274</v>
      </c>
      <c r="J33" s="2606"/>
      <c r="M33" s="125"/>
    </row>
    <row r="34" spans="2:13" ht="18" customHeight="1" x14ac:dyDescent="0.2">
      <c r="B34" s="1433"/>
      <c r="C34" s="1566"/>
      <c r="D34" s="1451" t="s">
        <v>391</v>
      </c>
      <c r="E34" s="1449" t="s">
        <v>274</v>
      </c>
      <c r="F34" s="3384" t="s">
        <v>205</v>
      </c>
      <c r="G34" s="3364" t="s">
        <v>205</v>
      </c>
      <c r="H34" s="3361" t="str">
        <f t="shared" ref="H34:H42" si="5">IF(G34="NA","NA",IF(G34="NO","NO",G34*44/12))</f>
        <v>NA</v>
      </c>
      <c r="I34" s="2388" t="s">
        <v>274</v>
      </c>
      <c r="J34" s="2600"/>
      <c r="M34" s="125"/>
    </row>
    <row r="35" spans="2:13" ht="18" customHeight="1" x14ac:dyDescent="0.2">
      <c r="B35" s="1433"/>
      <c r="C35" s="1566"/>
      <c r="D35" s="1451" t="s">
        <v>392</v>
      </c>
      <c r="E35" s="3379">
        <v>36561.032999999996</v>
      </c>
      <c r="F35" s="3384">
        <f>IF(I35="NA","NA",I35/(44/12)*1000/E35)</f>
        <v>24.560998307579652</v>
      </c>
      <c r="G35" s="3364">
        <v>897.97546963636364</v>
      </c>
      <c r="H35" s="3361">
        <f t="shared" si="5"/>
        <v>3292.5767219999998</v>
      </c>
      <c r="I35" s="3360">
        <v>3292.5767219999998</v>
      </c>
      <c r="J35" s="3381" t="s">
        <v>460</v>
      </c>
      <c r="M35" s="125"/>
    </row>
    <row r="36" spans="2:13" ht="18" customHeight="1" x14ac:dyDescent="0.2">
      <c r="B36" s="1433"/>
      <c r="C36" s="1566"/>
      <c r="D36" s="1451" t="s">
        <v>465</v>
      </c>
      <c r="E36" s="1449" t="s">
        <v>274</v>
      </c>
      <c r="F36" s="3384" t="s">
        <v>205</v>
      </c>
      <c r="G36" s="131" t="s">
        <v>274</v>
      </c>
      <c r="H36" s="3339" t="s">
        <v>205</v>
      </c>
      <c r="I36" s="2388" t="s">
        <v>274</v>
      </c>
      <c r="J36" s="2600"/>
      <c r="M36" s="125"/>
    </row>
    <row r="37" spans="2:13" ht="18" customHeight="1" x14ac:dyDescent="0.2">
      <c r="B37" s="1433"/>
      <c r="C37" s="1566"/>
      <c r="D37" s="1451" t="s">
        <v>394</v>
      </c>
      <c r="E37" s="1450" t="s">
        <v>199</v>
      </c>
      <c r="F37" s="3384" t="str">
        <f t="shared" ref="F37" si="6">IF(I37="NA","NA",I37/(44/12)*1000/E37)</f>
        <v>NA</v>
      </c>
      <c r="G37" s="133" t="s">
        <v>199</v>
      </c>
      <c r="H37" s="3339" t="str">
        <f t="shared" si="5"/>
        <v>NO</v>
      </c>
      <c r="I37" s="2599" t="s">
        <v>205</v>
      </c>
      <c r="J37" s="2600"/>
      <c r="M37" s="125"/>
    </row>
    <row r="38" spans="2:13" ht="18" customHeight="1" thickBot="1" x14ac:dyDescent="0.25">
      <c r="B38" s="1433"/>
      <c r="C38" s="1567"/>
      <c r="D38" s="1451" t="s">
        <v>395</v>
      </c>
      <c r="E38" s="3365" t="s">
        <v>205</v>
      </c>
      <c r="F38" s="3384" t="str">
        <f>IF(I38="NA","NA",I38/(44/12)*1000/E38)</f>
        <v>NA</v>
      </c>
      <c r="G38" s="131" t="s">
        <v>205</v>
      </c>
      <c r="H38" s="3339" t="str">
        <f t="shared" si="5"/>
        <v>NA</v>
      </c>
      <c r="I38" s="2599" t="s">
        <v>205</v>
      </c>
      <c r="J38" s="2600"/>
      <c r="M38" s="125"/>
    </row>
    <row r="39" spans="2:13" ht="18" customHeight="1" x14ac:dyDescent="0.2">
      <c r="B39" s="1433"/>
      <c r="C39" s="1565" t="s">
        <v>452</v>
      </c>
      <c r="D39" s="2363" t="s">
        <v>271</v>
      </c>
      <c r="E39" s="2371"/>
      <c r="F39" s="3386"/>
      <c r="G39" s="2372"/>
      <c r="H39" s="3337"/>
      <c r="I39" s="2372"/>
      <c r="J39" s="2605"/>
      <c r="M39" s="125"/>
    </row>
    <row r="40" spans="2:13" ht="18" customHeight="1" x14ac:dyDescent="0.2">
      <c r="B40" s="1433"/>
      <c r="C40" s="1566" t="s">
        <v>372</v>
      </c>
      <c r="D40" s="38" t="s">
        <v>466</v>
      </c>
      <c r="E40" s="3365" t="s">
        <v>205</v>
      </c>
      <c r="F40" s="3384" t="str">
        <f t="shared" ref="F40" si="7">IF(I40="NA","NA",I40/(44/12)*1000/E40)</f>
        <v>NA</v>
      </c>
      <c r="G40" s="3359" t="s">
        <v>205</v>
      </c>
      <c r="H40" s="3339" t="str">
        <f t="shared" si="5"/>
        <v>NA</v>
      </c>
      <c r="I40" s="2599" t="s">
        <v>205</v>
      </c>
      <c r="J40" s="2600"/>
      <c r="M40" s="125"/>
    </row>
    <row r="41" spans="2:13" ht="18" customHeight="1" x14ac:dyDescent="0.2">
      <c r="B41" s="1433"/>
      <c r="C41" s="1566"/>
      <c r="D41" s="1451" t="s">
        <v>397</v>
      </c>
      <c r="E41" s="3379">
        <v>70157.619114246729</v>
      </c>
      <c r="F41" s="3384">
        <f t="shared" ref="F41" si="8">IF(I41="NA","NA",I41/(44/12)*1000/E41)</f>
        <v>29.421587610201804</v>
      </c>
      <c r="G41" s="3360">
        <v>2090.3157934032761</v>
      </c>
      <c r="H41" s="3361">
        <f t="shared" si="5"/>
        <v>7664.4912424786789</v>
      </c>
      <c r="I41" s="3360">
        <v>7568.5446367409213</v>
      </c>
      <c r="J41" s="3381" t="s">
        <v>460</v>
      </c>
      <c r="M41" s="125"/>
    </row>
    <row r="42" spans="2:13" ht="18" customHeight="1" x14ac:dyDescent="0.2">
      <c r="B42" s="1433"/>
      <c r="C42" s="1567"/>
      <c r="D42" s="1451" t="s">
        <v>467</v>
      </c>
      <c r="E42" s="3379">
        <v>8901.448465197187</v>
      </c>
      <c r="F42" s="3384">
        <f>IF(I42="NA","NA",I42/(44/12)*1000/E42)</f>
        <v>14.308447958953549</v>
      </c>
      <c r="G42" s="3360">
        <v>188.1356957599445</v>
      </c>
      <c r="H42" s="3361">
        <f t="shared" si="5"/>
        <v>689.83088445312978</v>
      </c>
      <c r="I42" s="3360">
        <v>467.00834445312989</v>
      </c>
      <c r="J42" s="3381" t="s">
        <v>462</v>
      </c>
      <c r="M42" s="125"/>
    </row>
    <row r="43" spans="2:13" ht="18" customHeight="1" x14ac:dyDescent="0.2">
      <c r="B43" s="2366"/>
      <c r="C43" s="31" t="s">
        <v>399</v>
      </c>
      <c r="D43" s="1451"/>
      <c r="E43" s="111" t="str">
        <f>E44</f>
        <v>NA</v>
      </c>
      <c r="F43" s="116" t="str">
        <f>F44</f>
        <v>NA</v>
      </c>
      <c r="G43" s="111" t="str">
        <f>G44</f>
        <v>NA</v>
      </c>
      <c r="H43" s="3339" t="str">
        <f>H44</f>
        <v>NA</v>
      </c>
      <c r="I43" s="111" t="str">
        <f>I44</f>
        <v>NA</v>
      </c>
      <c r="J43" s="1026"/>
      <c r="M43" s="125"/>
    </row>
    <row r="44" spans="2:13" ht="18" customHeight="1" x14ac:dyDescent="0.2">
      <c r="B44" s="2364"/>
      <c r="C44" s="34"/>
      <c r="D44" s="1452" t="s">
        <v>205</v>
      </c>
      <c r="E44" s="2386" t="s">
        <v>205</v>
      </c>
      <c r="F44" s="3384" t="str">
        <f>IF(I44="NA","NA",I44/(44/12)*1000/E44)</f>
        <v>NA</v>
      </c>
      <c r="G44" s="131" t="s">
        <v>205</v>
      </c>
      <c r="H44" s="3339" t="str">
        <f>IF(G44="NA","NA",IF(G44="NO","NO",G44*44/12))</f>
        <v>NA</v>
      </c>
      <c r="I44" s="2599" t="s">
        <v>205</v>
      </c>
      <c r="J44" s="2600"/>
      <c r="M44" s="125"/>
    </row>
    <row r="45" spans="2:13" ht="18" customHeight="1" thickBot="1" x14ac:dyDescent="0.25">
      <c r="B45" s="1250" t="s">
        <v>400</v>
      </c>
      <c r="C45" s="2368"/>
      <c r="D45" s="80"/>
      <c r="E45" s="3388">
        <f>SUM(E33:E43)</f>
        <v>115620.10057944391</v>
      </c>
      <c r="F45" s="3308">
        <f>IF(I45="NA","NA",I45/(44/12)*1000/E45)</f>
        <v>26.721045074079477</v>
      </c>
      <c r="G45" s="3388">
        <f>SUM(G33:G43)</f>
        <v>3176.4269587995841</v>
      </c>
      <c r="H45" s="3336">
        <f t="shared" ref="H45" si="9">IF(G45="NA","NA",IF(G45="NO","NO",G45*44/12))</f>
        <v>11646.898848931809</v>
      </c>
      <c r="I45" s="3388">
        <f>SUM(I33:I43)</f>
        <v>11328.129703194052</v>
      </c>
      <c r="J45" s="2390"/>
      <c r="M45" s="125"/>
    </row>
    <row r="46" spans="2:13" ht="18" customHeight="1" x14ac:dyDescent="0.2">
      <c r="B46" s="1022" t="s">
        <v>468</v>
      </c>
      <c r="C46" s="95"/>
      <c r="D46" s="2363" t="s">
        <v>271</v>
      </c>
      <c r="E46" s="2371"/>
      <c r="F46" s="3386"/>
      <c r="G46" s="2372"/>
      <c r="H46" s="3337"/>
      <c r="I46" s="2372"/>
      <c r="J46" s="2605"/>
      <c r="M46" s="125"/>
    </row>
    <row r="47" spans="2:13" ht="18" customHeight="1" x14ac:dyDescent="0.2">
      <c r="B47" s="1023"/>
      <c r="C47" s="2266"/>
      <c r="D47" s="40" t="s">
        <v>469</v>
      </c>
      <c r="E47" s="3379">
        <v>49212.544871367485</v>
      </c>
      <c r="F47" s="3384">
        <f t="shared" ref="F47" si="10">IF(I47="NA","NA",I47/(44/12)*1000/E47)</f>
        <v>14.021432274344994</v>
      </c>
      <c r="G47" s="3360">
        <v>690.03036496204322</v>
      </c>
      <c r="H47" s="3339">
        <f t="shared" ref="H47" si="11">IF(G47="NA","NA",IF(G47="NO","NO",G47*44/12))</f>
        <v>2530.1113381941582</v>
      </c>
      <c r="I47" s="3360">
        <v>2530.1113381941582</v>
      </c>
      <c r="J47" s="3381" t="s">
        <v>470</v>
      </c>
      <c r="M47" s="125"/>
    </row>
    <row r="48" spans="2:13" ht="18" customHeight="1" x14ac:dyDescent="0.2">
      <c r="B48" s="1023"/>
      <c r="C48" s="2266"/>
      <c r="D48" s="40" t="s">
        <v>403</v>
      </c>
      <c r="E48" s="111" t="str">
        <f>E49</f>
        <v>NA</v>
      </c>
      <c r="F48" s="116" t="str">
        <f t="shared" ref="F48:I48" si="12">F49</f>
        <v>NA</v>
      </c>
      <c r="G48" s="111" t="str">
        <f t="shared" si="12"/>
        <v>NA</v>
      </c>
      <c r="H48" s="3339" t="str">
        <f t="shared" si="12"/>
        <v>NA</v>
      </c>
      <c r="I48" s="111" t="str">
        <f t="shared" si="12"/>
        <v>NA</v>
      </c>
      <c r="J48" s="1026"/>
      <c r="M48" s="125"/>
    </row>
    <row r="49" spans="2:13" ht="18" customHeight="1" x14ac:dyDescent="0.2">
      <c r="B49" s="32"/>
      <c r="C49" s="1451"/>
      <c r="D49" s="1452" t="s">
        <v>205</v>
      </c>
      <c r="E49" s="2386" t="s">
        <v>205</v>
      </c>
      <c r="F49" s="3384" t="str">
        <f>IF(I49="NA","NA",I49/(44/12)*1000/E49)</f>
        <v>NA</v>
      </c>
      <c r="G49" s="131" t="s">
        <v>205</v>
      </c>
      <c r="H49" s="3339" t="str">
        <f>IF(G49="NA","NA",IF(G49="NO","NO",G49*44/12))</f>
        <v>NA</v>
      </c>
      <c r="I49" s="2599" t="s">
        <v>205</v>
      </c>
      <c r="J49" s="132"/>
      <c r="M49" s="125"/>
    </row>
    <row r="50" spans="2:13" ht="18" customHeight="1" thickBot="1" x14ac:dyDescent="0.25">
      <c r="B50" s="68" t="s">
        <v>404</v>
      </c>
      <c r="C50" s="79"/>
      <c r="D50" s="80"/>
      <c r="E50" s="3388">
        <f>SUM(E47:E48)</f>
        <v>49212.544871367485</v>
      </c>
      <c r="F50" s="3308">
        <f>IF(I50="NA","NA",I50/(44/12)*1000/E50)</f>
        <v>14.021432274344994</v>
      </c>
      <c r="G50" s="3388">
        <f>SUM(G47:G48)</f>
        <v>690.03036496204322</v>
      </c>
      <c r="H50" s="3362">
        <f t="shared" ref="H50" si="13">IF(G50="NA","NA",IF(G50="NO","NO",G50*44/12))</f>
        <v>2530.1113381941582</v>
      </c>
      <c r="I50" s="3388">
        <f>SUM(I47:I48)</f>
        <v>2530.1113381941582</v>
      </c>
      <c r="J50" s="2390"/>
      <c r="M50" s="125"/>
    </row>
    <row r="51" spans="2:13" ht="18" customHeight="1" x14ac:dyDescent="0.2">
      <c r="B51" s="188" t="s">
        <v>405</v>
      </c>
      <c r="C51" s="189"/>
      <c r="D51" s="2393"/>
      <c r="E51" s="3369" t="s">
        <v>205</v>
      </c>
      <c r="F51" s="3384" t="str">
        <f t="shared" ref="F51:F56" si="14">IF(I51="NA","NA",I51/(44/12)*1000/E51)</f>
        <v>NA</v>
      </c>
      <c r="G51" s="3359" t="s">
        <v>205</v>
      </c>
      <c r="H51" s="3339" t="str">
        <f t="shared" ref="H51:H56" si="15">IF(G51="NA","NA",IF(G51="NO","NO",G51*44/12))</f>
        <v>NA</v>
      </c>
      <c r="I51" s="3370" t="s">
        <v>205</v>
      </c>
      <c r="J51" s="2389"/>
      <c r="M51" s="125"/>
    </row>
    <row r="52" spans="2:13" ht="18" customHeight="1" x14ac:dyDescent="0.2">
      <c r="B52" s="32" t="s">
        <v>471</v>
      </c>
      <c r="C52" s="31"/>
      <c r="D52" s="1451"/>
      <c r="E52" s="3369" t="s">
        <v>205</v>
      </c>
      <c r="F52" s="3384" t="str">
        <f t="shared" si="14"/>
        <v>NA</v>
      </c>
      <c r="G52" s="3359" t="s">
        <v>205</v>
      </c>
      <c r="H52" s="3339" t="str">
        <f t="shared" si="15"/>
        <v>NA</v>
      </c>
      <c r="I52" s="3370" t="s">
        <v>205</v>
      </c>
      <c r="J52" s="1026"/>
      <c r="M52" s="125"/>
    </row>
    <row r="53" spans="2:13" ht="18" customHeight="1" x14ac:dyDescent="0.2">
      <c r="B53" s="35" t="s">
        <v>472</v>
      </c>
      <c r="C53" s="31"/>
      <c r="D53" s="1451"/>
      <c r="E53" s="3369" t="s">
        <v>205</v>
      </c>
      <c r="F53" s="3384" t="str">
        <f t="shared" si="14"/>
        <v>NA</v>
      </c>
      <c r="G53" s="3359" t="s">
        <v>205</v>
      </c>
      <c r="H53" s="3339" t="str">
        <f t="shared" si="15"/>
        <v>NA</v>
      </c>
      <c r="I53" s="3370" t="s">
        <v>205</v>
      </c>
      <c r="J53" s="132"/>
      <c r="M53" s="125"/>
    </row>
    <row r="54" spans="2:13" ht="18" customHeight="1" thickBot="1" x14ac:dyDescent="0.25">
      <c r="B54" s="2394" t="s">
        <v>408</v>
      </c>
      <c r="C54" s="2266"/>
      <c r="D54" s="96"/>
      <c r="E54" s="112" t="s">
        <v>205</v>
      </c>
      <c r="F54" s="3308" t="s">
        <v>205</v>
      </c>
      <c r="G54" s="112" t="s">
        <v>205</v>
      </c>
      <c r="H54" s="3336" t="str">
        <f t="shared" si="15"/>
        <v>NA</v>
      </c>
      <c r="I54" s="112" t="s">
        <v>205</v>
      </c>
      <c r="J54" s="1026"/>
      <c r="M54" s="125"/>
    </row>
    <row r="55" spans="2:13" ht="18" customHeight="1" thickBot="1" x14ac:dyDescent="0.25">
      <c r="B55" s="2400" t="s">
        <v>409</v>
      </c>
      <c r="C55" s="2403"/>
      <c r="D55" s="2401"/>
      <c r="E55" s="3388">
        <f>SUM(E31,E45,E50,E54)</f>
        <v>287619.03221554565</v>
      </c>
      <c r="F55" s="3319">
        <f t="shared" si="14"/>
        <v>14.71763764833919</v>
      </c>
      <c r="G55" s="3388">
        <f>SUM(G31,G45,G50,G54)</f>
        <v>6273.7764677136838</v>
      </c>
      <c r="H55" s="3363">
        <f t="shared" si="15"/>
        <v>23003.847048283507</v>
      </c>
      <c r="I55" s="3388">
        <f>SUM(I31,I45,I50,I54)</f>
        <v>15521.26655535279</v>
      </c>
      <c r="J55" s="2402"/>
      <c r="M55" s="125"/>
    </row>
    <row r="56" spans="2:13" ht="18" customHeight="1" x14ac:dyDescent="0.2">
      <c r="B56" s="1022" t="s">
        <v>410</v>
      </c>
      <c r="C56" s="95"/>
      <c r="D56" s="39"/>
      <c r="E56" s="2607" t="s">
        <v>205</v>
      </c>
      <c r="F56" s="3387" t="str">
        <f t="shared" si="14"/>
        <v>NA</v>
      </c>
      <c r="G56" s="2607" t="s">
        <v>205</v>
      </c>
      <c r="H56" s="3375" t="str">
        <f t="shared" si="15"/>
        <v>NA</v>
      </c>
      <c r="I56" s="2607" t="s">
        <v>205</v>
      </c>
      <c r="J56" s="2405"/>
      <c r="M56" s="125"/>
    </row>
    <row r="57" spans="2:13" ht="18" customHeight="1" x14ac:dyDescent="0.2">
      <c r="B57" s="1023"/>
      <c r="C57" s="96"/>
      <c r="D57" s="39" t="s">
        <v>411</v>
      </c>
      <c r="E57" s="3359" t="s">
        <v>205</v>
      </c>
      <c r="F57" s="3384" t="str">
        <f t="shared" ref="F57:F60" si="16">IF(I57="NA","NA",I57/(44/12)*1000/E57)</f>
        <v>NA</v>
      </c>
      <c r="G57" s="3359" t="s">
        <v>205</v>
      </c>
      <c r="H57" s="3339" t="str">
        <f t="shared" ref="H57:H60" si="17">IF(G57="NA","NA",IF(G57="NO","NO",G57*44/12))</f>
        <v>NA</v>
      </c>
      <c r="I57" s="3367" t="s">
        <v>205</v>
      </c>
      <c r="J57" s="2389"/>
      <c r="M57" s="125"/>
    </row>
    <row r="58" spans="2:13" ht="18" customHeight="1" x14ac:dyDescent="0.2">
      <c r="B58" s="1023"/>
      <c r="C58" s="96"/>
      <c r="D58" s="39" t="s">
        <v>412</v>
      </c>
      <c r="E58" s="3359" t="s">
        <v>205</v>
      </c>
      <c r="F58" s="3384" t="str">
        <f t="shared" si="16"/>
        <v>NA</v>
      </c>
      <c r="G58" s="3359" t="s">
        <v>205</v>
      </c>
      <c r="H58" s="3339" t="str">
        <f t="shared" si="17"/>
        <v>NA</v>
      </c>
      <c r="I58" s="3367" t="s">
        <v>205</v>
      </c>
      <c r="J58" s="132"/>
      <c r="M58" s="125"/>
    </row>
    <row r="59" spans="2:13" ht="18" customHeight="1" x14ac:dyDescent="0.2">
      <c r="B59" s="1023"/>
      <c r="C59" s="96"/>
      <c r="D59" s="39" t="s">
        <v>413</v>
      </c>
      <c r="E59" s="3359" t="s">
        <v>205</v>
      </c>
      <c r="F59" s="3384" t="str">
        <f t="shared" si="16"/>
        <v>NA</v>
      </c>
      <c r="G59" s="3359" t="s">
        <v>205</v>
      </c>
      <c r="H59" s="3339" t="str">
        <f t="shared" si="17"/>
        <v>NA</v>
      </c>
      <c r="I59" s="3367" t="s">
        <v>205</v>
      </c>
      <c r="J59" s="132"/>
      <c r="M59" s="125"/>
    </row>
    <row r="60" spans="2:13" ht="18" customHeight="1" thickBot="1" x14ac:dyDescent="0.25">
      <c r="B60" s="77"/>
      <c r="C60" s="101"/>
      <c r="D60" s="79" t="s">
        <v>414</v>
      </c>
      <c r="E60" s="3366" t="s">
        <v>205</v>
      </c>
      <c r="F60" s="3308" t="str">
        <f t="shared" si="16"/>
        <v>NA</v>
      </c>
      <c r="G60" s="3366" t="s">
        <v>205</v>
      </c>
      <c r="H60" s="3336" t="str">
        <f t="shared" si="17"/>
        <v>NA</v>
      </c>
      <c r="I60" s="3368" t="s">
        <v>205</v>
      </c>
      <c r="J60" s="2404"/>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1"/>
      <c r="D80" s="2391"/>
      <c r="E80" s="2391"/>
      <c r="F80" s="2391"/>
      <c r="G80" s="2391"/>
      <c r="H80" s="2391"/>
      <c r="I80" s="2391"/>
      <c r="J80" s="2392"/>
    </row>
    <row r="81" spans="2:10" ht="12" customHeight="1" x14ac:dyDescent="0.2">
      <c r="B81" s="1247"/>
      <c r="C81" s="2391"/>
      <c r="D81" s="2391"/>
      <c r="E81" s="2391"/>
      <c r="F81" s="2391"/>
      <c r="G81" s="2391"/>
      <c r="H81" s="2391"/>
      <c r="I81" s="2391"/>
      <c r="J81" s="2392"/>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topLeftCell="A3" workbookViewId="0">
      <selection activeCell="F12" sqref="F12"/>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2460</v>
      </c>
    </row>
    <row r="2" spans="2:12" ht="15.75" customHeight="1" x14ac:dyDescent="0.25">
      <c r="B2" s="215" t="s">
        <v>245</v>
      </c>
      <c r="G2" s="226"/>
      <c r="I2" s="14" t="s">
        <v>2461</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5" t="s">
        <v>62</v>
      </c>
    </row>
    <row r="7" spans="2:12" ht="12" customHeight="1" x14ac:dyDescent="0.2">
      <c r="B7" s="45" t="s">
        <v>475</v>
      </c>
      <c r="C7" s="2180"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4"/>
      <c r="C9" s="1776" t="s">
        <v>483</v>
      </c>
      <c r="D9" s="1751" t="s">
        <v>484</v>
      </c>
      <c r="E9" s="1775"/>
      <c r="F9" s="1751" t="s">
        <v>171</v>
      </c>
      <c r="G9" s="342"/>
      <c r="H9" s="1751" t="s">
        <v>171</v>
      </c>
      <c r="I9" s="343"/>
    </row>
    <row r="10" spans="2:12" ht="18" customHeight="1" thickTop="1" x14ac:dyDescent="0.2">
      <c r="B10" s="2205" t="s">
        <v>485</v>
      </c>
      <c r="C10" s="3057">
        <f>SUM(C11,C18)</f>
        <v>480.58940900000005</v>
      </c>
      <c r="D10" s="3105"/>
      <c r="E10" s="3105"/>
      <c r="F10" s="3057">
        <f>SUM(F11,F18)</f>
        <v>1192.8147241358829</v>
      </c>
      <c r="G10" s="3057">
        <f>SUM(G11,G18)</f>
        <v>1284.9645005780499</v>
      </c>
      <c r="H10" s="3057">
        <f>H11</f>
        <v>-176.74430333948811</v>
      </c>
      <c r="I10" s="3106" t="s">
        <v>199</v>
      </c>
      <c r="L10" s="3676"/>
    </row>
    <row r="11" spans="2:12" ht="18" customHeight="1" x14ac:dyDescent="0.2">
      <c r="B11" s="1251" t="s">
        <v>486</v>
      </c>
      <c r="C11" s="3014">
        <v>92.860287999999997</v>
      </c>
      <c r="D11" s="3057">
        <f>IFERROR(SUM(F11,-H11)/$C$11,"NA")</f>
        <v>11.674129864090725</v>
      </c>
      <c r="E11" s="3057">
        <f>IFERROR(SUM(G11)/$C$11,"NA")</f>
        <v>12.500884177078525</v>
      </c>
      <c r="F11" s="3057">
        <f>SUM(F12:F16)</f>
        <v>907.31875798937756</v>
      </c>
      <c r="G11" s="3057">
        <f>SUM(G12:G16)</f>
        <v>1160.8357049381548</v>
      </c>
      <c r="H11" s="3057">
        <f>H12</f>
        <v>-176.74430333948811</v>
      </c>
      <c r="I11" s="3106" t="s">
        <v>199</v>
      </c>
    </row>
    <row r="12" spans="2:12" ht="18" customHeight="1" x14ac:dyDescent="0.2">
      <c r="B12" s="160" t="s">
        <v>487</v>
      </c>
      <c r="C12" s="3027"/>
      <c r="D12" s="3057">
        <f>IFERROR(SUM(F12,-H12)/$C$11,"NA")</f>
        <v>10.677758114867451</v>
      </c>
      <c r="E12" s="3057">
        <f>IFERROR(SUM(G12)/$C$11,"NA")</f>
        <v>11.769246468407481</v>
      </c>
      <c r="F12" s="3104">
        <v>814.7953904014405</v>
      </c>
      <c r="G12" s="3104">
        <v>1092.8956165993015</v>
      </c>
      <c r="H12" s="3104">
        <v>-176.74430333948811</v>
      </c>
      <c r="I12" s="3015" t="s">
        <v>199</v>
      </c>
    </row>
    <row r="13" spans="2:12" ht="18" customHeight="1" x14ac:dyDescent="0.2">
      <c r="B13" s="160" t="s">
        <v>488</v>
      </c>
      <c r="C13" s="3027"/>
      <c r="D13" s="3057">
        <f>IFERROR(SUM(F13)/$C$11,"NA")</f>
        <v>0.36964070128010218</v>
      </c>
      <c r="E13" s="3057" t="s">
        <v>205</v>
      </c>
      <c r="F13" s="3104">
        <v>34.324941977392257</v>
      </c>
      <c r="G13" s="3104" t="s">
        <v>221</v>
      </c>
      <c r="H13" s="3104" t="s">
        <v>199</v>
      </c>
      <c r="I13" s="3015" t="s">
        <v>199</v>
      </c>
    </row>
    <row r="14" spans="2:12" ht="18" customHeight="1" x14ac:dyDescent="0.2">
      <c r="B14" s="160" t="s">
        <v>489</v>
      </c>
      <c r="C14" s="3442">
        <v>115</v>
      </c>
      <c r="D14" s="3057">
        <f>IFERROR(SUM(F14)/$C$11,"NA")</f>
        <v>0.62440568778383088</v>
      </c>
      <c r="E14" s="3057" t="s">
        <v>205</v>
      </c>
      <c r="F14" s="3104">
        <v>57.982491996444615</v>
      </c>
      <c r="G14" s="3104" t="s">
        <v>205</v>
      </c>
      <c r="H14" s="3104" t="s">
        <v>199</v>
      </c>
      <c r="I14" s="3015" t="s">
        <v>199</v>
      </c>
    </row>
    <row r="15" spans="2:12" ht="18" customHeight="1" x14ac:dyDescent="0.2">
      <c r="B15" s="160" t="s">
        <v>490</v>
      </c>
      <c r="C15" s="3014">
        <v>2.4055694498524703E-2</v>
      </c>
      <c r="D15" s="3057">
        <f>IFERROR(SUM(F15)/$C15,"NA")</f>
        <v>8.9764032426282334</v>
      </c>
      <c r="E15" s="3057">
        <f>IFERROR(SUM(G15)/$C15,"NA")</f>
        <v>2824.2829714610775</v>
      </c>
      <c r="F15" s="3104">
        <v>0.21593361410023129</v>
      </c>
      <c r="G15" s="3104">
        <v>67.940088338853243</v>
      </c>
      <c r="H15" s="3107"/>
      <c r="I15" s="3108"/>
    </row>
    <row r="16" spans="2:12" ht="18" customHeight="1" x14ac:dyDescent="0.2">
      <c r="B16" s="160" t="s">
        <v>491</v>
      </c>
      <c r="C16" s="3027"/>
      <c r="D16" s="3027"/>
      <c r="E16" s="3027"/>
      <c r="F16" s="3057" t="str">
        <f>F17</f>
        <v>NA</v>
      </c>
      <c r="G16" s="3109" t="str">
        <f t="shared" ref="G16:I16" si="0">G17</f>
        <v>NA</v>
      </c>
      <c r="H16" s="3057" t="str">
        <f t="shared" si="0"/>
        <v>NA</v>
      </c>
      <c r="I16" s="3106" t="str">
        <f t="shared" si="0"/>
        <v>NA</v>
      </c>
    </row>
    <row r="17" spans="2:9" ht="18" customHeight="1" x14ac:dyDescent="0.2">
      <c r="B17" s="3102" t="s">
        <v>205</v>
      </c>
      <c r="C17" s="3027"/>
      <c r="D17" s="3057" t="s">
        <v>205</v>
      </c>
      <c r="E17" s="3057" t="s">
        <v>205</v>
      </c>
      <c r="F17" s="3104" t="s">
        <v>205</v>
      </c>
      <c r="G17" s="3104" t="s">
        <v>205</v>
      </c>
      <c r="H17" s="3104" t="s">
        <v>205</v>
      </c>
      <c r="I17" s="3015" t="s">
        <v>205</v>
      </c>
    </row>
    <row r="18" spans="2:9" ht="18" customHeight="1" x14ac:dyDescent="0.2">
      <c r="B18" s="1251" t="s">
        <v>492</v>
      </c>
      <c r="C18" s="3014">
        <v>387.72912100000002</v>
      </c>
      <c r="D18" s="3057">
        <f>IFERROR(SUM(F18)/$C$18,"NA")</f>
        <v>0.73632840734319083</v>
      </c>
      <c r="E18" s="3057">
        <f>IFERROR(SUM(G18)/$C$18,"NA")</f>
        <v>0.32014308164357658</v>
      </c>
      <c r="F18" s="3057">
        <f>SUM(F19:F21)</f>
        <v>285.49596614650534</v>
      </c>
      <c r="G18" s="3109">
        <f t="shared" ref="G18" si="1">SUM(G19:G21)</f>
        <v>124.12879563989519</v>
      </c>
      <c r="H18" s="3057" t="s">
        <v>199</v>
      </c>
      <c r="I18" s="3106" t="s">
        <v>199</v>
      </c>
    </row>
    <row r="19" spans="2:9" ht="18" customHeight="1" x14ac:dyDescent="0.2">
      <c r="B19" s="160" t="s">
        <v>493</v>
      </c>
      <c r="C19" s="3027"/>
      <c r="D19" s="3057">
        <f>IFERROR(SUM(F19)/$C$18,"NA")</f>
        <v>0.73632840734319083</v>
      </c>
      <c r="E19" s="3057">
        <f>IFERROR(SUM(G19)/$C$18,"NA")</f>
        <v>0.32014308164357658</v>
      </c>
      <c r="F19" s="3104">
        <v>285.49596614650534</v>
      </c>
      <c r="G19" s="3104">
        <v>124.12879563989519</v>
      </c>
      <c r="H19" s="3104" t="s">
        <v>199</v>
      </c>
      <c r="I19" s="3015" t="s">
        <v>199</v>
      </c>
    </row>
    <row r="20" spans="2:9" ht="18" customHeight="1" x14ac:dyDescent="0.2">
      <c r="B20" s="1252" t="s">
        <v>494</v>
      </c>
      <c r="C20" s="3110"/>
      <c r="D20" s="3111" t="s">
        <v>205</v>
      </c>
      <c r="E20" s="3111" t="s">
        <v>205</v>
      </c>
      <c r="F20" s="3112" t="s">
        <v>274</v>
      </c>
      <c r="G20" s="3112" t="s">
        <v>221</v>
      </c>
      <c r="H20" s="3112" t="s">
        <v>199</v>
      </c>
      <c r="I20" s="3019" t="s">
        <v>199</v>
      </c>
    </row>
    <row r="21" spans="2:9" ht="18" customHeight="1" x14ac:dyDescent="0.2">
      <c r="B21" s="160" t="s">
        <v>495</v>
      </c>
      <c r="C21" s="3110"/>
      <c r="D21" s="3027"/>
      <c r="E21" s="3027"/>
      <c r="F21" s="3057" t="str">
        <f>F22</f>
        <v>NA</v>
      </c>
      <c r="G21" s="3109" t="str">
        <f t="shared" ref="G21" si="2">G22</f>
        <v>NA</v>
      </c>
      <c r="H21" s="3057" t="str">
        <f t="shared" ref="H21" si="3">H22</f>
        <v>NA</v>
      </c>
      <c r="I21" s="3106" t="str">
        <f t="shared" ref="I21" si="4">I22</f>
        <v>NA</v>
      </c>
    </row>
    <row r="22" spans="2:9" ht="18" customHeight="1" x14ac:dyDescent="0.2">
      <c r="B22" s="3102" t="s">
        <v>205</v>
      </c>
      <c r="C22" s="3027"/>
      <c r="D22" s="3057" t="s">
        <v>205</v>
      </c>
      <c r="E22" s="3057" t="s">
        <v>205</v>
      </c>
      <c r="F22" s="3104" t="s">
        <v>205</v>
      </c>
      <c r="G22" s="3104" t="s">
        <v>205</v>
      </c>
      <c r="H22" s="3104" t="s">
        <v>205</v>
      </c>
      <c r="I22" s="3015" t="s">
        <v>205</v>
      </c>
    </row>
    <row r="23" spans="2:9" ht="18" customHeight="1" x14ac:dyDescent="0.2">
      <c r="B23" s="2206" t="s">
        <v>496</v>
      </c>
      <c r="C23" s="3027"/>
      <c r="D23" s="3027"/>
      <c r="E23" s="3027"/>
      <c r="F23" s="3109" t="s">
        <v>497</v>
      </c>
      <c r="G23" s="3109" t="s">
        <v>497</v>
      </c>
      <c r="H23" s="3109" t="s">
        <v>497</v>
      </c>
      <c r="I23" s="3106" t="s">
        <v>205</v>
      </c>
    </row>
    <row r="24" spans="2:9" ht="18" customHeight="1" x14ac:dyDescent="0.2">
      <c r="B24" s="1274" t="s">
        <v>498</v>
      </c>
      <c r="C24" s="3107"/>
      <c r="D24" s="3113"/>
      <c r="E24" s="3113"/>
      <c r="F24" s="3113"/>
      <c r="G24" s="3113"/>
      <c r="H24" s="3113"/>
      <c r="I24" s="3114"/>
    </row>
    <row r="25" spans="2:9" ht="18" customHeight="1" x14ac:dyDescent="0.2">
      <c r="B25" s="1251" t="s">
        <v>499</v>
      </c>
      <c r="C25" s="3014" t="s">
        <v>221</v>
      </c>
      <c r="D25" s="3057" t="str">
        <f>IFERROR(SUM(F25,H25)/$C25,"NA")</f>
        <v>NA</v>
      </c>
      <c r="E25" s="3107"/>
      <c r="F25" s="3014" t="s">
        <v>221</v>
      </c>
      <c r="G25" s="3107"/>
      <c r="H25" s="3014" t="s">
        <v>199</v>
      </c>
      <c r="I25" s="3015" t="s">
        <v>199</v>
      </c>
    </row>
    <row r="26" spans="2:9" ht="18" customHeight="1" x14ac:dyDescent="0.2">
      <c r="B26" s="1251" t="s">
        <v>500</v>
      </c>
      <c r="C26" s="3014" t="s">
        <v>274</v>
      </c>
      <c r="D26" s="3057" t="s">
        <v>205</v>
      </c>
      <c r="E26" s="3057" t="s">
        <v>205</v>
      </c>
      <c r="F26" s="3014" t="s">
        <v>274</v>
      </c>
      <c r="G26" s="3104" t="s">
        <v>274</v>
      </c>
      <c r="H26" s="3014" t="s">
        <v>274</v>
      </c>
      <c r="I26" s="3015" t="s">
        <v>199</v>
      </c>
    </row>
    <row r="27" spans="2:9" ht="18" customHeight="1" x14ac:dyDescent="0.2">
      <c r="B27" s="1251" t="s">
        <v>501</v>
      </c>
      <c r="C27" s="3014" t="s">
        <v>199</v>
      </c>
      <c r="D27" s="3057" t="s">
        <v>205</v>
      </c>
      <c r="E27" s="3057" t="s">
        <v>205</v>
      </c>
      <c r="F27" s="3014" t="s">
        <v>199</v>
      </c>
      <c r="G27" s="3014" t="s">
        <v>199</v>
      </c>
      <c r="H27" s="3014" t="s">
        <v>199</v>
      </c>
      <c r="I27" s="3015" t="s">
        <v>199</v>
      </c>
    </row>
    <row r="28" spans="2:9" ht="18" customHeight="1" x14ac:dyDescent="0.2">
      <c r="B28" s="1251" t="s">
        <v>502</v>
      </c>
      <c r="C28" s="3014" t="s">
        <v>199</v>
      </c>
      <c r="D28" s="3057" t="s">
        <v>205</v>
      </c>
      <c r="E28" s="3057" t="s">
        <v>205</v>
      </c>
      <c r="F28" s="3014" t="s">
        <v>199</v>
      </c>
      <c r="G28" s="3014" t="s">
        <v>199</v>
      </c>
      <c r="H28" s="3014" t="s">
        <v>199</v>
      </c>
      <c r="I28" s="3015" t="s">
        <v>199</v>
      </c>
    </row>
    <row r="29" spans="2:9" ht="18" customHeight="1" x14ac:dyDescent="0.2">
      <c r="B29" s="1251" t="s">
        <v>503</v>
      </c>
      <c r="C29" s="3027"/>
      <c r="D29" s="3027"/>
      <c r="E29" s="3027"/>
      <c r="F29" s="3057" t="str">
        <f>F30</f>
        <v>NA</v>
      </c>
      <c r="G29" s="3109" t="str">
        <f t="shared" ref="G29:I29" si="5">G30</f>
        <v>NA</v>
      </c>
      <c r="H29" s="3057" t="str">
        <f t="shared" si="5"/>
        <v>NA</v>
      </c>
      <c r="I29" s="3106" t="str">
        <f t="shared" si="5"/>
        <v>NA</v>
      </c>
    </row>
    <row r="30" spans="2:9" ht="18" customHeight="1" x14ac:dyDescent="0.2">
      <c r="B30" s="3103" t="s">
        <v>205</v>
      </c>
      <c r="C30" s="3014" t="s">
        <v>205</v>
      </c>
      <c r="D30" s="3057" t="s">
        <v>205</v>
      </c>
      <c r="E30" s="3057" t="s">
        <v>205</v>
      </c>
      <c r="F30" s="3014" t="s">
        <v>205</v>
      </c>
      <c r="G30" s="3104" t="s">
        <v>205</v>
      </c>
      <c r="H30" s="3014" t="s">
        <v>205</v>
      </c>
      <c r="I30" s="3015" t="s">
        <v>205</v>
      </c>
    </row>
    <row r="31" spans="2:9" ht="18" customHeight="1" x14ac:dyDescent="0.2">
      <c r="B31" s="2206" t="s">
        <v>504</v>
      </c>
      <c r="C31" s="3027"/>
      <c r="D31" s="1957"/>
      <c r="E31" s="1957"/>
      <c r="F31" s="3057" t="str">
        <f>F32</f>
        <v>NA</v>
      </c>
      <c r="G31" s="3109" t="str">
        <f t="shared" ref="G31" si="6">G32</f>
        <v>NA</v>
      </c>
      <c r="H31" s="3057" t="str">
        <f t="shared" ref="H31" si="7">H32</f>
        <v>NA</v>
      </c>
      <c r="I31" s="3106" t="str">
        <f t="shared" ref="I31" si="8">I32</f>
        <v>NA</v>
      </c>
    </row>
    <row r="32" spans="2:9" ht="18" customHeight="1" thickBot="1" x14ac:dyDescent="0.25">
      <c r="B32" s="2152" t="s">
        <v>205</v>
      </c>
      <c r="C32" s="3115" t="s">
        <v>205</v>
      </c>
      <c r="D32" s="3116" t="s">
        <v>205</v>
      </c>
      <c r="E32" s="3116" t="s">
        <v>205</v>
      </c>
      <c r="F32" s="3115" t="s">
        <v>205</v>
      </c>
      <c r="G32" s="3117" t="s">
        <v>205</v>
      </c>
      <c r="H32" s="3115" t="s">
        <v>205</v>
      </c>
      <c r="I32" s="3118"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7"/>
      <c r="C35" s="2207"/>
      <c r="D35" s="2207"/>
      <c r="E35" s="2207"/>
    </row>
    <row r="36" spans="2:9" ht="12" customHeight="1" x14ac:dyDescent="0.2">
      <c r="B36" s="2207"/>
      <c r="C36" s="2207"/>
      <c r="D36" s="2207"/>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7"/>
      <c r="C39" s="2207"/>
      <c r="D39" s="2207"/>
      <c r="E39" s="2207"/>
    </row>
    <row r="47" spans="2:9" ht="12" customHeight="1" x14ac:dyDescent="0.2">
      <c r="B47" s="2197"/>
      <c r="C47" s="2197"/>
      <c r="D47" s="2197"/>
      <c r="E47" s="2197"/>
      <c r="F47" s="2197"/>
      <c r="G47" s="2197"/>
      <c r="H47" s="2197"/>
      <c r="I47" s="2197"/>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8"/>
      <c r="C51" s="2199"/>
      <c r="D51" s="2199"/>
      <c r="E51" s="2199"/>
      <c r="F51" s="2199"/>
      <c r="G51" s="2199"/>
      <c r="H51" s="2199"/>
      <c r="I51" s="2200"/>
    </row>
    <row r="52" spans="2:9" ht="12" customHeight="1" x14ac:dyDescent="0.2">
      <c r="B52" s="2198"/>
      <c r="C52" s="2199"/>
      <c r="D52" s="2199"/>
      <c r="E52" s="2199"/>
      <c r="F52" s="2199"/>
      <c r="G52" s="2199"/>
      <c r="H52" s="2199"/>
      <c r="I52" s="2200"/>
    </row>
    <row r="53" spans="2:9" ht="12" customHeight="1" x14ac:dyDescent="0.2">
      <c r="B53" s="2198"/>
      <c r="C53" s="2199"/>
      <c r="D53" s="2199"/>
      <c r="E53" s="2199"/>
      <c r="F53" s="2199"/>
      <c r="G53" s="2199"/>
      <c r="H53" s="2199"/>
      <c r="I53" s="2200"/>
    </row>
    <row r="54" spans="2:9" ht="12" customHeight="1" x14ac:dyDescent="0.2">
      <c r="B54" s="2198"/>
      <c r="C54" s="2199"/>
      <c r="D54" s="2199"/>
      <c r="E54" s="2199"/>
      <c r="F54" s="2199"/>
      <c r="G54" s="2199"/>
      <c r="H54" s="2199"/>
      <c r="I54" s="2200"/>
    </row>
    <row r="55" spans="2:9" ht="12" customHeight="1" x14ac:dyDescent="0.2">
      <c r="B55" s="2198"/>
      <c r="C55" s="2199"/>
      <c r="D55" s="2199"/>
      <c r="E55" s="2199"/>
      <c r="F55" s="2199"/>
      <c r="G55" s="2199"/>
      <c r="H55" s="2199"/>
      <c r="I55" s="2200"/>
    </row>
    <row r="56" spans="2:9" ht="12" customHeight="1" x14ac:dyDescent="0.2">
      <c r="B56" s="1314"/>
      <c r="C56" s="1320"/>
      <c r="D56" s="1320"/>
      <c r="E56" s="1320"/>
      <c r="F56" s="1320"/>
      <c r="G56" s="1320"/>
      <c r="H56" s="1320"/>
      <c r="I56" s="1321"/>
    </row>
    <row r="57" spans="2:9" ht="27" customHeight="1" thickBot="1" x14ac:dyDescent="0.25">
      <c r="B57" s="4503" t="s">
        <v>506</v>
      </c>
      <c r="C57" s="4504"/>
      <c r="D57" s="4504"/>
      <c r="E57" s="4504"/>
      <c r="F57" s="4504"/>
      <c r="G57" s="4504"/>
      <c r="H57" s="4504"/>
      <c r="I57" s="4505"/>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topLeftCell="A3" workbookViewId="0">
      <selection activeCell="H34" sqref="H34:H35"/>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2460</v>
      </c>
    </row>
    <row r="2" spans="2:12" ht="15.75" customHeight="1" x14ac:dyDescent="0.25">
      <c r="B2" s="985" t="s">
        <v>508</v>
      </c>
      <c r="C2" s="985"/>
      <c r="K2" s="226"/>
      <c r="L2" s="14" t="s">
        <v>2461</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8"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8"/>
      <c r="C9" s="268"/>
      <c r="D9" s="268"/>
      <c r="E9" s="268"/>
      <c r="F9" s="1868" t="s">
        <v>518</v>
      </c>
      <c r="G9" s="1030"/>
      <c r="H9" s="1031"/>
      <c r="I9" s="1751" t="s">
        <v>171</v>
      </c>
      <c r="J9" s="342"/>
      <c r="K9" s="1775"/>
      <c r="L9" s="343" t="s">
        <v>171</v>
      </c>
    </row>
    <row r="10" spans="2:12" ht="18" customHeight="1" thickTop="1" x14ac:dyDescent="0.2">
      <c r="B10" s="1253" t="s">
        <v>519</v>
      </c>
      <c r="C10" s="2189"/>
      <c r="D10" s="2189"/>
      <c r="E10" s="3121"/>
      <c r="F10" s="3122"/>
      <c r="G10" s="3122"/>
      <c r="H10" s="3122"/>
      <c r="I10" s="3123">
        <f>IF(SUM(I11:I16)=0,"NO",SUM(I11:I16))</f>
        <v>425.28871112438617</v>
      </c>
      <c r="J10" s="3123">
        <f>IF(SUM(J11:J16)=0,"NO",SUM(J11:J16))</f>
        <v>3.348953859899531</v>
      </c>
      <c r="K10" s="4433">
        <f>IF(SUM(K11:K16)=0,"NO",SUM(K11:K16))</f>
        <v>1.2798498738929584E-2</v>
      </c>
      <c r="L10" s="3124" t="s">
        <v>199</v>
      </c>
    </row>
    <row r="11" spans="2:12" ht="18" customHeight="1" x14ac:dyDescent="0.2">
      <c r="B11" s="1251" t="s">
        <v>520</v>
      </c>
      <c r="C11" s="2190" t="s">
        <v>521</v>
      </c>
      <c r="D11" s="2190" t="s">
        <v>522</v>
      </c>
      <c r="E11" s="699">
        <v>99</v>
      </c>
      <c r="F11" s="1938">
        <f>I11*1000000/$E11</f>
        <v>4031.1471599056727</v>
      </c>
      <c r="G11" s="1938">
        <f>J11*1000000/$E11</f>
        <v>0.41991116249017424</v>
      </c>
      <c r="H11" s="1938">
        <f>K11*1000000/$E11</f>
        <v>0.28445594878366642</v>
      </c>
      <c r="I11" s="3119">
        <v>0.39908356883066159</v>
      </c>
      <c r="J11" s="4434">
        <v>4.1571205086527248E-5</v>
      </c>
      <c r="K11" s="4440">
        <v>2.8161138929582977E-5</v>
      </c>
      <c r="L11" s="3072" t="s">
        <v>199</v>
      </c>
    </row>
    <row r="12" spans="2:12" ht="18" customHeight="1" x14ac:dyDescent="0.2">
      <c r="B12" s="1251" t="s">
        <v>523</v>
      </c>
      <c r="C12" s="2190" t="s">
        <v>524</v>
      </c>
      <c r="D12" s="2190" t="s">
        <v>525</v>
      </c>
      <c r="E12" s="699">
        <v>1056.5999999999999</v>
      </c>
      <c r="F12" s="1938" t="s">
        <v>205</v>
      </c>
      <c r="G12" s="1938">
        <f>J12*1000000/$E12</f>
        <v>611.39504069657414</v>
      </c>
      <c r="H12" s="3075"/>
      <c r="I12" s="3125" t="s">
        <v>205</v>
      </c>
      <c r="J12" s="699">
        <v>0.64600000000000024</v>
      </c>
      <c r="K12" s="3027"/>
      <c r="L12" s="3072" t="s">
        <v>199</v>
      </c>
    </row>
    <row r="13" spans="2:12" ht="18" customHeight="1" x14ac:dyDescent="0.2">
      <c r="B13" s="1251" t="s">
        <v>526</v>
      </c>
      <c r="C13" s="2190" t="s">
        <v>527</v>
      </c>
      <c r="D13" s="2190" t="s">
        <v>525</v>
      </c>
      <c r="E13" s="699">
        <v>893.24499999999989</v>
      </c>
      <c r="F13" s="1938" t="s">
        <v>205</v>
      </c>
      <c r="G13" s="1938">
        <f>J13*1000000/$E13</f>
        <v>249.66501351812769</v>
      </c>
      <c r="H13" s="3075"/>
      <c r="I13" s="3125" t="s">
        <v>205</v>
      </c>
      <c r="J13" s="699">
        <v>0.22301202499999995</v>
      </c>
      <c r="K13" s="3027"/>
      <c r="L13" s="3072" t="s">
        <v>199</v>
      </c>
    </row>
    <row r="14" spans="2:12" ht="18" customHeight="1" x14ac:dyDescent="0.2">
      <c r="B14" s="1251" t="s">
        <v>528</v>
      </c>
      <c r="C14" s="2190" t="s">
        <v>529</v>
      </c>
      <c r="D14" s="2190" t="s">
        <v>525</v>
      </c>
      <c r="E14" s="699">
        <v>1503.9179999999999</v>
      </c>
      <c r="F14" s="1938">
        <f>I14*1000000/$E14</f>
        <v>282521.80474969751</v>
      </c>
      <c r="G14" s="1938">
        <f>J14*1000000/$E14</f>
        <v>1603.9070776760732</v>
      </c>
      <c r="H14" s="1938">
        <f>K14*1000000/$E14</f>
        <v>8.4913789182654913</v>
      </c>
      <c r="I14" s="3125">
        <v>424.88962755555553</v>
      </c>
      <c r="J14" s="699">
        <v>2.4121447244444445</v>
      </c>
      <c r="K14" s="4439">
        <v>1.2770337600000001E-2</v>
      </c>
      <c r="L14" s="3072" t="s">
        <v>199</v>
      </c>
    </row>
    <row r="15" spans="2:12" ht="18" customHeight="1" x14ac:dyDescent="0.2">
      <c r="B15" s="1251" t="s">
        <v>530</v>
      </c>
      <c r="C15" s="2190" t="s">
        <v>205</v>
      </c>
      <c r="D15" s="2190" t="s">
        <v>205</v>
      </c>
      <c r="E15" s="699" t="s">
        <v>199</v>
      </c>
      <c r="F15" s="1938" t="s">
        <v>205</v>
      </c>
      <c r="G15" s="1938" t="s">
        <v>205</v>
      </c>
      <c r="H15" s="3075"/>
      <c r="I15" s="3125" t="s">
        <v>199</v>
      </c>
      <c r="J15" s="699" t="s">
        <v>199</v>
      </c>
      <c r="K15" s="3027"/>
      <c r="L15" s="3072" t="s">
        <v>199</v>
      </c>
    </row>
    <row r="16" spans="2:12" ht="18" customHeight="1" x14ac:dyDescent="0.2">
      <c r="B16" s="2436" t="s">
        <v>531</v>
      </c>
      <c r="C16" s="607"/>
      <c r="D16" s="607"/>
      <c r="E16" s="615"/>
      <c r="F16" s="615"/>
      <c r="G16" s="615"/>
      <c r="H16" s="3126"/>
      <c r="I16" s="1938" t="str">
        <f>IF(I18=0,"NO",I18)</f>
        <v>NA</v>
      </c>
      <c r="J16" s="1938">
        <f>IF(J18=0,"NO",J18)</f>
        <v>6.7755539249999996E-2</v>
      </c>
      <c r="K16" s="3110"/>
      <c r="L16" s="3127" t="str">
        <f>IF(L18=0,"NO",L18)</f>
        <v>NO</v>
      </c>
    </row>
    <row r="17" spans="2:12" ht="18" customHeight="1" x14ac:dyDescent="0.2">
      <c r="B17" s="2407" t="s">
        <v>498</v>
      </c>
      <c r="C17" s="2130"/>
      <c r="D17" s="2311"/>
      <c r="E17" s="3076"/>
      <c r="F17" s="3076"/>
      <c r="G17" s="3076"/>
      <c r="H17" s="3076"/>
      <c r="I17" s="3076"/>
      <c r="J17" s="3076"/>
      <c r="K17" s="3076"/>
      <c r="L17" s="3089"/>
    </row>
    <row r="18" spans="2:12" ht="18" customHeight="1" x14ac:dyDescent="0.2">
      <c r="B18" s="2437" t="s">
        <v>532</v>
      </c>
      <c r="C18" s="2190" t="s">
        <v>533</v>
      </c>
      <c r="D18" s="2190" t="s">
        <v>522</v>
      </c>
      <c r="E18" s="699">
        <v>2629</v>
      </c>
      <c r="F18" s="1938" t="s">
        <v>205</v>
      </c>
      <c r="G18" s="1938">
        <f>J18*1000000/$E18</f>
        <v>25.772361829593002</v>
      </c>
      <c r="H18" s="3126"/>
      <c r="I18" s="3128" t="s">
        <v>205</v>
      </c>
      <c r="J18" s="2215">
        <v>6.7755539249999996E-2</v>
      </c>
      <c r="K18" s="3110"/>
      <c r="L18" s="3080" t="s">
        <v>199</v>
      </c>
    </row>
    <row r="19" spans="2:12" ht="18" customHeight="1" x14ac:dyDescent="0.2">
      <c r="B19" s="1241" t="s">
        <v>534</v>
      </c>
      <c r="C19" s="2130"/>
      <c r="D19" s="2311"/>
      <c r="E19" s="3076"/>
      <c r="F19" s="3076"/>
      <c r="G19" s="3076"/>
      <c r="H19" s="3076"/>
      <c r="I19" s="1938" t="str">
        <f>I20</f>
        <v>NA</v>
      </c>
      <c r="J19" s="1938" t="str">
        <f>J20</f>
        <v>NA</v>
      </c>
      <c r="K19" s="3027"/>
      <c r="L19" s="3044" t="str">
        <f>L20</f>
        <v>NA</v>
      </c>
    </row>
    <row r="20" spans="2:12" ht="18" customHeight="1" thickBot="1" x14ac:dyDescent="0.25">
      <c r="B20" s="2608" t="s">
        <v>205</v>
      </c>
      <c r="C20" s="1307" t="s">
        <v>205</v>
      </c>
      <c r="D20" s="1307" t="s">
        <v>205</v>
      </c>
      <c r="E20" s="700" t="s">
        <v>205</v>
      </c>
      <c r="F20" s="3123" t="s">
        <v>205</v>
      </c>
      <c r="G20" s="3123" t="s">
        <v>205</v>
      </c>
      <c r="H20" s="3129"/>
      <c r="I20" s="700" t="s">
        <v>205</v>
      </c>
      <c r="J20" s="700" t="s">
        <v>205</v>
      </c>
      <c r="K20" s="3130"/>
      <c r="L20" s="3131" t="s">
        <v>205</v>
      </c>
    </row>
    <row r="21" spans="2:12" ht="18" customHeight="1" x14ac:dyDescent="0.2">
      <c r="B21" s="1254" t="s">
        <v>209</v>
      </c>
      <c r="C21" s="2192"/>
      <c r="D21" s="2192"/>
      <c r="E21" s="3132"/>
      <c r="F21" s="1956"/>
      <c r="G21" s="1956"/>
      <c r="H21" s="1956"/>
      <c r="I21" s="4437">
        <f>IF(SUM(I22:I27)=0,"NO",SUM(I22:I27))</f>
        <v>24.817570171990635</v>
      </c>
      <c r="J21" s="4437">
        <f>IF(SUM(J22:J27)=0,"NO",SUM(J22:J27))</f>
        <v>154.10260668668246</v>
      </c>
      <c r="K21" s="4438">
        <f>IF(SUM(K22:K27)=0,"NO",SUM(K22:K27))</f>
        <v>4.2879838792821449E-4</v>
      </c>
      <c r="L21" s="3047" t="str">
        <f>IF(SUM(L22:L27)=0,"NO",SUM(L22:L27))</f>
        <v>NO</v>
      </c>
    </row>
    <row r="22" spans="2:12" ht="18" customHeight="1" x14ac:dyDescent="0.2">
      <c r="B22" s="1468" t="s">
        <v>535</v>
      </c>
      <c r="C22" s="2190" t="s">
        <v>521</v>
      </c>
      <c r="D22" s="2190" t="s">
        <v>522</v>
      </c>
      <c r="E22" s="699">
        <v>408.55504679064455</v>
      </c>
      <c r="F22" s="1938">
        <f>I22*1000000/$E22</f>
        <v>35667.069416778788</v>
      </c>
      <c r="G22" s="1938">
        <f>J22*1000000/$E22</f>
        <v>1803.1847556830603</v>
      </c>
      <c r="H22" s="1938">
        <f>K22*1000000/$E22</f>
        <v>1.0495486258133122</v>
      </c>
      <c r="I22" s="3119">
        <v>14.571961214457225</v>
      </c>
      <c r="J22" s="700">
        <v>0.7367002322302697</v>
      </c>
      <c r="K22" s="4129">
        <v>4.2879838792821449E-4</v>
      </c>
      <c r="L22" s="3133" t="s">
        <v>199</v>
      </c>
    </row>
    <row r="23" spans="2:12" ht="18" customHeight="1" x14ac:dyDescent="0.2">
      <c r="B23" s="1251" t="s">
        <v>536</v>
      </c>
      <c r="C23" s="2190" t="s">
        <v>537</v>
      </c>
      <c r="D23" s="2190" t="s">
        <v>525</v>
      </c>
      <c r="E23" s="699">
        <v>3075.102776720104</v>
      </c>
      <c r="F23" s="1938">
        <f>I23*1000000/$E23</f>
        <v>171.51302747895369</v>
      </c>
      <c r="G23" s="1938">
        <f>J23*1000000/$E23</f>
        <v>4352.8554784079379</v>
      </c>
      <c r="H23" s="3075"/>
      <c r="I23" s="3125">
        <v>0.52742018704420202</v>
      </c>
      <c r="J23" s="699">
        <v>13.385477968313566</v>
      </c>
      <c r="K23" s="3027"/>
      <c r="L23" s="3133" t="s">
        <v>199</v>
      </c>
    </row>
    <row r="24" spans="2:12" ht="18" customHeight="1" x14ac:dyDescent="0.2">
      <c r="B24" s="1251" t="s">
        <v>538</v>
      </c>
      <c r="C24" s="2190" t="s">
        <v>537</v>
      </c>
      <c r="D24" s="2190" t="s">
        <v>525</v>
      </c>
      <c r="E24" s="699">
        <v>3075.102776720104</v>
      </c>
      <c r="F24" s="1938">
        <f t="shared" ref="F24:F26" si="0">I24*1000000/$E24</f>
        <v>965.7621215364984</v>
      </c>
      <c r="G24" s="1938">
        <f t="shared" ref="G24:G26" si="1">J24*1000000/$E24</f>
        <v>5519.7004237783613</v>
      </c>
      <c r="H24" s="1885"/>
      <c r="I24" s="699">
        <v>2.9698177815879849</v>
      </c>
      <c r="J24" s="699">
        <v>16.973646099823974</v>
      </c>
      <c r="K24" s="1939"/>
      <c r="L24" s="3072" t="str">
        <f>IF(Table1.C!E21="NO","NO",-Table1.C!E21)</f>
        <v>NO</v>
      </c>
    </row>
    <row r="25" spans="2:12" ht="18" customHeight="1" x14ac:dyDescent="0.2">
      <c r="B25" s="1251" t="s">
        <v>539</v>
      </c>
      <c r="C25" s="2190" t="s">
        <v>540</v>
      </c>
      <c r="D25" s="2190" t="s">
        <v>541</v>
      </c>
      <c r="E25" s="699">
        <v>25824</v>
      </c>
      <c r="F25" s="1938">
        <f t="shared" si="0"/>
        <v>20.000000000000004</v>
      </c>
      <c r="G25" s="1938">
        <f t="shared" si="1"/>
        <v>693.13484687555308</v>
      </c>
      <c r="H25" s="3075"/>
      <c r="I25" s="3125">
        <v>0.51648000000000005</v>
      </c>
      <c r="J25" s="699">
        <v>17.899514285714282</v>
      </c>
      <c r="K25" s="3027"/>
      <c r="L25" s="3072" t="s">
        <v>199</v>
      </c>
    </row>
    <row r="26" spans="2:12" ht="18" customHeight="1" x14ac:dyDescent="0.2">
      <c r="B26" s="1251" t="s">
        <v>542</v>
      </c>
      <c r="C26" s="2190" t="s">
        <v>543</v>
      </c>
      <c r="D26" s="2190" t="s">
        <v>525</v>
      </c>
      <c r="E26" s="699">
        <v>395.47512871287944</v>
      </c>
      <c r="F26" s="1938">
        <f t="shared" si="0"/>
        <v>14466.867007695455</v>
      </c>
      <c r="G26" s="1938">
        <f t="shared" si="1"/>
        <v>235842.74900148285</v>
      </c>
      <c r="H26" s="3075"/>
      <c r="I26" s="3125">
        <v>5.7212860919404687</v>
      </c>
      <c r="J26" s="699">
        <v>93.269941517360749</v>
      </c>
      <c r="K26" s="3027"/>
      <c r="L26" s="3072" t="s">
        <v>199</v>
      </c>
    </row>
    <row r="27" spans="2:12" ht="18" customHeight="1" x14ac:dyDescent="0.2">
      <c r="B27" s="2436" t="s">
        <v>544</v>
      </c>
      <c r="C27" s="607"/>
      <c r="D27" s="607"/>
      <c r="E27" s="615"/>
      <c r="F27" s="615"/>
      <c r="G27" s="615"/>
      <c r="H27" s="3126"/>
      <c r="I27" s="1938">
        <f>IF(SUM(I29:I30)=0,"NO",SUM(I29:I30))</f>
        <v>0.51060489696075251</v>
      </c>
      <c r="J27" s="1938">
        <f>IF(SUM(J29:J30)=0,"NO",SUM(J29:J30))</f>
        <v>11.837326583239618</v>
      </c>
      <c r="K27" s="3110"/>
      <c r="L27" s="3127" t="str">
        <f>IF(SUM(L29:L30)=0,"NO",SUM(L29:L30))</f>
        <v>NO</v>
      </c>
    </row>
    <row r="28" spans="2:12" ht="18" customHeight="1" x14ac:dyDescent="0.2">
      <c r="B28" s="2407" t="s">
        <v>498</v>
      </c>
      <c r="C28" s="2130"/>
      <c r="D28" s="2311"/>
      <c r="E28" s="3076"/>
      <c r="F28" s="3076"/>
      <c r="G28" s="3076"/>
      <c r="H28" s="3076"/>
      <c r="I28" s="3076"/>
      <c r="J28" s="3076"/>
      <c r="K28" s="3076"/>
      <c r="L28" s="3089"/>
    </row>
    <row r="29" spans="2:12" ht="18" customHeight="1" x14ac:dyDescent="0.2">
      <c r="B29" s="2437" t="s">
        <v>545</v>
      </c>
      <c r="C29" s="2190" t="s">
        <v>546</v>
      </c>
      <c r="D29" s="2190" t="s">
        <v>205</v>
      </c>
      <c r="E29" s="699" t="s">
        <v>205</v>
      </c>
      <c r="F29" s="1938" t="s">
        <v>205</v>
      </c>
      <c r="G29" s="1938" t="s">
        <v>205</v>
      </c>
      <c r="H29" s="3126"/>
      <c r="I29" s="3128">
        <v>0.51060489696075251</v>
      </c>
      <c r="J29" s="3128">
        <v>11.639616319139618</v>
      </c>
      <c r="K29" s="3110"/>
      <c r="L29" s="3080" t="s">
        <v>199</v>
      </c>
    </row>
    <row r="30" spans="2:12" ht="18" customHeight="1" thickBot="1" x14ac:dyDescent="0.25">
      <c r="B30" s="2437" t="s">
        <v>547</v>
      </c>
      <c r="C30" s="2190" t="s">
        <v>533</v>
      </c>
      <c r="D30" s="2190" t="s">
        <v>522</v>
      </c>
      <c r="E30" s="699">
        <v>8827</v>
      </c>
      <c r="F30" s="1938" t="s">
        <v>205</v>
      </c>
      <c r="G30" s="1938">
        <f t="shared" ref="G30" si="2">J30*1000000/$E30</f>
        <v>22.398353245723342</v>
      </c>
      <c r="H30" s="3126"/>
      <c r="I30" s="3128" t="s">
        <v>205</v>
      </c>
      <c r="J30" s="3128">
        <v>0.19771026409999995</v>
      </c>
      <c r="K30" s="3110"/>
      <c r="L30" s="3080" t="s">
        <v>199</v>
      </c>
    </row>
    <row r="31" spans="2:12" ht="18" customHeight="1" x14ac:dyDescent="0.2">
      <c r="B31" s="1254" t="s">
        <v>548</v>
      </c>
      <c r="C31" s="2192"/>
      <c r="D31" s="2192"/>
      <c r="E31" s="3183"/>
      <c r="F31" s="3183"/>
      <c r="G31" s="3183"/>
      <c r="H31" s="3183"/>
      <c r="I31" s="4437">
        <f>IF(SUM(I32,I36)=0,"NO",SUM(I32,I36))</f>
        <v>5769.9732701964749</v>
      </c>
      <c r="J31" s="3046">
        <f>IF(SUM(J32,J36)=0,"NO",SUM(J32,J36))</f>
        <v>51.229576566513522</v>
      </c>
      <c r="K31" s="3046">
        <f>IF(SUM(K32,K36)=0,"NO",SUM(K32,K36))</f>
        <v>7.7108484723598311E-2</v>
      </c>
      <c r="L31" s="3047" t="str">
        <f>IF(SUM(L32,L36)=0,"NO",SUM(L32,L36))</f>
        <v>NO</v>
      </c>
    </row>
    <row r="32" spans="2:12" ht="18" customHeight="1" x14ac:dyDescent="0.2">
      <c r="B32" s="1467" t="s">
        <v>549</v>
      </c>
      <c r="C32" s="2195"/>
      <c r="D32" s="2195"/>
      <c r="E32" s="3007"/>
      <c r="F32" s="3007"/>
      <c r="G32" s="3007"/>
      <c r="H32" s="3007"/>
      <c r="I32" s="3134">
        <f>IF(SUM(I33:I35)=0,"NO",SUM(I33:I35))</f>
        <v>3387.1331550360151</v>
      </c>
      <c r="J32" s="1938">
        <f>IF(SUM(J33:J35)=0,"NO",SUM(J33:J35))</f>
        <v>36.218004646358047</v>
      </c>
      <c r="K32" s="1938" t="str">
        <f>IF(SUM(K33:K35)=0,"NO",SUM(K33:K35))</f>
        <v>NO</v>
      </c>
      <c r="L32" s="3044"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10"/>
      <c r="L33" s="3133"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10"/>
      <c r="L34" s="3133" t="s">
        <v>199</v>
      </c>
    </row>
    <row r="35" spans="2:12" ht="18" customHeight="1" x14ac:dyDescent="0.2">
      <c r="B35" s="1469" t="s">
        <v>552</v>
      </c>
      <c r="C35" s="277" t="s">
        <v>553</v>
      </c>
      <c r="D35" s="277" t="s">
        <v>525</v>
      </c>
      <c r="E35" s="699">
        <f>SUM(E24,E12)</f>
        <v>4131.7027767201034</v>
      </c>
      <c r="F35" s="1938">
        <f t="shared" ref="F35" si="3">SUM(I35,L35)*1000000/$E35</f>
        <v>819791.09778192826</v>
      </c>
      <c r="G35" s="1938">
        <f t="shared" ref="G35" si="4">J35*1000000/$E35</f>
        <v>8765.8785260224413</v>
      </c>
      <c r="H35" s="1938" t="s">
        <v>205</v>
      </c>
      <c r="I35" s="699">
        <v>3387.1331550360151</v>
      </c>
      <c r="J35" s="699">
        <v>36.218004646358047</v>
      </c>
      <c r="K35" s="699" t="s">
        <v>199</v>
      </c>
      <c r="L35" s="3072" t="s">
        <v>199</v>
      </c>
    </row>
    <row r="36" spans="2:12" ht="18" customHeight="1" x14ac:dyDescent="0.2">
      <c r="B36" s="1467" t="s">
        <v>554</v>
      </c>
      <c r="C36" s="2195"/>
      <c r="D36" s="2195"/>
      <c r="E36" s="3007"/>
      <c r="F36" s="3007"/>
      <c r="G36" s="3007"/>
      <c r="H36" s="3007"/>
      <c r="I36" s="3134">
        <f>IF(SUM(I37:I39)=0,"NO",SUM(I37:I39))</f>
        <v>2382.8401151604603</v>
      </c>
      <c r="J36" s="3134">
        <f>IF(SUM(J37:J39)=0,"NO",SUM(J37:J39))</f>
        <v>15.011571920155475</v>
      </c>
      <c r="K36" s="1938">
        <f>IF(SUM(K37:K39)=0,"NO",SUM(K37:K39))</f>
        <v>7.7108484723598311E-2</v>
      </c>
      <c r="L36" s="3044" t="str">
        <f>IF(SUM(L37:L39)=0,"NO",SUM(L37:L39))</f>
        <v>NO</v>
      </c>
    </row>
    <row r="37" spans="2:12" ht="18" customHeight="1" x14ac:dyDescent="0.2">
      <c r="B37" s="1469" t="s">
        <v>555</v>
      </c>
      <c r="C37" s="277" t="s">
        <v>556</v>
      </c>
      <c r="D37" s="277" t="s">
        <v>525</v>
      </c>
      <c r="E37" s="699">
        <v>11.14260616943119</v>
      </c>
      <c r="F37" s="1938">
        <f t="shared" ref="F37:F38" si="5">SUM(I37,L37)*1000000/$E37</f>
        <v>94132481.308534294</v>
      </c>
      <c r="G37" s="1938">
        <f t="shared" ref="G37:H38" si="6">J37*1000000/$E37</f>
        <v>1136081.6709650692</v>
      </c>
      <c r="H37" s="1938">
        <f t="shared" si="6"/>
        <v>2629.2175813763029</v>
      </c>
      <c r="I37" s="700">
        <v>1048.8811669723405</v>
      </c>
      <c r="J37" s="700">
        <v>12.658910635873076</v>
      </c>
      <c r="K37" s="700">
        <v>2.9296336043020545E-2</v>
      </c>
      <c r="L37" s="3133" t="s">
        <v>199</v>
      </c>
    </row>
    <row r="38" spans="2:12" ht="18" customHeight="1" x14ac:dyDescent="0.2">
      <c r="B38" s="1469" t="s">
        <v>557</v>
      </c>
      <c r="C38" s="277" t="s">
        <v>556</v>
      </c>
      <c r="D38" s="277" t="s">
        <v>525</v>
      </c>
      <c r="E38" s="699">
        <v>28.927712565502191</v>
      </c>
      <c r="F38" s="1938">
        <f t="shared" si="5"/>
        <v>46113530.240857542</v>
      </c>
      <c r="G38" s="1938">
        <f t="shared" si="6"/>
        <v>81328.97749710326</v>
      </c>
      <c r="H38" s="1938">
        <f t="shared" si="6"/>
        <v>1652.8147039733883</v>
      </c>
      <c r="I38" s="699">
        <v>1333.9589481881198</v>
      </c>
      <c r="J38" s="699">
        <v>2.3526612842823988</v>
      </c>
      <c r="K38" s="699">
        <v>4.7812148680577767E-2</v>
      </c>
      <c r="L38" s="3072" t="s">
        <v>199</v>
      </c>
    </row>
    <row r="39" spans="2:12" ht="18" customHeight="1" thickBot="1" x14ac:dyDescent="0.25">
      <c r="B39" s="1470" t="s">
        <v>558</v>
      </c>
      <c r="C39" s="302" t="s">
        <v>205</v>
      </c>
      <c r="D39" s="302" t="s">
        <v>205</v>
      </c>
      <c r="E39" s="1562" t="s">
        <v>205</v>
      </c>
      <c r="F39" s="2891" t="s">
        <v>205</v>
      </c>
      <c r="G39" s="2891" t="s">
        <v>205</v>
      </c>
      <c r="H39" s="2891" t="s">
        <v>205</v>
      </c>
      <c r="I39" s="1562" t="s">
        <v>205</v>
      </c>
      <c r="J39" s="1562" t="s">
        <v>205</v>
      </c>
      <c r="K39" s="1562" t="s">
        <v>205</v>
      </c>
      <c r="L39" s="3135" t="s">
        <v>205</v>
      </c>
    </row>
    <row r="40" spans="2:12" ht="18" customHeight="1" x14ac:dyDescent="0.2">
      <c r="B40" s="1254" t="s">
        <v>559</v>
      </c>
      <c r="C40" s="2080"/>
      <c r="D40" s="2080"/>
      <c r="E40" s="3121"/>
      <c r="F40" s="3122"/>
      <c r="G40" s="3122"/>
      <c r="H40" s="3122"/>
      <c r="I40" s="3123" t="str">
        <f>I41</f>
        <v>NA</v>
      </c>
      <c r="J40" s="3123" t="str">
        <f t="shared" ref="J40:K40" si="7">J41</f>
        <v>NA</v>
      </c>
      <c r="K40" s="3123" t="str">
        <f t="shared" si="7"/>
        <v>NA</v>
      </c>
      <c r="L40" s="3136" t="str">
        <f>L41</f>
        <v>NA</v>
      </c>
    </row>
    <row r="41" spans="2:12" ht="18" customHeight="1" thickBot="1" x14ac:dyDescent="0.25">
      <c r="B41" s="2609" t="s">
        <v>205</v>
      </c>
      <c r="C41" s="302" t="s">
        <v>205</v>
      </c>
      <c r="D41" s="302" t="s">
        <v>205</v>
      </c>
      <c r="E41" s="1562" t="s">
        <v>205</v>
      </c>
      <c r="F41" s="2891" t="s">
        <v>205</v>
      </c>
      <c r="G41" s="2891" t="s">
        <v>205</v>
      </c>
      <c r="H41" s="2891" t="s">
        <v>205</v>
      </c>
      <c r="I41" s="1562" t="s">
        <v>205</v>
      </c>
      <c r="J41" s="1562" t="s">
        <v>205</v>
      </c>
      <c r="K41" s="1562" t="s">
        <v>205</v>
      </c>
      <c r="L41" s="3135"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7"/>
    </row>
    <row r="54" spans="2:12" ht="12" customHeight="1" x14ac:dyDescent="0.2">
      <c r="B54" s="992"/>
      <c r="C54" s="992"/>
      <c r="D54" s="992"/>
      <c r="L54" s="2197"/>
    </row>
    <row r="55" spans="2:12" ht="12" customHeight="1" x14ac:dyDescent="0.2">
      <c r="B55" s="992"/>
      <c r="C55" s="992"/>
      <c r="D55" s="992"/>
      <c r="L55" s="2197"/>
    </row>
    <row r="56" spans="2:12" ht="12" customHeight="1" x14ac:dyDescent="0.2">
      <c r="B56" s="992"/>
      <c r="C56" s="992"/>
      <c r="D56" s="992"/>
      <c r="L56" s="2197"/>
    </row>
    <row r="57" spans="2:12" ht="12" customHeight="1" thickBot="1" x14ac:dyDescent="0.25">
      <c r="B57" s="992"/>
      <c r="C57" s="992"/>
      <c r="D57" s="992"/>
      <c r="L57" s="2197"/>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8"/>
      <c r="C60" s="2199"/>
      <c r="D60" s="2199"/>
      <c r="E60" s="2199"/>
      <c r="F60" s="2199"/>
      <c r="G60" s="2199"/>
      <c r="H60" s="2199"/>
      <c r="I60" s="2199"/>
      <c r="J60" s="2199"/>
      <c r="K60" s="2199"/>
      <c r="L60" s="2200"/>
    </row>
    <row r="61" spans="2:12" ht="12" customHeight="1" x14ac:dyDescent="0.2">
      <c r="B61" s="2198"/>
      <c r="C61" s="2199"/>
      <c r="D61" s="2199"/>
      <c r="E61" s="2199"/>
      <c r="F61" s="2199"/>
      <c r="G61" s="2199"/>
      <c r="H61" s="2199"/>
      <c r="I61" s="2199"/>
      <c r="J61" s="2199"/>
      <c r="K61" s="2199"/>
      <c r="L61" s="2200"/>
    </row>
    <row r="62" spans="2:12" ht="12" customHeight="1" x14ac:dyDescent="0.2">
      <c r="B62" s="2198"/>
      <c r="C62" s="2199"/>
      <c r="D62" s="2199"/>
      <c r="E62" s="2199"/>
      <c r="F62" s="2199"/>
      <c r="G62" s="2199"/>
      <c r="H62" s="2199"/>
      <c r="I62" s="2199"/>
      <c r="J62" s="2199"/>
      <c r="K62" s="2199"/>
      <c r="L62" s="2200"/>
    </row>
    <row r="63" spans="2:12" ht="12" customHeight="1" x14ac:dyDescent="0.2">
      <c r="B63" s="2198"/>
      <c r="C63" s="2199"/>
      <c r="D63" s="2199"/>
      <c r="E63" s="2199"/>
      <c r="F63" s="2199"/>
      <c r="G63" s="2199"/>
      <c r="H63" s="2199"/>
      <c r="I63" s="2199"/>
      <c r="J63" s="2199"/>
      <c r="K63" s="2199"/>
      <c r="L63" s="2200"/>
    </row>
    <row r="64" spans="2:12" ht="12" customHeight="1" x14ac:dyDescent="0.2">
      <c r="B64" s="2198"/>
      <c r="C64" s="2199"/>
      <c r="D64" s="2199"/>
      <c r="E64" s="2199"/>
      <c r="F64" s="2199"/>
      <c r="G64" s="2199"/>
      <c r="H64" s="2199"/>
      <c r="I64" s="2199"/>
      <c r="J64" s="2199"/>
      <c r="K64" s="2199"/>
      <c r="L64" s="2200"/>
    </row>
    <row r="65" spans="2:12" ht="12" customHeight="1" thickBot="1" x14ac:dyDescent="0.25">
      <c r="B65" s="2201"/>
      <c r="C65" s="2202"/>
      <c r="D65" s="2202"/>
      <c r="E65" s="2202"/>
      <c r="F65" s="2202"/>
      <c r="G65" s="2202"/>
      <c r="H65" s="2202"/>
      <c r="I65" s="2202"/>
      <c r="J65" s="2202"/>
      <c r="K65" s="2202"/>
      <c r="L65" s="2203"/>
    </row>
    <row r="66" spans="2:12" ht="50.25" customHeight="1" thickBot="1" x14ac:dyDescent="0.25">
      <c r="B66" s="4506" t="s">
        <v>562</v>
      </c>
      <c r="C66" s="4507"/>
      <c r="D66" s="4507"/>
      <c r="E66" s="4507"/>
      <c r="F66" s="4507"/>
      <c r="G66" s="4507"/>
      <c r="H66" s="4507"/>
      <c r="I66" s="4507"/>
      <c r="J66" s="4507"/>
      <c r="K66" s="4507"/>
      <c r="L66" s="4508"/>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topLeftCell="A6" workbookViewId="0">
      <selection activeCell="G16" sqref="G16"/>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2460</v>
      </c>
    </row>
    <row r="2" spans="1:10" ht="17.25" x14ac:dyDescent="0.3">
      <c r="B2" s="115" t="s">
        <v>564</v>
      </c>
      <c r="E2" s="14" t="s">
        <v>2461</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5" t="s">
        <v>62</v>
      </c>
    </row>
    <row r="7" spans="1:10" x14ac:dyDescent="0.2">
      <c r="B7" s="223" t="s">
        <v>475</v>
      </c>
      <c r="C7" s="2180" t="s">
        <v>476</v>
      </c>
      <c r="D7" s="2181" t="s">
        <v>510</v>
      </c>
      <c r="E7" s="2182" t="s">
        <v>233</v>
      </c>
    </row>
    <row r="8" spans="1:10" ht="14.25" x14ac:dyDescent="0.2">
      <c r="B8" s="1317" t="s">
        <v>479</v>
      </c>
      <c r="C8" s="1830" t="s">
        <v>565</v>
      </c>
      <c r="D8" s="1860" t="s">
        <v>165</v>
      </c>
      <c r="E8" s="2183" t="s">
        <v>566</v>
      </c>
    </row>
    <row r="9" spans="1:10" ht="12" customHeight="1" thickBot="1" x14ac:dyDescent="0.25">
      <c r="A9"/>
      <c r="B9" s="2121"/>
      <c r="C9" s="268" t="s">
        <v>171</v>
      </c>
      <c r="D9" s="1750" t="s">
        <v>567</v>
      </c>
      <c r="E9" s="2184" t="s">
        <v>171</v>
      </c>
    </row>
    <row r="10" spans="1:10" ht="18" customHeight="1" thickTop="1" x14ac:dyDescent="0.2">
      <c r="B10" s="1255" t="s">
        <v>568</v>
      </c>
      <c r="C10" s="3007"/>
      <c r="D10" s="3007"/>
      <c r="E10" s="416" t="s">
        <v>199</v>
      </c>
    </row>
    <row r="11" spans="1:10" ht="18" customHeight="1" x14ac:dyDescent="0.2">
      <c r="B11" s="1238" t="s">
        <v>569</v>
      </c>
      <c r="C11" s="3026" t="str">
        <f>IF(E21=0,"NO",E21)</f>
        <v>NO</v>
      </c>
      <c r="D11" s="1938" t="s">
        <v>205</v>
      </c>
      <c r="E11" s="3040" t="s">
        <v>199</v>
      </c>
    </row>
    <row r="12" spans="1:10" ht="18" customHeight="1" x14ac:dyDescent="0.2">
      <c r="B12" s="1238" t="s">
        <v>570</v>
      </c>
      <c r="C12" s="3026" t="s">
        <v>199</v>
      </c>
      <c r="D12" s="1938" t="s">
        <v>205</v>
      </c>
      <c r="E12" s="3040" t="s">
        <v>199</v>
      </c>
    </row>
    <row r="13" spans="1:10" ht="18" customHeight="1" x14ac:dyDescent="0.2">
      <c r="B13" s="1238" t="s">
        <v>571</v>
      </c>
      <c r="C13" s="3142"/>
      <c r="D13" s="3142"/>
      <c r="E13" s="3064" t="str">
        <f>E14</f>
        <v>NA</v>
      </c>
    </row>
    <row r="14" spans="1:10" ht="18" customHeight="1" x14ac:dyDescent="0.2">
      <c r="B14" s="2264" t="s">
        <v>205</v>
      </c>
      <c r="C14" s="3026" t="s">
        <v>205</v>
      </c>
      <c r="D14" s="1938" t="s">
        <v>205</v>
      </c>
      <c r="E14" s="3040" t="s">
        <v>205</v>
      </c>
    </row>
    <row r="15" spans="1:10" ht="18" customHeight="1" x14ac:dyDescent="0.2">
      <c r="B15" s="2221" t="s">
        <v>572</v>
      </c>
      <c r="C15" s="1939"/>
      <c r="D15" s="1939"/>
      <c r="E15" s="3064" t="str">
        <f>E16</f>
        <v>NO</v>
      </c>
      <c r="J15" s="125"/>
    </row>
    <row r="16" spans="1:10" ht="18" customHeight="1" x14ac:dyDescent="0.2">
      <c r="B16" s="1238" t="s">
        <v>573</v>
      </c>
      <c r="C16" s="3026" t="str">
        <f>IF(E21=0,"NO",E21)</f>
        <v>NO</v>
      </c>
      <c r="D16" s="1938" t="s">
        <v>205</v>
      </c>
      <c r="E16" s="3040" t="s">
        <v>199</v>
      </c>
    </row>
    <row r="17" spans="2:5" ht="18" customHeight="1" x14ac:dyDescent="0.2">
      <c r="B17" s="1238" t="s">
        <v>574</v>
      </c>
      <c r="C17" s="3138" t="str">
        <f>IF(SUM(E21)=0,"NO",E21-E16)</f>
        <v>NO</v>
      </c>
      <c r="D17" s="1938" t="s">
        <v>205</v>
      </c>
      <c r="E17" s="3137" t="s">
        <v>199</v>
      </c>
    </row>
    <row r="18" spans="2:5" ht="18" customHeight="1" x14ac:dyDescent="0.2">
      <c r="B18" s="4203" t="s">
        <v>575</v>
      </c>
      <c r="C18" s="3142"/>
      <c r="D18" s="3142"/>
      <c r="E18" s="3064" t="str">
        <f>E19</f>
        <v>NA</v>
      </c>
    </row>
    <row r="19" spans="2:5" ht="18" customHeight="1" thickBot="1" x14ac:dyDescent="0.25">
      <c r="B19" s="2610" t="s">
        <v>205</v>
      </c>
      <c r="C19" s="3139" t="s">
        <v>205</v>
      </c>
      <c r="D19" s="3140" t="s">
        <v>205</v>
      </c>
      <c r="E19" s="3141" t="s">
        <v>205</v>
      </c>
    </row>
    <row r="20" spans="2:5" ht="18" customHeight="1" thickBot="1" x14ac:dyDescent="0.25">
      <c r="B20" s="4204" t="s">
        <v>576</v>
      </c>
      <c r="C20" s="4205"/>
      <c r="D20" s="4206"/>
      <c r="E20" s="4207"/>
    </row>
    <row r="21" spans="2:5" ht="18" customHeight="1" x14ac:dyDescent="0.2">
      <c r="B21" s="2406" t="s">
        <v>577</v>
      </c>
      <c r="C21" s="4199"/>
      <c r="D21" s="4200"/>
      <c r="E21" s="3040" t="s">
        <v>199</v>
      </c>
    </row>
    <row r="22" spans="2:5" ht="18" customHeight="1" x14ac:dyDescent="0.2">
      <c r="B22" s="1256" t="s">
        <v>578</v>
      </c>
      <c r="C22" s="4201"/>
      <c r="D22" s="4202"/>
      <c r="E22" s="3040" t="s">
        <v>199</v>
      </c>
    </row>
    <row r="23" spans="2:5" ht="18" customHeight="1" x14ac:dyDescent="0.2">
      <c r="B23" s="2185"/>
      <c r="C23" s="3143"/>
      <c r="D23" s="3144" t="s">
        <v>579</v>
      </c>
      <c r="E23" s="3064" t="str">
        <f>IF(SUM(E21:E22)=0,"NO",SUM(E21:E22))</f>
        <v>NO</v>
      </c>
    </row>
    <row r="24" spans="2:5" ht="18" customHeight="1" x14ac:dyDescent="0.2">
      <c r="B24" s="1256" t="s">
        <v>580</v>
      </c>
      <c r="C24" s="4201"/>
      <c r="D24" s="4202"/>
      <c r="E24" s="3040" t="s">
        <v>199</v>
      </c>
    </row>
    <row r="25" spans="2:5" ht="18" customHeight="1" x14ac:dyDescent="0.2">
      <c r="B25" s="1256" t="s">
        <v>581</v>
      </c>
      <c r="C25" s="4201"/>
      <c r="D25" s="4202"/>
      <c r="E25" s="3040" t="s">
        <v>199</v>
      </c>
    </row>
    <row r="26" spans="2:5" ht="18" customHeight="1" x14ac:dyDescent="0.2">
      <c r="B26" s="1256" t="s">
        <v>582</v>
      </c>
      <c r="C26" s="4201"/>
      <c r="D26" s="4202"/>
      <c r="E26" s="3040" t="s">
        <v>199</v>
      </c>
    </row>
    <row r="27" spans="2:5" ht="18" customHeight="1" x14ac:dyDescent="0.2">
      <c r="B27" s="1049" t="s">
        <v>583</v>
      </c>
      <c r="C27" s="4201"/>
      <c r="D27" s="4202"/>
      <c r="E27" s="3040" t="str">
        <f>E16</f>
        <v>NO</v>
      </c>
    </row>
    <row r="28" spans="2:5" ht="18" customHeight="1" x14ac:dyDescent="0.2">
      <c r="B28" s="2186"/>
      <c r="C28" s="3145"/>
      <c r="D28" s="3146" t="s">
        <v>584</v>
      </c>
      <c r="E28" s="3064">
        <f>SUM(E24:E27)</f>
        <v>0</v>
      </c>
    </row>
    <row r="29" spans="2:5" ht="18" customHeight="1" thickBot="1" x14ac:dyDescent="0.25">
      <c r="B29" s="2187"/>
      <c r="C29" s="3147"/>
      <c r="D29" s="3148" t="s">
        <v>585</v>
      </c>
      <c r="E29" s="1172" t="str">
        <f>IF(E23="NO","NA",E23-E28)</f>
        <v>NA</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2"/>
      <c r="C53" s="2433" t="s">
        <v>587</v>
      </c>
      <c r="D53" s="2434"/>
      <c r="E53" s="2435"/>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2460</v>
      </c>
    </row>
    <row r="2" spans="1:13" ht="15.75" customHeight="1" x14ac:dyDescent="0.25">
      <c r="B2" s="211" t="s">
        <v>589</v>
      </c>
      <c r="C2" s="211"/>
      <c r="D2" s="211"/>
      <c r="E2" s="211"/>
      <c r="F2" s="211"/>
      <c r="G2" s="211"/>
      <c r="I2" s="2"/>
      <c r="M2" s="14" t="s">
        <v>2461</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5"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1">
        <f>100-M9</f>
        <v>39.580607916950655</v>
      </c>
      <c r="M9" s="3323">
        <f>100*C10/SUM(C10,'Table1.A(a)s3'!C16)</f>
        <v>60.419392083049345</v>
      </c>
    </row>
    <row r="10" spans="1:13" ht="18" customHeight="1" thickTop="1" thickBot="1" x14ac:dyDescent="0.25">
      <c r="B10" s="223" t="s">
        <v>603</v>
      </c>
      <c r="C10" s="3303">
        <f>IF(SUM(C11:C13)=0,"NO",SUM(C11:C13))</f>
        <v>134333.21119999999</v>
      </c>
      <c r="D10" s="3304"/>
      <c r="E10" s="3305"/>
      <c r="F10" s="3305"/>
      <c r="G10" s="3303">
        <f>IF(SUM(G11:G13)=0,"NO",SUM(G11:G13))</f>
        <v>9349.5914995200001</v>
      </c>
      <c r="H10" s="3303">
        <f>IF(SUM(H11:H13)=0,"NO",SUM(H11:H13))</f>
        <v>1.5084557142857139E-2</v>
      </c>
      <c r="I10" s="1154">
        <f>IF(SUM(I11:I13)=0,"NO",SUM(I11:I13))</f>
        <v>4.6975091042105267E-2</v>
      </c>
      <c r="J10" s="4"/>
      <c r="K10" s="68" t="s">
        <v>604</v>
      </c>
      <c r="L10" s="3324">
        <f>100-M10</f>
        <v>46.918292044134397</v>
      </c>
      <c r="M10" s="3325">
        <f>100*C14/SUM(C14,'Table1.A(a)s3'!C88)</f>
        <v>53.081707955865603</v>
      </c>
    </row>
    <row r="11" spans="1:13" ht="18" customHeight="1" x14ac:dyDescent="0.2">
      <c r="B11" s="1257" t="s">
        <v>293</v>
      </c>
      <c r="C11" s="3306">
        <v>134333.21119999999</v>
      </c>
      <c r="D11" s="116">
        <f>IF(G11="NO","NA",G11*1000/$C11)</f>
        <v>69.600000000000009</v>
      </c>
      <c r="E11" s="116">
        <f t="shared" ref="E11:F13" si="0">IF(H11="NO","NA",H11*1000000/$C11)</f>
        <v>0.11229209075035601</v>
      </c>
      <c r="F11" s="116">
        <f t="shared" si="0"/>
        <v>0.34969082196782381</v>
      </c>
      <c r="G11" s="3041">
        <v>9349.5914995200001</v>
      </c>
      <c r="H11" s="3041">
        <v>1.5084557142857139E-2</v>
      </c>
      <c r="I11" s="3042">
        <v>4.6975091042105267E-2</v>
      </c>
      <c r="J11" s="4"/>
      <c r="K11" s="4"/>
      <c r="L11" s="4"/>
      <c r="M11" s="4"/>
    </row>
    <row r="12" spans="1:13" ht="18" customHeight="1" x14ac:dyDescent="0.2">
      <c r="B12" s="1258" t="s">
        <v>292</v>
      </c>
      <c r="C12" s="3306" t="s">
        <v>199</v>
      </c>
      <c r="D12" s="116" t="str">
        <f>IF(G12="NO","NA",G12*1000/$C12)</f>
        <v>NA</v>
      </c>
      <c r="E12" s="116" t="str">
        <f t="shared" si="0"/>
        <v>NA</v>
      </c>
      <c r="F12" s="116" t="str">
        <f t="shared" si="0"/>
        <v>NA</v>
      </c>
      <c r="G12" s="3041" t="s">
        <v>199</v>
      </c>
      <c r="H12" s="3041" t="s">
        <v>199</v>
      </c>
      <c r="I12" s="3042" t="s">
        <v>199</v>
      </c>
      <c r="J12" s="4"/>
      <c r="K12" s="4"/>
      <c r="L12" s="4"/>
      <c r="M12" s="4"/>
    </row>
    <row r="13" spans="1:13" ht="18" customHeight="1" thickBot="1" x14ac:dyDescent="0.25">
      <c r="B13" s="1258" t="s">
        <v>294</v>
      </c>
      <c r="C13" s="3307" t="s">
        <v>199</v>
      </c>
      <c r="D13" s="3308" t="str">
        <f>IF(G13="NO","NA",G13*1000/$C13)</f>
        <v>NA</v>
      </c>
      <c r="E13" s="3308" t="str">
        <f t="shared" si="0"/>
        <v>NA</v>
      </c>
      <c r="F13" s="3309" t="str">
        <f t="shared" si="0"/>
        <v>NA</v>
      </c>
      <c r="G13" s="3310" t="s">
        <v>199</v>
      </c>
      <c r="H13" s="3310" t="s">
        <v>199</v>
      </c>
      <c r="I13" s="3311" t="s">
        <v>199</v>
      </c>
      <c r="J13" s="4"/>
      <c r="K13" s="1046"/>
      <c r="L13" s="1046"/>
      <c r="M13" s="1046"/>
    </row>
    <row r="14" spans="1:13" ht="18" customHeight="1" x14ac:dyDescent="0.2">
      <c r="B14" s="223" t="s">
        <v>605</v>
      </c>
      <c r="C14" s="3312">
        <f>IF(SUM(C15:C18,C20:C22)=0,"NO",SUM(C15:C18,C20:C22))</f>
        <v>35009.283600000002</v>
      </c>
      <c r="D14" s="3313"/>
      <c r="E14" s="3314"/>
      <c r="F14" s="3315"/>
      <c r="G14" s="3387">
        <f>IF(SUM(G15:G18,G20:G22)=0,"NO",SUM(G15:G18,G20:G22))</f>
        <v>2564.3636197599994</v>
      </c>
      <c r="H14" s="3387">
        <f>IF(SUM(H15:H18,H20:H22)=0,"NO",SUM(H15:H18,H20:H22))</f>
        <v>0.24506498519999997</v>
      </c>
      <c r="I14" s="4428">
        <f>IF(SUM(I15:I18,I20:I22)=0,"NO",SUM(I15:I18,I20:I22))</f>
        <v>7.0018567199999993E-2</v>
      </c>
      <c r="J14" s="4"/>
      <c r="K14" s="1045"/>
      <c r="L14" s="1045"/>
      <c r="M14" s="1045"/>
    </row>
    <row r="15" spans="1:13" ht="18" customHeight="1" x14ac:dyDescent="0.2">
      <c r="B15" s="1259" t="s">
        <v>306</v>
      </c>
      <c r="C15" s="143">
        <v>31679.6476</v>
      </c>
      <c r="D15" s="116">
        <f>IF(G15="NO","NA",G15*1000/$C15)</f>
        <v>73.59999999999998</v>
      </c>
      <c r="E15" s="116">
        <f t="shared" ref="E15:F17" si="1">IF(H15="NO","NA",H15*1000000/$C15)</f>
        <v>6.9999999999999991</v>
      </c>
      <c r="F15" s="116">
        <f t="shared" si="1"/>
        <v>2</v>
      </c>
      <c r="G15" s="3043">
        <v>2331.6220633599996</v>
      </c>
      <c r="H15" s="3043">
        <v>0.22175753319999997</v>
      </c>
      <c r="I15" s="135">
        <v>6.3359295199999999E-2</v>
      </c>
      <c r="J15" s="4"/>
      <c r="K15" s="1045"/>
      <c r="L15" s="1045"/>
      <c r="M15" s="1045"/>
    </row>
    <row r="16" spans="1:13" ht="18" customHeight="1" x14ac:dyDescent="0.2">
      <c r="B16" s="1259" t="s">
        <v>307</v>
      </c>
      <c r="C16" s="3316">
        <v>3329.636</v>
      </c>
      <c r="D16" s="116">
        <f>IF(G16="NO","NA",G16*1000/$C16)</f>
        <v>69.899999999999991</v>
      </c>
      <c r="E16" s="116">
        <f t="shared" si="1"/>
        <v>7</v>
      </c>
      <c r="F16" s="116">
        <f t="shared" si="1"/>
        <v>2.0000000000000004</v>
      </c>
      <c r="G16" s="3043">
        <v>232.74155639999998</v>
      </c>
      <c r="H16" s="3043">
        <v>2.3307451999999999E-2</v>
      </c>
      <c r="I16" s="135">
        <v>6.6592720000000008E-3</v>
      </c>
      <c r="J16" s="4"/>
      <c r="K16" s="1045"/>
      <c r="L16" s="1045"/>
      <c r="M16" s="1045"/>
    </row>
    <row r="17" spans="2:13" ht="18" customHeight="1" x14ac:dyDescent="0.2">
      <c r="B17" s="1259" t="s">
        <v>281</v>
      </c>
      <c r="C17" s="3306" t="s">
        <v>199</v>
      </c>
      <c r="D17" s="116" t="str">
        <f>IF(G17="NO","NA",G17*1000/$C17)</f>
        <v>NA</v>
      </c>
      <c r="E17" s="116" t="str">
        <f t="shared" si="1"/>
        <v>NA</v>
      </c>
      <c r="F17" s="116" t="str">
        <f t="shared" si="1"/>
        <v>NA</v>
      </c>
      <c r="G17" s="3041" t="s">
        <v>199</v>
      </c>
      <c r="H17" s="3041" t="s">
        <v>199</v>
      </c>
      <c r="I17" s="3042" t="s">
        <v>199</v>
      </c>
      <c r="J17" s="4"/>
      <c r="K17" s="1045"/>
      <c r="L17" s="1045"/>
      <c r="M17" s="1045"/>
    </row>
    <row r="18" spans="2:13" ht="18" customHeight="1" x14ac:dyDescent="0.2">
      <c r="B18" s="1259" t="s">
        <v>308</v>
      </c>
      <c r="C18" s="116" t="str">
        <f>C19</f>
        <v>NA</v>
      </c>
      <c r="D18" s="618"/>
      <c r="E18" s="3317"/>
      <c r="F18" s="3317"/>
      <c r="G18" s="116" t="str">
        <f>G19</f>
        <v>NA</v>
      </c>
      <c r="H18" s="116" t="str">
        <f>H19</f>
        <v>NA</v>
      </c>
      <c r="I18" s="142" t="str">
        <f>I19</f>
        <v>NA</v>
      </c>
      <c r="J18" s="4"/>
      <c r="K18" s="1045"/>
      <c r="L18" s="1045"/>
      <c r="M18" s="1045"/>
    </row>
    <row r="19" spans="2:13" ht="18" customHeight="1" x14ac:dyDescent="0.2">
      <c r="B19" s="2612" t="s">
        <v>205</v>
      </c>
      <c r="C19" s="3306" t="s">
        <v>205</v>
      </c>
      <c r="D19" s="116" t="s">
        <v>205</v>
      </c>
      <c r="E19" s="116" t="s">
        <v>205</v>
      </c>
      <c r="F19" s="116" t="s">
        <v>205</v>
      </c>
      <c r="G19" s="3041" t="s">
        <v>205</v>
      </c>
      <c r="H19" s="3041" t="s">
        <v>205</v>
      </c>
      <c r="I19" s="3042" t="s">
        <v>205</v>
      </c>
      <c r="J19" s="4"/>
      <c r="K19" s="1045"/>
      <c r="L19" s="1045"/>
      <c r="M19" s="1045"/>
    </row>
    <row r="20" spans="2:13" ht="18" customHeight="1" x14ac:dyDescent="0.2">
      <c r="B20" s="1259" t="s">
        <v>606</v>
      </c>
      <c r="C20" s="3306" t="s">
        <v>199</v>
      </c>
      <c r="D20" s="116" t="str">
        <f>IF(G20="NO","NA",G20*1000/$C20)</f>
        <v>NA</v>
      </c>
      <c r="E20" s="116" t="str">
        <f t="shared" ref="E20:F21" si="2">IF(H20="NO","NA",H20*1000000/$C20)</f>
        <v>NA</v>
      </c>
      <c r="F20" s="116" t="str">
        <f t="shared" si="2"/>
        <v>NA</v>
      </c>
      <c r="G20" s="3041" t="s">
        <v>199</v>
      </c>
      <c r="H20" s="3041" t="s">
        <v>199</v>
      </c>
      <c r="I20" s="3042" t="s">
        <v>199</v>
      </c>
      <c r="J20" s="4"/>
      <c r="K20" s="1045"/>
      <c r="L20" s="1045"/>
      <c r="M20" s="1045"/>
    </row>
    <row r="21" spans="2:13" ht="18" customHeight="1" x14ac:dyDescent="0.2">
      <c r="B21" s="1259" t="s">
        <v>294</v>
      </c>
      <c r="C21" s="3306" t="s">
        <v>199</v>
      </c>
      <c r="D21" s="116" t="str">
        <f>IF(G21="NO","NA",G21*1000/$C21)</f>
        <v>NA</v>
      </c>
      <c r="E21" s="116" t="str">
        <f t="shared" si="2"/>
        <v>NA</v>
      </c>
      <c r="F21" s="116" t="str">
        <f t="shared" si="2"/>
        <v>NA</v>
      </c>
      <c r="G21" s="3041" t="s">
        <v>199</v>
      </c>
      <c r="H21" s="3041" t="s">
        <v>199</v>
      </c>
      <c r="I21" s="3042" t="s">
        <v>199</v>
      </c>
      <c r="J21" s="4"/>
      <c r="K21" s="1045"/>
      <c r="L21" s="1045"/>
      <c r="M21" s="1045"/>
    </row>
    <row r="22" spans="2:13" ht="18" customHeight="1" x14ac:dyDescent="0.2">
      <c r="B22" s="1259" t="s">
        <v>607</v>
      </c>
      <c r="C22" s="116" t="str">
        <f>C23</f>
        <v>NA</v>
      </c>
      <c r="D22" s="618"/>
      <c r="E22" s="3317"/>
      <c r="F22" s="3317"/>
      <c r="G22" s="116" t="str">
        <f>G23</f>
        <v>NA</v>
      </c>
      <c r="H22" s="116" t="str">
        <f>H23</f>
        <v>NA</v>
      </c>
      <c r="I22" s="142" t="str">
        <f>I23</f>
        <v>NA</v>
      </c>
      <c r="J22" s="4"/>
      <c r="K22" s="1045"/>
      <c r="L22" s="1045"/>
      <c r="M22" s="1045"/>
    </row>
    <row r="23" spans="2:13" ht="18" customHeight="1" thickBot="1" x14ac:dyDescent="0.25">
      <c r="B23" s="2611" t="s">
        <v>205</v>
      </c>
      <c r="C23" s="3306" t="s">
        <v>205</v>
      </c>
      <c r="D23" s="116" t="s">
        <v>205</v>
      </c>
      <c r="E23" s="116" t="s">
        <v>205</v>
      </c>
      <c r="F23" s="116" t="s">
        <v>205</v>
      </c>
      <c r="G23" s="3041" t="s">
        <v>205</v>
      </c>
      <c r="H23" s="3041" t="s">
        <v>205</v>
      </c>
      <c r="I23" s="3042" t="s">
        <v>205</v>
      </c>
      <c r="J23" s="4"/>
      <c r="K23" s="1045"/>
      <c r="L23" s="1045"/>
      <c r="M23" s="1045"/>
    </row>
    <row r="24" spans="2:13" ht="18" customHeight="1" thickBot="1" x14ac:dyDescent="0.25">
      <c r="B24" s="1260" t="s">
        <v>608</v>
      </c>
      <c r="C24" s="3318" t="s">
        <v>221</v>
      </c>
      <c r="D24" s="3319" t="s">
        <v>205</v>
      </c>
      <c r="E24" s="3319" t="s">
        <v>205</v>
      </c>
      <c r="F24" s="3320" t="s">
        <v>205</v>
      </c>
      <c r="G24" s="3321" t="s">
        <v>221</v>
      </c>
      <c r="H24" s="3321" t="s">
        <v>221</v>
      </c>
      <c r="I24" s="3322"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500" t="s">
        <v>609</v>
      </c>
      <c r="C43" s="4501"/>
      <c r="D43" s="4501"/>
      <c r="E43" s="4501"/>
      <c r="F43" s="4501"/>
      <c r="G43" s="4501"/>
      <c r="H43" s="4501"/>
      <c r="I43" s="4502"/>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2" activePane="bottomRight" state="frozen"/>
      <selection pane="topRight" activeCell="C1" sqref="C1"/>
      <selection pane="bottomLeft" activeCell="A10" sqref="A10"/>
      <selection pane="bottomRight" activeCell="M20" sqref="M20"/>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2460</v>
      </c>
    </row>
    <row r="2" spans="1:15" ht="15.75" customHeight="1" x14ac:dyDescent="0.2">
      <c r="B2" s="3" t="s">
        <v>162</v>
      </c>
      <c r="G2" s="110" t="s">
        <v>415</v>
      </c>
      <c r="N2" s="2"/>
      <c r="O2" s="14" t="s">
        <v>2461</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5" t="s">
        <v>62</v>
      </c>
      <c r="N7" s="137"/>
    </row>
    <row r="8" spans="1:15" ht="49.5" x14ac:dyDescent="0.2">
      <c r="B8" s="2153" t="s">
        <v>164</v>
      </c>
      <c r="C8" s="2154" t="s">
        <v>165</v>
      </c>
      <c r="D8" s="2154" t="s">
        <v>166</v>
      </c>
      <c r="E8" s="2154" t="s">
        <v>167</v>
      </c>
      <c r="F8" s="2155" t="s">
        <v>611</v>
      </c>
      <c r="G8" s="2155" t="s">
        <v>612</v>
      </c>
      <c r="H8" s="2156" t="s">
        <v>613</v>
      </c>
      <c r="I8" s="2154" t="s">
        <v>614</v>
      </c>
      <c r="J8" s="2157" t="s">
        <v>615</v>
      </c>
      <c r="K8" s="2154" t="s">
        <v>616</v>
      </c>
      <c r="L8" s="2155" t="s">
        <v>75</v>
      </c>
      <c r="M8" s="2155" t="s">
        <v>143</v>
      </c>
      <c r="N8" s="16" t="s">
        <v>169</v>
      </c>
      <c r="O8" s="2492" t="s">
        <v>617</v>
      </c>
    </row>
    <row r="9" spans="1:15" ht="14.25" thickBot="1" x14ac:dyDescent="0.25">
      <c r="A9"/>
      <c r="B9" s="2158"/>
      <c r="C9" s="2070" t="s">
        <v>171</v>
      </c>
      <c r="D9" s="2068"/>
      <c r="E9" s="2069"/>
      <c r="F9" s="2070" t="s">
        <v>618</v>
      </c>
      <c r="G9" s="2068"/>
      <c r="H9" s="2068"/>
      <c r="I9" s="2070" t="s">
        <v>171</v>
      </c>
      <c r="J9" s="2068"/>
      <c r="K9" s="2068"/>
      <c r="L9" s="2068"/>
      <c r="M9" s="2068"/>
      <c r="N9" s="2159"/>
      <c r="O9" s="1803" t="s">
        <v>619</v>
      </c>
    </row>
    <row r="10" spans="1:15" ht="18" customHeight="1" thickTop="1" thickBot="1" x14ac:dyDescent="0.25">
      <c r="B10" s="1261" t="s">
        <v>620</v>
      </c>
      <c r="C10" s="3001">
        <f>IF(SUM(C11,C16,C27,C35,C39,C45,C52,C57)=0,"NO",SUM(C11,C16,C27,C35,C39,C45,C52,C57))</f>
        <v>24691.051147405644</v>
      </c>
      <c r="D10" s="2923">
        <f t="shared" ref="D10:N10" si="0">IF(SUM(D11,D16,D27,D35,D39,D45,D52,D57)=0,"NO",SUM(D11,D16,D27,D35,D39,D45,D52,D57))</f>
        <v>3.5721409116313096</v>
      </c>
      <c r="E10" s="2923">
        <f t="shared" si="0"/>
        <v>9.2731974041721461</v>
      </c>
      <c r="F10" s="2923">
        <f t="shared" si="0"/>
        <v>4706.3765189513433</v>
      </c>
      <c r="G10" s="2923">
        <f t="shared" si="0"/>
        <v>524.05752254650565</v>
      </c>
      <c r="H10" s="2923" t="str">
        <f t="shared" si="0"/>
        <v>NO</v>
      </c>
      <c r="I10" s="2923">
        <f t="shared" si="0"/>
        <v>7.6810372273039083E-3</v>
      </c>
      <c r="J10" s="2923" t="str">
        <f t="shared" si="0"/>
        <v>NO</v>
      </c>
      <c r="K10" s="2923">
        <f t="shared" si="0"/>
        <v>40.261420616691055</v>
      </c>
      <c r="L10" s="2924">
        <f t="shared" si="0"/>
        <v>10.825383446352516</v>
      </c>
      <c r="M10" s="2925">
        <f t="shared" si="0"/>
        <v>236.76993726994959</v>
      </c>
      <c r="N10" s="2926">
        <f t="shared" si="0"/>
        <v>1681.4265179879865</v>
      </c>
      <c r="O10" s="3002">
        <f t="shared" ref="O10:O58" si="1">IF(SUM(C10:J10)=0,"NO",SUM(C10,F10:H10)+28*SUM(D10)+265*SUM(E10)+23500*SUM(I10)+16100*SUM(J10))</f>
        <v>32659.406821376433</v>
      </c>
    </row>
    <row r="11" spans="1:15" ht="18" customHeight="1" x14ac:dyDescent="0.2">
      <c r="B11" s="1262" t="s">
        <v>621</v>
      </c>
      <c r="C11" s="2163">
        <f>IF(SUM(C12:C15)=0,"NO",SUM(C12:C15))</f>
        <v>6985.4738057376535</v>
      </c>
      <c r="D11" s="2893"/>
      <c r="E11" s="2893"/>
      <c r="F11" s="1955"/>
      <c r="G11" s="1955"/>
      <c r="H11" s="2160"/>
      <c r="I11" s="1955"/>
      <c r="J11" s="2161"/>
      <c r="K11" s="2163" t="str">
        <f>IF(SUM(K12:K15)=0,"NO",SUM(K12:K15))</f>
        <v>NO</v>
      </c>
      <c r="L11" s="2163" t="str">
        <f t="shared" ref="L11:N11" si="2">IF(SUM(L12:L15)=0,"NO",SUM(L12:L15))</f>
        <v>NO</v>
      </c>
      <c r="M11" s="2927" t="str">
        <f t="shared" si="2"/>
        <v>NO</v>
      </c>
      <c r="N11" s="2928" t="str">
        <f t="shared" si="2"/>
        <v>NO</v>
      </c>
      <c r="O11" s="2950">
        <f>IF(SUM(C11:J11)=0,"NO",SUM(C11,F11:H11)+28*SUM(D11)+265*SUM(E11)+23500*SUM(I11)+16100*SUM(J11))</f>
        <v>6985.4738057376535</v>
      </c>
    </row>
    <row r="12" spans="1:15" ht="18" customHeight="1" x14ac:dyDescent="0.2">
      <c r="B12" s="1263" t="s">
        <v>622</v>
      </c>
      <c r="C12" s="2930">
        <f>'Table2(I).A-H'!H11</f>
        <v>3971.5474441600004</v>
      </c>
      <c r="D12" s="2162"/>
      <c r="E12" s="2162"/>
      <c r="F12" s="615"/>
      <c r="G12" s="615"/>
      <c r="H12" s="2161"/>
      <c r="I12" s="615"/>
      <c r="J12" s="2161"/>
      <c r="K12" s="2161"/>
      <c r="L12" s="2161"/>
      <c r="M12" s="2161"/>
      <c r="N12" s="2929" t="s">
        <v>199</v>
      </c>
      <c r="O12" s="2943">
        <f t="shared" si="1"/>
        <v>3971.5474441600004</v>
      </c>
    </row>
    <row r="13" spans="1:15" ht="18" customHeight="1" x14ac:dyDescent="0.2">
      <c r="B13" s="1263" t="s">
        <v>623</v>
      </c>
      <c r="C13" s="1884">
        <f>'Table2(I).A-H'!H12</f>
        <v>1225.3907479999998</v>
      </c>
      <c r="D13" s="2135"/>
      <c r="E13" s="2135"/>
      <c r="F13" s="615"/>
      <c r="G13" s="615"/>
      <c r="H13" s="2161"/>
      <c r="I13" s="615"/>
      <c r="J13" s="2161"/>
      <c r="K13" s="615"/>
      <c r="L13" s="615"/>
      <c r="M13" s="615"/>
      <c r="N13" s="1842"/>
      <c r="O13" s="1887">
        <f t="shared" si="1"/>
        <v>1225.3907479999998</v>
      </c>
    </row>
    <row r="14" spans="1:15" ht="18" customHeight="1" x14ac:dyDescent="0.2">
      <c r="B14" s="1263" t="s">
        <v>624</v>
      </c>
      <c r="C14" s="1884">
        <f>'Table2(I).A-H'!H13</f>
        <v>115.51231793362143</v>
      </c>
      <c r="D14" s="2135"/>
      <c r="E14" s="2135"/>
      <c r="F14" s="615"/>
      <c r="G14" s="615"/>
      <c r="H14" s="2161"/>
      <c r="I14" s="615"/>
      <c r="J14" s="2161"/>
      <c r="K14" s="615"/>
      <c r="L14" s="615"/>
      <c r="M14" s="615"/>
      <c r="N14" s="1842"/>
      <c r="O14" s="1887">
        <f t="shared" si="1"/>
        <v>115.51231793362143</v>
      </c>
    </row>
    <row r="15" spans="1:15" ht="18" customHeight="1" thickBot="1" x14ac:dyDescent="0.25">
      <c r="B15" s="1263" t="s">
        <v>625</v>
      </c>
      <c r="C15" s="1884">
        <f>'Table2(I).A-H'!H14</f>
        <v>1673.0232956440325</v>
      </c>
      <c r="D15" s="1885"/>
      <c r="E15" s="1885"/>
      <c r="F15" s="3003"/>
      <c r="G15" s="3003"/>
      <c r="H15" s="3003"/>
      <c r="I15" s="3003"/>
      <c r="J15" s="3003"/>
      <c r="K15" s="2622" t="s">
        <v>199</v>
      </c>
      <c r="L15" s="2622" t="s">
        <v>199</v>
      </c>
      <c r="M15" s="2622" t="s">
        <v>199</v>
      </c>
      <c r="N15" s="2623" t="s">
        <v>199</v>
      </c>
      <c r="O15" s="1887">
        <f t="shared" si="1"/>
        <v>1673.0232956440325</v>
      </c>
    </row>
    <row r="16" spans="1:15" ht="18" customHeight="1" x14ac:dyDescent="0.2">
      <c r="B16" s="1264" t="s">
        <v>626</v>
      </c>
      <c r="C16" s="2163">
        <f>IF(SUM(C17:C26)=0,"NO",SUM(C17:C26))</f>
        <v>4015.7436099825823</v>
      </c>
      <c r="D16" s="2163">
        <f t="shared" ref="D16:N16" si="3">IF(SUM(D17:D26)=0,"NO",SUM(D17:D26))</f>
        <v>0.57348379999999999</v>
      </c>
      <c r="E16" s="2163">
        <f t="shared" si="3"/>
        <v>9.1940933223425514</v>
      </c>
      <c r="F16" s="2164" t="str">
        <f t="shared" si="3"/>
        <v>NO</v>
      </c>
      <c r="G16" s="2164" t="str">
        <f t="shared" si="3"/>
        <v>NO</v>
      </c>
      <c r="H16" s="2164" t="str">
        <f t="shared" si="3"/>
        <v>NO</v>
      </c>
      <c r="I16" s="2164" t="str">
        <f t="shared" si="3"/>
        <v>NO</v>
      </c>
      <c r="J16" s="2164" t="str">
        <f t="shared" si="3"/>
        <v>NO</v>
      </c>
      <c r="K16" s="2930" t="str">
        <f t="shared" si="3"/>
        <v>NO</v>
      </c>
      <c r="L16" s="2163" t="str">
        <f t="shared" si="3"/>
        <v>NO</v>
      </c>
      <c r="M16" s="2163">
        <f t="shared" si="3"/>
        <v>2.8425606806999988</v>
      </c>
      <c r="N16" s="2928" t="str">
        <f t="shared" si="3"/>
        <v>NO</v>
      </c>
      <c r="O16" s="2950">
        <f t="shared" si="1"/>
        <v>6468.2358868033589</v>
      </c>
    </row>
    <row r="17" spans="2:15" ht="18" customHeight="1" x14ac:dyDescent="0.2">
      <c r="B17" s="1265" t="s">
        <v>627</v>
      </c>
      <c r="C17" s="2930">
        <f>'Table2(I).A-H'!H23</f>
        <v>2352.339680294981</v>
      </c>
      <c r="D17" s="2165" t="str">
        <f>'Table2(I).A-H'!I23</f>
        <v>NO</v>
      </c>
      <c r="E17" s="2165" t="str">
        <f>'Table2(I).A-H'!J23</f>
        <v>NO</v>
      </c>
      <c r="F17" s="2161"/>
      <c r="G17" s="2161"/>
      <c r="H17" s="2161"/>
      <c r="I17" s="2161"/>
      <c r="J17" s="2161"/>
      <c r="K17" s="700" t="s">
        <v>199</v>
      </c>
      <c r="L17" s="700" t="s">
        <v>199</v>
      </c>
      <c r="M17" s="700" t="s">
        <v>199</v>
      </c>
      <c r="N17" s="700" t="s">
        <v>199</v>
      </c>
      <c r="O17" s="2943">
        <f t="shared" si="1"/>
        <v>2352.339680294981</v>
      </c>
    </row>
    <row r="18" spans="2:15" ht="18" customHeight="1" x14ac:dyDescent="0.2">
      <c r="B18" s="1263" t="s">
        <v>628</v>
      </c>
      <c r="C18" s="1935"/>
      <c r="D18" s="2162"/>
      <c r="E18" s="2165">
        <f>'Table2(I).A-H'!J24</f>
        <v>9.1940933223425514</v>
      </c>
      <c r="F18" s="615"/>
      <c r="G18" s="615"/>
      <c r="H18" s="2161"/>
      <c r="I18" s="615"/>
      <c r="J18" s="2161"/>
      <c r="K18" s="700" t="s">
        <v>199</v>
      </c>
      <c r="L18" s="615"/>
      <c r="M18" s="615"/>
      <c r="N18" s="1842"/>
      <c r="O18" s="2943">
        <f t="shared" si="1"/>
        <v>2436.4347304207763</v>
      </c>
    </row>
    <row r="19" spans="2:15" ht="18" customHeight="1" x14ac:dyDescent="0.2">
      <c r="B19" s="1263" t="s">
        <v>629</v>
      </c>
      <c r="C19" s="2165" t="str">
        <f>'Table2(I).A-H'!H25</f>
        <v>NO</v>
      </c>
      <c r="D19" s="615"/>
      <c r="E19" s="2165" t="str">
        <f>'Table2(I).A-H'!J25</f>
        <v>NO</v>
      </c>
      <c r="F19" s="615"/>
      <c r="G19" s="615"/>
      <c r="H19" s="2161"/>
      <c r="I19" s="615"/>
      <c r="J19" s="2161"/>
      <c r="K19" s="700" t="s">
        <v>199</v>
      </c>
      <c r="L19" s="700" t="s">
        <v>199</v>
      </c>
      <c r="M19" s="700" t="s">
        <v>199</v>
      </c>
      <c r="N19" s="1842"/>
      <c r="O19" s="1887" t="str">
        <f t="shared" si="1"/>
        <v>NO</v>
      </c>
    </row>
    <row r="20" spans="2:15" ht="18" customHeight="1" x14ac:dyDescent="0.2">
      <c r="B20" s="1263" t="s">
        <v>630</v>
      </c>
      <c r="C20" s="2165" t="str">
        <f>'Table2(I).A-H'!H26</f>
        <v>NO</v>
      </c>
      <c r="D20" s="615"/>
      <c r="E20" s="2165" t="str">
        <f>'Table2(I).A-H'!J26</f>
        <v>NO</v>
      </c>
      <c r="F20" s="615"/>
      <c r="G20" s="615"/>
      <c r="H20" s="2161"/>
      <c r="I20" s="615"/>
      <c r="J20" s="2161"/>
      <c r="K20" s="1939"/>
      <c r="L20" s="1939"/>
      <c r="M20" s="700" t="s">
        <v>199</v>
      </c>
      <c r="N20" s="2167" t="s">
        <v>199</v>
      </c>
      <c r="O20" s="1887" t="str">
        <f t="shared" si="1"/>
        <v>NO</v>
      </c>
    </row>
    <row r="21" spans="2:15" ht="18" customHeight="1" x14ac:dyDescent="0.2">
      <c r="B21" s="1263" t="s">
        <v>631</v>
      </c>
      <c r="C21" s="1884" t="str">
        <f>'Table2(I).A-H'!H30</f>
        <v>IE</v>
      </c>
      <c r="D21" s="1884" t="str">
        <f>'Table2(I).A-H'!I30</f>
        <v>NO</v>
      </c>
      <c r="E21" s="615"/>
      <c r="F21" s="615"/>
      <c r="G21" s="615"/>
      <c r="H21" s="2161"/>
      <c r="I21" s="615"/>
      <c r="J21" s="2161"/>
      <c r="K21" s="700" t="s">
        <v>199</v>
      </c>
      <c r="L21" s="700" t="s">
        <v>199</v>
      </c>
      <c r="M21" s="700" t="s">
        <v>199</v>
      </c>
      <c r="N21" s="700" t="s">
        <v>199</v>
      </c>
      <c r="O21" s="1887" t="str">
        <f t="shared" si="1"/>
        <v>NO</v>
      </c>
    </row>
    <row r="22" spans="2:15" ht="18" customHeight="1" x14ac:dyDescent="0.2">
      <c r="B22" s="1263" t="s">
        <v>632</v>
      </c>
      <c r="C22" s="1884">
        <f>'Table2(I).A-H'!H33</f>
        <v>1486.7086671203401</v>
      </c>
      <c r="D22" s="1939"/>
      <c r="E22" s="615"/>
      <c r="F22" s="615"/>
      <c r="G22" s="615"/>
      <c r="H22" s="2161"/>
      <c r="I22" s="615"/>
      <c r="J22" s="2161"/>
      <c r="K22" s="1939"/>
      <c r="L22" s="1939"/>
      <c r="M22" s="1939"/>
      <c r="N22" s="2931"/>
      <c r="O22" s="1887">
        <f t="shared" si="1"/>
        <v>1486.7086671203401</v>
      </c>
    </row>
    <row r="23" spans="2:15" ht="18" customHeight="1" x14ac:dyDescent="0.2">
      <c r="B23" s="1263" t="s">
        <v>633</v>
      </c>
      <c r="C23" s="1884" t="str">
        <f>'Table2(I).A-H'!H34</f>
        <v>IE</v>
      </c>
      <c r="D23" s="1939"/>
      <c r="E23" s="615"/>
      <c r="F23" s="615"/>
      <c r="G23" s="615"/>
      <c r="H23" s="2161"/>
      <c r="I23" s="615"/>
      <c r="J23" s="2161"/>
      <c r="K23" s="1939"/>
      <c r="L23" s="1939"/>
      <c r="M23" s="1939"/>
      <c r="N23" s="2931"/>
      <c r="O23" s="1887" t="str">
        <f t="shared" si="1"/>
        <v>NO</v>
      </c>
    </row>
    <row r="24" spans="2:15" ht="18" customHeight="1" x14ac:dyDescent="0.2">
      <c r="B24" s="1263" t="s">
        <v>634</v>
      </c>
      <c r="C24" s="1884">
        <f>'Table2(I).A-H'!H35</f>
        <v>46.86107299999999</v>
      </c>
      <c r="D24" s="1884">
        <f>'Table2(I).A-H'!I35</f>
        <v>0.57348379999999999</v>
      </c>
      <c r="E24" s="615"/>
      <c r="F24" s="615"/>
      <c r="G24" s="615"/>
      <c r="H24" s="2161"/>
      <c r="I24" s="615"/>
      <c r="J24" s="2161"/>
      <c r="K24" s="700" t="s">
        <v>199</v>
      </c>
      <c r="L24" s="700" t="s">
        <v>199</v>
      </c>
      <c r="M24" s="699">
        <v>2.8425606806999988</v>
      </c>
      <c r="N24" s="700" t="s">
        <v>199</v>
      </c>
      <c r="O24" s="1887">
        <f t="shared" si="1"/>
        <v>62.91861939999999</v>
      </c>
    </row>
    <row r="25" spans="2:15" ht="18" customHeight="1" x14ac:dyDescent="0.2">
      <c r="B25" s="1263" t="s">
        <v>635</v>
      </c>
      <c r="C25" s="1939"/>
      <c r="D25" s="1939"/>
      <c r="E25" s="615"/>
      <c r="F25" s="2166" t="str">
        <f>'Table2(II)'!W40</f>
        <v>NO</v>
      </c>
      <c r="G25" s="2166" t="str">
        <f>'Table2(II)'!AH40</f>
        <v>NO</v>
      </c>
      <c r="H25" s="2165" t="str">
        <f>'Table2(II)'!AI40</f>
        <v>NO</v>
      </c>
      <c r="I25" s="2166" t="str">
        <f>'Table2(II)'!AJ40</f>
        <v>NO</v>
      </c>
      <c r="J25" s="2165" t="str">
        <f>'Table2(II)'!AK40</f>
        <v>NO</v>
      </c>
      <c r="K25" s="1939"/>
      <c r="L25" s="1939"/>
      <c r="M25" s="1939"/>
      <c r="N25" s="2931"/>
      <c r="O25" s="1887" t="str">
        <f t="shared" si="1"/>
        <v>NO</v>
      </c>
    </row>
    <row r="26" spans="2:15" ht="18" customHeight="1" thickBot="1" x14ac:dyDescent="0.25">
      <c r="B26" s="1263" t="s">
        <v>636</v>
      </c>
      <c r="C26" s="1884">
        <f>'Table2(I).A-H'!H47</f>
        <v>129.83418956726103</v>
      </c>
      <c r="D26" s="1884" t="str">
        <f>'Table2(I).A-H'!I47</f>
        <v>IE,NO</v>
      </c>
      <c r="E26" s="1884" t="str">
        <f>'Table2(I).A-H'!J47</f>
        <v>NO</v>
      </c>
      <c r="F26" s="1888" t="s">
        <v>199</v>
      </c>
      <c r="G26" s="1888" t="s">
        <v>199</v>
      </c>
      <c r="H26" s="1888" t="s">
        <v>199</v>
      </c>
      <c r="I26" s="1888" t="s">
        <v>199</v>
      </c>
      <c r="J26" s="1888" t="s">
        <v>199</v>
      </c>
      <c r="K26" s="2622" t="s">
        <v>199</v>
      </c>
      <c r="L26" s="2622" t="s">
        <v>199</v>
      </c>
      <c r="M26" s="2622" t="s">
        <v>199</v>
      </c>
      <c r="N26" s="2623" t="s">
        <v>199</v>
      </c>
      <c r="O26" s="1887">
        <f t="shared" si="1"/>
        <v>129.83418956726103</v>
      </c>
    </row>
    <row r="27" spans="2:15" ht="18" customHeight="1" x14ac:dyDescent="0.2">
      <c r="B27" s="1262" t="s">
        <v>637</v>
      </c>
      <c r="C27" s="2163">
        <f>IF(SUM(C28:C34)=0,"NO",SUM(C28:C34))</f>
        <v>13315.672838033806</v>
      </c>
      <c r="D27" s="2163">
        <f t="shared" ref="D27:N27" si="4">IF(SUM(D28:D34)=0,"NO",SUM(D28:D34))</f>
        <v>2.9986571116313097</v>
      </c>
      <c r="E27" s="2163">
        <f t="shared" si="4"/>
        <v>7.9104081829594969E-2</v>
      </c>
      <c r="F27" s="2164" t="str">
        <f t="shared" si="4"/>
        <v>NO</v>
      </c>
      <c r="G27" s="2164">
        <f t="shared" si="4"/>
        <v>524.05752254650565</v>
      </c>
      <c r="H27" s="2164" t="str">
        <f t="shared" si="4"/>
        <v>NO</v>
      </c>
      <c r="I27" s="2164" t="str">
        <f t="shared" si="4"/>
        <v>NO</v>
      </c>
      <c r="J27" s="2164" t="str">
        <f t="shared" si="4"/>
        <v>NO</v>
      </c>
      <c r="K27" s="2163">
        <f t="shared" si="4"/>
        <v>40.261420616691055</v>
      </c>
      <c r="L27" s="2163">
        <f t="shared" si="4"/>
        <v>10.825383446352516</v>
      </c>
      <c r="M27" s="2927">
        <f t="shared" si="4"/>
        <v>9.8379954112451859E-2</v>
      </c>
      <c r="N27" s="2928">
        <f t="shared" si="4"/>
        <v>1681.4265179879865</v>
      </c>
      <c r="O27" s="2950">
        <f t="shared" si="1"/>
        <v>13944.65534139083</v>
      </c>
    </row>
    <row r="28" spans="2:15" ht="18" customHeight="1" x14ac:dyDescent="0.2">
      <c r="B28" s="1263" t="s">
        <v>638</v>
      </c>
      <c r="C28" s="2930" t="str">
        <f>'Table2(I).A-H'!H53</f>
        <v>IE</v>
      </c>
      <c r="D28" s="2930" t="str">
        <f>'Table2(I).A-H'!I53</f>
        <v>IE</v>
      </c>
      <c r="E28" s="2930" t="str">
        <f>'Table2(I).A-H'!J53</f>
        <v>IE</v>
      </c>
      <c r="F28" s="2161"/>
      <c r="G28" s="2161"/>
      <c r="H28" s="2161"/>
      <c r="I28" s="2161"/>
      <c r="J28" s="2161"/>
      <c r="K28" s="700" t="s">
        <v>274</v>
      </c>
      <c r="L28" s="700" t="s">
        <v>274</v>
      </c>
      <c r="M28" s="700" t="s">
        <v>274</v>
      </c>
      <c r="N28" s="2929" t="s">
        <v>274</v>
      </c>
      <c r="O28" s="2943" t="str">
        <f t="shared" si="1"/>
        <v>NO</v>
      </c>
    </row>
    <row r="29" spans="2:15" ht="18" customHeight="1" x14ac:dyDescent="0.2">
      <c r="B29" s="1263" t="s">
        <v>639</v>
      </c>
      <c r="C29" s="1884" t="str">
        <f>'Table2(I).A-H'!H62</f>
        <v>IE</v>
      </c>
      <c r="D29" s="1884" t="str">
        <f>'Table2(I).A-H'!I62</f>
        <v>IE</v>
      </c>
      <c r="E29" s="1884" t="str">
        <f>'Table2(I).A-H'!J62</f>
        <v>IE</v>
      </c>
      <c r="F29" s="615"/>
      <c r="G29" s="615"/>
      <c r="H29" s="2161"/>
      <c r="I29" s="615"/>
      <c r="J29" s="2161"/>
      <c r="K29" s="699" t="s">
        <v>205</v>
      </c>
      <c r="L29" s="699" t="s">
        <v>205</v>
      </c>
      <c r="M29" s="699" t="s">
        <v>205</v>
      </c>
      <c r="N29" s="2921" t="s">
        <v>205</v>
      </c>
      <c r="O29" s="1887" t="str">
        <f t="shared" si="1"/>
        <v>NO</v>
      </c>
    </row>
    <row r="30" spans="2:15" ht="18" customHeight="1" x14ac:dyDescent="0.2">
      <c r="B30" s="1263" t="s">
        <v>640</v>
      </c>
      <c r="C30" s="1884">
        <f>'Table2(I).A-H'!H63</f>
        <v>3199.8977866645109</v>
      </c>
      <c r="D30" s="1885"/>
      <c r="E30" s="615"/>
      <c r="F30" s="615"/>
      <c r="G30" s="2166">
        <f>SUM('Table2(II)'!X41:Y41)</f>
        <v>524.05752254650565</v>
      </c>
      <c r="H30" s="2162"/>
      <c r="I30" s="2168" t="s">
        <v>199</v>
      </c>
      <c r="J30" s="2161"/>
      <c r="K30" s="699" t="s">
        <v>205</v>
      </c>
      <c r="L30" s="699" t="s">
        <v>205</v>
      </c>
      <c r="M30" s="699" t="s">
        <v>205</v>
      </c>
      <c r="N30" s="2921">
        <v>49.905159999999995</v>
      </c>
      <c r="O30" s="1887">
        <f t="shared" si="1"/>
        <v>3723.9553092110164</v>
      </c>
    </row>
    <row r="31" spans="2:15" ht="18" customHeight="1" x14ac:dyDescent="0.2">
      <c r="B31" s="1266" t="s">
        <v>641</v>
      </c>
      <c r="C31" s="1884" t="str">
        <f>'Table2(I).A-H'!H64</f>
        <v>NO</v>
      </c>
      <c r="D31" s="2169"/>
      <c r="E31" s="2135"/>
      <c r="F31" s="2165" t="s">
        <v>199</v>
      </c>
      <c r="G31" s="2165" t="s">
        <v>199</v>
      </c>
      <c r="H31" s="2165" t="s">
        <v>199</v>
      </c>
      <c r="I31" s="3004" t="str">
        <f>IFERROR('Table2(II).B-Hs1'!G28/1000,'Table2(II).B-Hs1'!G28)</f>
        <v>NO</v>
      </c>
      <c r="J31" s="2161"/>
      <c r="K31" s="699" t="s">
        <v>205</v>
      </c>
      <c r="L31" s="699" t="s">
        <v>205</v>
      </c>
      <c r="M31" s="699" t="s">
        <v>205</v>
      </c>
      <c r="N31" s="2921" t="s">
        <v>205</v>
      </c>
      <c r="O31" s="2171" t="str">
        <f t="shared" si="1"/>
        <v>NO</v>
      </c>
    </row>
    <row r="32" spans="2:15" ht="18" customHeight="1" x14ac:dyDescent="0.2">
      <c r="B32" s="1267" t="s">
        <v>642</v>
      </c>
      <c r="C32" s="1884" t="str">
        <f>'Table2(I).A-H'!H65</f>
        <v>IE</v>
      </c>
      <c r="D32" s="2169"/>
      <c r="E32" s="2135"/>
      <c r="F32" s="2161"/>
      <c r="G32" s="2161"/>
      <c r="H32" s="2161"/>
      <c r="I32" s="3005"/>
      <c r="J32" s="2161"/>
      <c r="K32" s="700" t="s">
        <v>274</v>
      </c>
      <c r="L32" s="700" t="s">
        <v>274</v>
      </c>
      <c r="M32" s="700" t="s">
        <v>274</v>
      </c>
      <c r="N32" s="2929" t="s">
        <v>274</v>
      </c>
      <c r="O32" s="2171" t="str">
        <f t="shared" si="1"/>
        <v>NO</v>
      </c>
    </row>
    <row r="33" spans="2:15" ht="18" customHeight="1" x14ac:dyDescent="0.2">
      <c r="B33" s="1267" t="s">
        <v>643</v>
      </c>
      <c r="C33" s="1884" t="str">
        <f>'Table2(I).A-H'!H66</f>
        <v>NO</v>
      </c>
      <c r="D33" s="2169"/>
      <c r="E33" s="2135"/>
      <c r="F33" s="2161"/>
      <c r="G33" s="2161"/>
      <c r="H33" s="2161"/>
      <c r="I33" s="3005"/>
      <c r="J33" s="2161"/>
      <c r="K33" s="699" t="s">
        <v>205</v>
      </c>
      <c r="L33" s="699" t="s">
        <v>205</v>
      </c>
      <c r="M33" s="699" t="s">
        <v>205</v>
      </c>
      <c r="N33" s="2170" t="s">
        <v>274</v>
      </c>
      <c r="O33" s="2171" t="str">
        <f t="shared" si="1"/>
        <v>NO</v>
      </c>
    </row>
    <row r="34" spans="2:15" ht="18" customHeight="1" thickBot="1" x14ac:dyDescent="0.25">
      <c r="B34" s="1268" t="s">
        <v>644</v>
      </c>
      <c r="C34" s="1888">
        <f>'Table2(I).A-H'!H67</f>
        <v>10115.775051369295</v>
      </c>
      <c r="D34" s="1888">
        <f>'Table2(I).A-H'!I67</f>
        <v>2.9986571116313097</v>
      </c>
      <c r="E34" s="1888">
        <f>'Table2(I).A-H'!J67</f>
        <v>7.9104081829594969E-2</v>
      </c>
      <c r="F34" s="2172" t="s">
        <v>199</v>
      </c>
      <c r="G34" s="2172" t="s">
        <v>199</v>
      </c>
      <c r="H34" s="2172" t="s">
        <v>199</v>
      </c>
      <c r="I34" s="2172" t="s">
        <v>199</v>
      </c>
      <c r="J34" s="2172" t="s">
        <v>199</v>
      </c>
      <c r="K34" s="2622">
        <v>40.261420616691055</v>
      </c>
      <c r="L34" s="2622">
        <v>10.825383446352516</v>
      </c>
      <c r="M34" s="2622">
        <v>9.8379954112451859E-2</v>
      </c>
      <c r="N34" s="2623">
        <v>1631.5213579879864</v>
      </c>
      <c r="O34" s="1890">
        <f t="shared" si="1"/>
        <v>10220.700032179813</v>
      </c>
    </row>
    <row r="35" spans="2:15" ht="18" customHeight="1" x14ac:dyDescent="0.2">
      <c r="B35" s="2489" t="s">
        <v>645</v>
      </c>
      <c r="C35" s="2930">
        <f>IF(SUM(C36:C38)=0,"NO",SUM(C36:C38))</f>
        <v>225.87504949999993</v>
      </c>
      <c r="D35" s="2165" t="str">
        <f t="shared" ref="D35:E35" si="5">IF(SUM(D36:D38)=0,"NO",SUM(D36:D38))</f>
        <v>NO</v>
      </c>
      <c r="E35" s="2165" t="str">
        <f t="shared" si="5"/>
        <v>NO</v>
      </c>
      <c r="F35" s="2161"/>
      <c r="G35" s="2161"/>
      <c r="H35" s="2161"/>
      <c r="I35" s="2161"/>
      <c r="J35" s="2161"/>
      <c r="K35" s="2165" t="str">
        <f>IF(SUM(K36:K38)=0,"NO",SUM(K36:K38))</f>
        <v>NO</v>
      </c>
      <c r="L35" s="2165" t="str">
        <f t="shared" ref="L35" si="6">IF(SUM(L36:L38)=0,"NO",SUM(L36:L38))</f>
        <v>NO</v>
      </c>
      <c r="M35" s="2930">
        <f>IF(SUM(M36:M38)=0,"NO",SUM(M36:M38))</f>
        <v>179.3367171519466</v>
      </c>
      <c r="N35" s="2077" t="str">
        <f t="shared" ref="N35" si="7">IF(SUM(N36:N38)=0,"NO",SUM(N36:N38))</f>
        <v>NO</v>
      </c>
      <c r="O35" s="2943">
        <f t="shared" si="1"/>
        <v>225.87504949999993</v>
      </c>
    </row>
    <row r="36" spans="2:15" ht="18" customHeight="1" x14ac:dyDescent="0.2">
      <c r="B36" s="1269" t="s">
        <v>646</v>
      </c>
      <c r="C36" s="1884">
        <f>'Table2(I).A-H'!H73</f>
        <v>225.87504949999993</v>
      </c>
      <c r="D36" s="2166" t="str">
        <f>'Table2(I).A-H'!I73</f>
        <v>NO</v>
      </c>
      <c r="E36" s="2166" t="str">
        <f>'Table2(I).A-H'!J73</f>
        <v>NO</v>
      </c>
      <c r="F36" s="615"/>
      <c r="G36" s="615"/>
      <c r="H36" s="2161"/>
      <c r="I36" s="615"/>
      <c r="J36" s="2161"/>
      <c r="K36" s="2173" t="s">
        <v>205</v>
      </c>
      <c r="L36" s="2173" t="s">
        <v>205</v>
      </c>
      <c r="M36" s="699" t="s">
        <v>205</v>
      </c>
      <c r="N36" s="2167" t="s">
        <v>205</v>
      </c>
      <c r="O36" s="1887">
        <f t="shared" si="1"/>
        <v>225.87504949999993</v>
      </c>
    </row>
    <row r="37" spans="2:15" ht="18" customHeight="1" x14ac:dyDescent="0.2">
      <c r="B37" s="1269" t="s">
        <v>647</v>
      </c>
      <c r="C37" s="1884" t="str">
        <f>'Table2(I).A-H'!H74</f>
        <v>NE</v>
      </c>
      <c r="D37" s="2166" t="str">
        <f>'Table2(I).A-H'!I74</f>
        <v>NA</v>
      </c>
      <c r="E37" s="2166" t="str">
        <f>'Table2(I).A-H'!J74</f>
        <v>NA</v>
      </c>
      <c r="F37" s="615"/>
      <c r="G37" s="615"/>
      <c r="H37" s="2161"/>
      <c r="I37" s="615"/>
      <c r="J37" s="2161"/>
      <c r="K37" s="2173" t="s">
        <v>199</v>
      </c>
      <c r="L37" s="2173" t="s">
        <v>199</v>
      </c>
      <c r="M37" s="699" t="s">
        <v>199</v>
      </c>
      <c r="N37" s="2167" t="s">
        <v>199</v>
      </c>
      <c r="O37" s="1887" t="str">
        <f t="shared" si="1"/>
        <v>NO</v>
      </c>
    </row>
    <row r="38" spans="2:15" ht="18" customHeight="1" thickBot="1" x14ac:dyDescent="0.25">
      <c r="B38" s="1270" t="s">
        <v>648</v>
      </c>
      <c r="C38" s="2177" t="str">
        <f>'Table2(I).A-H'!H75</f>
        <v>NO</v>
      </c>
      <c r="D38" s="2177" t="str">
        <f>'Table2(I).A-H'!I75</f>
        <v>NO</v>
      </c>
      <c r="E38" s="2177" t="str">
        <f>'Table2(I).A-H'!J75</f>
        <v>NO</v>
      </c>
      <c r="F38" s="3006"/>
      <c r="G38" s="3006"/>
      <c r="H38" s="3006"/>
      <c r="I38" s="3006"/>
      <c r="J38" s="1948"/>
      <c r="K38" s="2622" t="s">
        <v>199</v>
      </c>
      <c r="L38" s="2622" t="s">
        <v>199</v>
      </c>
      <c r="M38" s="2622">
        <v>179.3367171519466</v>
      </c>
      <c r="N38" s="2623" t="s">
        <v>199</v>
      </c>
      <c r="O38" s="4258" t="str">
        <f t="shared" si="1"/>
        <v>NO</v>
      </c>
    </row>
    <row r="39" spans="2:15" ht="18" customHeight="1" x14ac:dyDescent="0.2">
      <c r="B39" s="2490" t="s">
        <v>649</v>
      </c>
      <c r="C39" s="2161"/>
      <c r="D39" s="2161"/>
      <c r="E39" s="2165" t="str">
        <f>IF(SUM(E40:E44)=0,"NO",SUM(E40:E44))</f>
        <v>NO</v>
      </c>
      <c r="F39" s="2165" t="str">
        <f t="shared" ref="F39:J39" si="8">IF(SUM(F40:F44)=0,"NO",SUM(F40:F44))</f>
        <v>NO</v>
      </c>
      <c r="G39" s="2165" t="str">
        <f t="shared" si="8"/>
        <v>NO</v>
      </c>
      <c r="H39" s="2165" t="str">
        <f t="shared" si="8"/>
        <v>NO</v>
      </c>
      <c r="I39" s="2165" t="str">
        <f t="shared" si="8"/>
        <v>NO</v>
      </c>
      <c r="J39" s="2165" t="str">
        <f t="shared" si="8"/>
        <v>NO</v>
      </c>
      <c r="K39" s="2161"/>
      <c r="L39" s="2161"/>
      <c r="M39" s="2161"/>
      <c r="N39" s="2174"/>
      <c r="O39" s="2175" t="str">
        <f t="shared" si="1"/>
        <v>NO</v>
      </c>
    </row>
    <row r="40" spans="2:15" ht="18" customHeight="1" x14ac:dyDescent="0.2">
      <c r="B40" s="1269" t="s">
        <v>650</v>
      </c>
      <c r="C40" s="615"/>
      <c r="D40" s="615"/>
      <c r="E40" s="2166" t="str">
        <f>'Table2(I).A-H'!J84</f>
        <v>NO</v>
      </c>
      <c r="F40" s="2166" t="s">
        <v>199</v>
      </c>
      <c r="G40" s="2166" t="s">
        <v>199</v>
      </c>
      <c r="H40" s="2165" t="s">
        <v>199</v>
      </c>
      <c r="I40" s="2166" t="s">
        <v>199</v>
      </c>
      <c r="J40" s="2165" t="s">
        <v>199</v>
      </c>
      <c r="K40" s="615"/>
      <c r="L40" s="615"/>
      <c r="M40" s="615"/>
      <c r="N40" s="1842"/>
      <c r="O40" s="2176" t="str">
        <f t="shared" si="1"/>
        <v>NO</v>
      </c>
    </row>
    <row r="41" spans="2:15" ht="18" customHeight="1" x14ac:dyDescent="0.2">
      <c r="B41" s="1269" t="s">
        <v>651</v>
      </c>
      <c r="C41" s="615"/>
      <c r="D41" s="615"/>
      <c r="E41" s="2166" t="str">
        <f>'Table2(I).A-H'!J85</f>
        <v>NO</v>
      </c>
      <c r="F41" s="2166" t="s">
        <v>199</v>
      </c>
      <c r="G41" s="2166" t="s">
        <v>199</v>
      </c>
      <c r="H41" s="2165" t="s">
        <v>199</v>
      </c>
      <c r="I41" s="2166" t="s">
        <v>199</v>
      </c>
      <c r="J41" s="2165" t="s">
        <v>199</v>
      </c>
      <c r="K41" s="615"/>
      <c r="L41" s="615"/>
      <c r="M41" s="615"/>
      <c r="N41" s="1842"/>
      <c r="O41" s="2176" t="str">
        <f t="shared" si="1"/>
        <v>NO</v>
      </c>
    </row>
    <row r="42" spans="2:15" ht="18" customHeight="1" x14ac:dyDescent="0.2">
      <c r="B42" s="1269" t="s">
        <v>652</v>
      </c>
      <c r="C42" s="615"/>
      <c r="D42" s="615"/>
      <c r="E42" s="615"/>
      <c r="F42" s="2166" t="s">
        <v>199</v>
      </c>
      <c r="G42" s="2166" t="s">
        <v>199</v>
      </c>
      <c r="H42" s="2165" t="s">
        <v>199</v>
      </c>
      <c r="I42" s="2166" t="s">
        <v>199</v>
      </c>
      <c r="J42" s="2165" t="s">
        <v>199</v>
      </c>
      <c r="K42" s="615"/>
      <c r="L42" s="615"/>
      <c r="M42" s="615"/>
      <c r="N42" s="1842"/>
      <c r="O42" s="2176" t="str">
        <f t="shared" si="1"/>
        <v>NO</v>
      </c>
    </row>
    <row r="43" spans="2:15" ht="18" customHeight="1" x14ac:dyDescent="0.2">
      <c r="B43" s="1269" t="s">
        <v>653</v>
      </c>
      <c r="C43" s="615"/>
      <c r="D43" s="615"/>
      <c r="E43" s="615"/>
      <c r="F43" s="2166" t="s">
        <v>199</v>
      </c>
      <c r="G43" s="2166" t="s">
        <v>199</v>
      </c>
      <c r="H43" s="2165" t="s">
        <v>199</v>
      </c>
      <c r="I43" s="2166" t="s">
        <v>199</v>
      </c>
      <c r="J43" s="2165" t="s">
        <v>199</v>
      </c>
      <c r="K43" s="615"/>
      <c r="L43" s="615"/>
      <c r="M43" s="615"/>
      <c r="N43" s="1842"/>
      <c r="O43" s="2176" t="str">
        <f t="shared" si="1"/>
        <v>NO</v>
      </c>
    </row>
    <row r="44" spans="2:15" ht="18" customHeight="1" thickBot="1" x14ac:dyDescent="0.25">
      <c r="B44" s="1269" t="s">
        <v>654</v>
      </c>
      <c r="C44" s="615"/>
      <c r="D44" s="615"/>
      <c r="E44" s="2166" t="str">
        <f>'Table2(I).A-H'!J86</f>
        <v>NO</v>
      </c>
      <c r="F44" s="2166" t="s">
        <v>199</v>
      </c>
      <c r="G44" s="2166" t="s">
        <v>199</v>
      </c>
      <c r="H44" s="2177" t="s">
        <v>199</v>
      </c>
      <c r="I44" s="2177" t="s">
        <v>199</v>
      </c>
      <c r="J44" s="2177" t="s">
        <v>199</v>
      </c>
      <c r="K44" s="615"/>
      <c r="L44" s="615"/>
      <c r="M44" s="615"/>
      <c r="N44" s="1842"/>
      <c r="O44" s="2176" t="str">
        <f t="shared" si="1"/>
        <v>NO</v>
      </c>
    </row>
    <row r="45" spans="2:15" ht="18" customHeight="1" x14ac:dyDescent="0.2">
      <c r="B45" s="2491" t="s">
        <v>655</v>
      </c>
      <c r="C45" s="1955"/>
      <c r="D45" s="1955"/>
      <c r="E45" s="1955"/>
      <c r="F45" s="2163">
        <f>IF(SUM(F46:F51)=0,"NO",SUM(F46:F51))</f>
        <v>4706.3765189513433</v>
      </c>
      <c r="G45" s="2163" t="str">
        <f t="shared" ref="G45:J45" si="9">IF(SUM(G46:G51)=0,"NO",SUM(G46:G51))</f>
        <v>NO</v>
      </c>
      <c r="H45" s="2930" t="str">
        <f t="shared" si="9"/>
        <v>NO</v>
      </c>
      <c r="I45" s="2930" t="str">
        <f t="shared" si="9"/>
        <v>NO</v>
      </c>
      <c r="J45" s="2165" t="str">
        <f t="shared" si="9"/>
        <v>NO</v>
      </c>
      <c r="K45" s="1955"/>
      <c r="L45" s="1955"/>
      <c r="M45" s="1955"/>
      <c r="N45" s="2178"/>
      <c r="O45" s="2950">
        <f t="shared" si="1"/>
        <v>4706.3765189513433</v>
      </c>
    </row>
    <row r="46" spans="2:15" ht="18" customHeight="1" x14ac:dyDescent="0.2">
      <c r="B46" s="1269" t="s">
        <v>656</v>
      </c>
      <c r="C46" s="615"/>
      <c r="D46" s="615"/>
      <c r="E46" s="615"/>
      <c r="F46" s="1884">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4406.7819921653399</v>
      </c>
      <c r="G46" s="1884" t="s">
        <v>199</v>
      </c>
      <c r="H46" s="1884" t="s">
        <v>199</v>
      </c>
      <c r="I46" s="1884" t="s">
        <v>199</v>
      </c>
      <c r="J46" s="2165" t="str">
        <f t="shared" ref="J46" si="10">IF(SUM(J47:J52)=0,"NO",SUM(J47:J52))</f>
        <v>NO</v>
      </c>
      <c r="K46" s="615"/>
      <c r="L46" s="615"/>
      <c r="M46" s="615"/>
      <c r="N46" s="1842"/>
      <c r="O46" s="1887">
        <f t="shared" si="1"/>
        <v>4406.7819921653399</v>
      </c>
    </row>
    <row r="47" spans="2:15" ht="18" customHeight="1" x14ac:dyDescent="0.2">
      <c r="B47" s="1269" t="s">
        <v>657</v>
      </c>
      <c r="C47" s="615"/>
      <c r="D47" s="615"/>
      <c r="E47" s="615"/>
      <c r="F47" s="1884">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56.735045023681835</v>
      </c>
      <c r="G47" s="1884" t="s">
        <v>199</v>
      </c>
      <c r="H47" s="1884" t="s">
        <v>199</v>
      </c>
      <c r="I47" s="1884" t="s">
        <v>199</v>
      </c>
      <c r="J47" s="2165" t="str">
        <f t="shared" ref="J47" si="11">IF(SUM(J48:J53)=0,"NO",SUM(J48:J53))</f>
        <v>NO</v>
      </c>
      <c r="K47" s="615"/>
      <c r="L47" s="615"/>
      <c r="M47" s="615"/>
      <c r="N47" s="1842"/>
      <c r="O47" s="1887">
        <f t="shared" si="1"/>
        <v>56.735045023681835</v>
      </c>
    </row>
    <row r="48" spans="2:15" ht="18" customHeight="1" x14ac:dyDescent="0.2">
      <c r="B48" s="1269" t="s">
        <v>658</v>
      </c>
      <c r="C48" s="615"/>
      <c r="D48" s="615"/>
      <c r="E48" s="615"/>
      <c r="F48" s="1884">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29.579953809806781</v>
      </c>
      <c r="G48" s="1884" t="s">
        <v>199</v>
      </c>
      <c r="H48" s="1884" t="s">
        <v>199</v>
      </c>
      <c r="I48" s="1884" t="s">
        <v>199</v>
      </c>
      <c r="J48" s="2165" t="str">
        <f t="shared" ref="J48" si="12">IF(SUM(J49:J54)=0,"NO",SUM(J49:J54))</f>
        <v>NO</v>
      </c>
      <c r="K48" s="615"/>
      <c r="L48" s="615"/>
      <c r="M48" s="615"/>
      <c r="N48" s="1842"/>
      <c r="O48" s="1887">
        <f t="shared" si="1"/>
        <v>29.579953809806781</v>
      </c>
    </row>
    <row r="49" spans="2:15" ht="18" customHeight="1" x14ac:dyDescent="0.2">
      <c r="B49" s="1269" t="s">
        <v>659</v>
      </c>
      <c r="C49" s="615"/>
      <c r="D49" s="615"/>
      <c r="E49" s="615"/>
      <c r="F49" s="1884">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138.57963104965546</v>
      </c>
      <c r="G49" s="1884" t="s">
        <v>199</v>
      </c>
      <c r="H49" s="1884" t="s">
        <v>199</v>
      </c>
      <c r="I49" s="1884" t="s">
        <v>199</v>
      </c>
      <c r="J49" s="2165" t="str">
        <f t="shared" ref="J49" si="13">IF(SUM(J50:J55)=0,"NO",SUM(J50:J55))</f>
        <v>NO</v>
      </c>
      <c r="K49" s="615"/>
      <c r="L49" s="615"/>
      <c r="M49" s="615"/>
      <c r="N49" s="1842"/>
      <c r="O49" s="1887">
        <f t="shared" si="1"/>
        <v>138.57963104965546</v>
      </c>
    </row>
    <row r="50" spans="2:15" ht="18" customHeight="1" x14ac:dyDescent="0.2">
      <c r="B50" s="1269" t="s">
        <v>660</v>
      </c>
      <c r="C50" s="615"/>
      <c r="D50" s="615"/>
      <c r="E50" s="615"/>
      <c r="F50" s="1884">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74.69989690285945</v>
      </c>
      <c r="G50" s="1884" t="s">
        <v>199</v>
      </c>
      <c r="H50" s="1884" t="s">
        <v>199</v>
      </c>
      <c r="I50" s="1884" t="s">
        <v>199</v>
      </c>
      <c r="J50" s="2165" t="str">
        <f t="shared" ref="J50" si="14">IF(SUM(J51:J56)=0,"NO",SUM(J51:J56))</f>
        <v>NO</v>
      </c>
      <c r="K50" s="615"/>
      <c r="L50" s="615"/>
      <c r="M50" s="615"/>
      <c r="N50" s="1842"/>
      <c r="O50" s="1887">
        <f t="shared" si="1"/>
        <v>74.69989690285945</v>
      </c>
    </row>
    <row r="51" spans="2:15" ht="18" customHeight="1" thickBot="1" x14ac:dyDescent="0.25">
      <c r="B51" s="1269" t="s">
        <v>661</v>
      </c>
      <c r="C51" s="1948"/>
      <c r="D51" s="1948"/>
      <c r="E51" s="1948"/>
      <c r="F51" s="1888" t="s">
        <v>199</v>
      </c>
      <c r="G51" s="1888" t="s">
        <v>199</v>
      </c>
      <c r="H51" s="1888" t="s">
        <v>199</v>
      </c>
      <c r="I51" s="1888" t="s">
        <v>199</v>
      </c>
      <c r="J51" s="2177" t="str">
        <f t="shared" ref="J51" si="15">IF(SUM(J52:J57)=0,"NO",SUM(J52:J57))</f>
        <v>NO</v>
      </c>
      <c r="K51" s="1948"/>
      <c r="L51" s="1948"/>
      <c r="M51" s="1948"/>
      <c r="N51" s="2179"/>
      <c r="O51" s="1890" t="str">
        <f t="shared" si="1"/>
        <v>NO</v>
      </c>
    </row>
    <row r="52" spans="2:15" ht="18" customHeight="1" x14ac:dyDescent="0.2">
      <c r="B52" s="2490" t="s">
        <v>662</v>
      </c>
      <c r="C52" s="2165" t="str">
        <f>IF(SUM(C53:C56)=0,"NO",SUM(C53:C56))</f>
        <v>NO</v>
      </c>
      <c r="D52" s="2165" t="str">
        <f t="shared" ref="D52:N52" si="16">IF(SUM(D53:D56)=0,"NO",SUM(D53:D56))</f>
        <v>NO</v>
      </c>
      <c r="E52" s="2165" t="str">
        <f>IF(SUM(E53:E56)=0,"IE",SUM(E53:E56))</f>
        <v>IE</v>
      </c>
      <c r="F52" s="2930" t="str">
        <f t="shared" si="16"/>
        <v>NO</v>
      </c>
      <c r="G52" s="2930" t="str">
        <f t="shared" si="16"/>
        <v>NO</v>
      </c>
      <c r="H52" s="2930" t="str">
        <f t="shared" si="16"/>
        <v>NO</v>
      </c>
      <c r="I52" s="2930">
        <f t="shared" si="16"/>
        <v>7.6810372273039083E-3</v>
      </c>
      <c r="J52" s="2165" t="str">
        <f t="shared" si="16"/>
        <v>NO</v>
      </c>
      <c r="K52" s="2165" t="str">
        <f t="shared" si="16"/>
        <v>NO</v>
      </c>
      <c r="L52" s="2165" t="str">
        <f t="shared" si="16"/>
        <v>NO</v>
      </c>
      <c r="M52" s="2165" t="str">
        <f t="shared" si="16"/>
        <v>NO</v>
      </c>
      <c r="N52" s="2077" t="str">
        <f t="shared" si="16"/>
        <v>NO</v>
      </c>
      <c r="O52" s="2943">
        <f t="shared" si="1"/>
        <v>180.50437484164183</v>
      </c>
    </row>
    <row r="53" spans="2:15" ht="18" customHeight="1" x14ac:dyDescent="0.2">
      <c r="B53" s="1269" t="s">
        <v>663</v>
      </c>
      <c r="C53" s="2161"/>
      <c r="D53" s="2161"/>
      <c r="E53" s="2161"/>
      <c r="F53" s="2930" t="s">
        <v>199</v>
      </c>
      <c r="G53" s="2930" t="s">
        <v>199</v>
      </c>
      <c r="H53" s="2930" t="s">
        <v>199</v>
      </c>
      <c r="I53" s="2930">
        <f>SUM('Table2(II).B-Hs2'!J163:M163)/1000</f>
        <v>6.9577842374737688E-3</v>
      </c>
      <c r="J53" s="2930" t="s">
        <v>199</v>
      </c>
      <c r="K53" s="2161"/>
      <c r="L53" s="2161"/>
      <c r="M53" s="2161"/>
      <c r="N53" s="2174"/>
      <c r="O53" s="2943">
        <f t="shared" si="1"/>
        <v>163.50792958063357</v>
      </c>
    </row>
    <row r="54" spans="2:15" ht="18" customHeight="1" x14ac:dyDescent="0.2">
      <c r="B54" s="1269" t="s">
        <v>664</v>
      </c>
      <c r="C54" s="2161"/>
      <c r="D54" s="2161"/>
      <c r="E54" s="2161"/>
      <c r="F54" s="2161"/>
      <c r="G54" s="2930" t="s">
        <v>199</v>
      </c>
      <c r="H54" s="3007"/>
      <c r="I54" s="2930">
        <f>SUM('Table2(II).B-Hs2'!J165:M165)/1000</f>
        <v>7.2325298983013915E-4</v>
      </c>
      <c r="J54" s="2161"/>
      <c r="K54" s="2161"/>
      <c r="L54" s="2161"/>
      <c r="M54" s="2161"/>
      <c r="N54" s="2174"/>
      <c r="O54" s="2943">
        <f t="shared" si="1"/>
        <v>16.996445261008269</v>
      </c>
    </row>
    <row r="55" spans="2:15" ht="18" customHeight="1" x14ac:dyDescent="0.2">
      <c r="B55" s="1269" t="s">
        <v>665</v>
      </c>
      <c r="C55" s="2161"/>
      <c r="D55" s="2161"/>
      <c r="E55" s="2165" t="str">
        <f>'Table2(I).A-H'!J89</f>
        <v>IE</v>
      </c>
      <c r="F55" s="3007"/>
      <c r="G55" s="3007"/>
      <c r="H55" s="3007"/>
      <c r="I55" s="3007"/>
      <c r="J55" s="2161"/>
      <c r="K55" s="2161"/>
      <c r="L55" s="2161"/>
      <c r="M55" s="2161"/>
      <c r="N55" s="2174"/>
      <c r="O55" s="2943" t="str">
        <f t="shared" si="1"/>
        <v>NO</v>
      </c>
    </row>
    <row r="56" spans="2:15" ht="18" customHeight="1" thickBot="1" x14ac:dyDescent="0.25">
      <c r="B56" s="2516" t="s">
        <v>666</v>
      </c>
      <c r="C56" s="2514" t="str">
        <f>'Table2(I).A-H'!H96</f>
        <v>NO</v>
      </c>
      <c r="D56" s="2514" t="str">
        <f>'Table2(I).A-H'!I96</f>
        <v>NO</v>
      </c>
      <c r="E56" s="2514" t="str">
        <f>'Table2(I).A-H'!J96</f>
        <v>NO</v>
      </c>
      <c r="F56" s="3008" t="s">
        <v>199</v>
      </c>
      <c r="G56" s="3008" t="s">
        <v>199</v>
      </c>
      <c r="H56" s="3008" t="s">
        <v>199</v>
      </c>
      <c r="I56" s="3008" t="s">
        <v>199</v>
      </c>
      <c r="J56" s="3008" t="s">
        <v>199</v>
      </c>
      <c r="K56" s="2622" t="s">
        <v>199</v>
      </c>
      <c r="L56" s="2622" t="s">
        <v>199</v>
      </c>
      <c r="M56" s="2622" t="s">
        <v>199</v>
      </c>
      <c r="N56" s="2623" t="s">
        <v>199</v>
      </c>
      <c r="O56" s="3009" t="str">
        <f t="shared" si="1"/>
        <v>NO</v>
      </c>
    </row>
    <row r="57" spans="2:15" ht="18" customHeight="1" x14ac:dyDescent="0.2">
      <c r="B57" s="2490" t="s">
        <v>667</v>
      </c>
      <c r="C57" s="2518">
        <f t="shared" ref="C57:M57" si="17">C58</f>
        <v>148.28584415160208</v>
      </c>
      <c r="D57" s="2518" t="str">
        <f t="shared" si="17"/>
        <v>NO</v>
      </c>
      <c r="E57" s="2518" t="str">
        <f t="shared" si="17"/>
        <v>NO</v>
      </c>
      <c r="F57" s="2163" t="str">
        <f t="shared" si="17"/>
        <v>NO</v>
      </c>
      <c r="G57" s="2163" t="str">
        <f t="shared" si="17"/>
        <v>NO</v>
      </c>
      <c r="H57" s="2163" t="str">
        <f t="shared" si="17"/>
        <v>NO</v>
      </c>
      <c r="I57" s="2163" t="str">
        <f t="shared" si="17"/>
        <v>NO</v>
      </c>
      <c r="J57" s="2518" t="str">
        <f t="shared" si="17"/>
        <v>NO</v>
      </c>
      <c r="K57" s="2518" t="str">
        <f t="shared" si="17"/>
        <v>NA</v>
      </c>
      <c r="L57" s="2518" t="str">
        <f t="shared" si="17"/>
        <v>NA</v>
      </c>
      <c r="M57" s="2518">
        <f t="shared" si="17"/>
        <v>54.492279483190543</v>
      </c>
      <c r="N57" s="2100" t="str">
        <f>N58</f>
        <v>NA</v>
      </c>
      <c r="O57" s="2950">
        <f t="shared" si="1"/>
        <v>148.28584415160208</v>
      </c>
    </row>
    <row r="58" spans="2:15" ht="18" customHeight="1" thickBot="1" x14ac:dyDescent="0.25">
      <c r="B58" s="2613" t="s">
        <v>668</v>
      </c>
      <c r="C58" s="2517">
        <f>'Table2(I).A-H'!H98</f>
        <v>148.28584415160208</v>
      </c>
      <c r="D58" s="2517" t="str">
        <f>'Table2(I).A-H'!I98</f>
        <v>NO</v>
      </c>
      <c r="E58" s="2517" t="str">
        <f>'Table2(I).A-H'!J98</f>
        <v>NO</v>
      </c>
      <c r="F58" s="2517" t="s">
        <v>199</v>
      </c>
      <c r="G58" s="2517" t="s">
        <v>199</v>
      </c>
      <c r="H58" s="2517" t="s">
        <v>199</v>
      </c>
      <c r="I58" s="2517" t="s">
        <v>199</v>
      </c>
      <c r="J58" s="2517" t="s">
        <v>199</v>
      </c>
      <c r="K58" s="2922" t="s">
        <v>205</v>
      </c>
      <c r="L58" s="2922" t="s">
        <v>205</v>
      </c>
      <c r="M58" s="2922">
        <v>54.492279483190543</v>
      </c>
      <c r="N58" s="2932" t="s">
        <v>205</v>
      </c>
      <c r="O58" s="2935">
        <f t="shared" si="1"/>
        <v>148.28584415160208</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94"/>
      <c r="C75" s="4495"/>
      <c r="D75" s="4495"/>
      <c r="E75" s="4495"/>
      <c r="F75" s="4495"/>
      <c r="G75" s="4495"/>
      <c r="H75" s="4495"/>
      <c r="I75" s="4495"/>
      <c r="J75" s="4495"/>
      <c r="K75" s="4495"/>
      <c r="L75" s="4495"/>
      <c r="M75" s="4495"/>
      <c r="N75" s="4495"/>
      <c r="O75" s="4496"/>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topLeftCell="B1" workbookViewId="0">
      <selection activeCell="C10" sqref="C10:K10"/>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21" width="4.85546875" customWidth="1"/>
    <col min="22" max="23" width="9.85546875" customWidth="1"/>
    <col min="24" max="24" width="5.5703125" customWidth="1"/>
    <col min="25"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2460</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2461</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70"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57" t="s">
        <v>706</v>
      </c>
      <c r="AH9" s="2069"/>
      <c r="AI9" s="2068"/>
      <c r="AJ9" s="2071" t="s">
        <v>705</v>
      </c>
      <c r="AK9" s="2072" t="s">
        <v>705</v>
      </c>
    </row>
    <row r="10" spans="2:37" ht="18" customHeight="1" thickTop="1" x14ac:dyDescent="0.2">
      <c r="B10" s="1287" t="s">
        <v>707</v>
      </c>
      <c r="C10" s="4442">
        <f>IF(SUM(C11,C16,C20,C26,C33,C37)=0,"NO",SUM(C11,C16,C20,C26,C33,C37))</f>
        <v>34.189370431194348</v>
      </c>
      <c r="D10" s="4431">
        <f t="shared" ref="D10:X10" si="0">IF(SUM(D11,D16,D20,D26,D33,D37)=0,"NO",SUM(D11,D16,D20,D26,D33,D37))</f>
        <v>76.284824442597127</v>
      </c>
      <c r="E10" s="4431" t="str">
        <f t="shared" si="0"/>
        <v>NO</v>
      </c>
      <c r="F10" s="4431" t="str">
        <f t="shared" si="0"/>
        <v>NO</v>
      </c>
      <c r="G10" s="4431">
        <f t="shared" si="0"/>
        <v>332.07576851241464</v>
      </c>
      <c r="H10" s="4431">
        <f t="shared" si="0"/>
        <v>0.61764210347167259</v>
      </c>
      <c r="I10" s="4431">
        <f t="shared" si="0"/>
        <v>1190.3031466534774</v>
      </c>
      <c r="J10" s="4431" t="str">
        <f t="shared" si="0"/>
        <v>NO</v>
      </c>
      <c r="K10" s="4431">
        <f t="shared" si="0"/>
        <v>314.52785777598012</v>
      </c>
      <c r="L10" s="2073" t="str">
        <f t="shared" si="0"/>
        <v>NO</v>
      </c>
      <c r="M10" s="2073">
        <f t="shared" si="0"/>
        <v>33.442603601607097</v>
      </c>
      <c r="N10" s="2073" t="str">
        <f t="shared" si="0"/>
        <v>NO</v>
      </c>
      <c r="O10" s="4431">
        <f t="shared" si="0"/>
        <v>12.83002313594567</v>
      </c>
      <c r="P10" s="2073" t="str">
        <f t="shared" si="0"/>
        <v>NO</v>
      </c>
      <c r="Q10" s="2073" t="str">
        <f t="shared" si="0"/>
        <v>NO</v>
      </c>
      <c r="R10" s="2073">
        <f t="shared" si="0"/>
        <v>4.0949698603370273</v>
      </c>
      <c r="S10" s="2073" t="str">
        <f t="shared" si="0"/>
        <v>NO</v>
      </c>
      <c r="T10" s="2073">
        <f t="shared" si="0"/>
        <v>25.231074026632633</v>
      </c>
      <c r="U10" s="2073">
        <f t="shared" si="0"/>
        <v>22.430809391567031</v>
      </c>
      <c r="V10" s="2074" t="str">
        <f t="shared" si="0"/>
        <v>NO</v>
      </c>
      <c r="W10" s="2075"/>
      <c r="X10" s="2073">
        <f t="shared" si="0"/>
        <v>64.926435996681988</v>
      </c>
      <c r="Y10" s="4431">
        <f t="shared" ref="Y10" si="1">IF(SUM(Y11,Y16,Y20,Y26,Y33,Y37)=0,"NO",SUM(Y11,Y16,Y20,Y26,Y33,Y37))</f>
        <v>8.4320046746399981</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431">
        <f t="shared" si="9"/>
        <v>7.681037227303908</v>
      </c>
      <c r="AK10" s="2077" t="str">
        <f t="shared" si="9"/>
        <v>NO</v>
      </c>
    </row>
    <row r="11" spans="2:37" ht="18" customHeight="1" x14ac:dyDescent="0.2">
      <c r="B11" s="1287" t="s">
        <v>708</v>
      </c>
      <c r="C11" s="2078" t="str">
        <f>IF(SUM(C12,C15)=0,"NO",SUM(C12,C15))</f>
        <v>NO</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2079" t="str">
        <f t="shared" si="10"/>
        <v>NO</v>
      </c>
      <c r="S11" s="2079" t="str">
        <f t="shared" si="10"/>
        <v>NO</v>
      </c>
      <c r="T11" s="2079" t="str">
        <f t="shared" si="10"/>
        <v>NO</v>
      </c>
      <c r="U11" s="2079" t="str">
        <f t="shared" si="10"/>
        <v>NO</v>
      </c>
      <c r="V11" s="2079" t="str">
        <f t="shared" si="10"/>
        <v>NO</v>
      </c>
      <c r="W11" s="1854"/>
      <c r="X11" s="2079" t="str">
        <f t="shared" si="10"/>
        <v>NO</v>
      </c>
      <c r="Y11" s="4432"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t="str">
        <f>IF(SUM(C13:C14)=0,"NO",SUM(C13:C14))</f>
        <v>NO</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2079" t="str">
        <f t="shared" si="22"/>
        <v>NO</v>
      </c>
      <c r="S12" s="2079" t="str">
        <f t="shared" si="22"/>
        <v>NO</v>
      </c>
      <c r="T12" s="2079" t="str">
        <f t="shared" si="22"/>
        <v>NO</v>
      </c>
      <c r="U12" s="2079" t="str">
        <f t="shared" si="22"/>
        <v>NO</v>
      </c>
      <c r="V12" s="2079" t="str">
        <f t="shared" si="22"/>
        <v>NO</v>
      </c>
      <c r="W12" s="1854"/>
      <c r="X12" s="2079" t="str">
        <f t="shared" si="22"/>
        <v>NO</v>
      </c>
      <c r="Y12" s="4432"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t="str">
        <f>'Table2(II).B-Hs1'!G13</f>
        <v>NO</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2079" t="s">
        <v>199</v>
      </c>
      <c r="S13" s="2079" t="s">
        <v>199</v>
      </c>
      <c r="T13" s="2079" t="s">
        <v>199</v>
      </c>
      <c r="U13" s="2079" t="s">
        <v>199</v>
      </c>
      <c r="V13" s="2079" t="s">
        <v>199</v>
      </c>
      <c r="W13" s="1854"/>
      <c r="X13" s="2079" t="s">
        <v>199</v>
      </c>
      <c r="Y13" s="4432"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2079" t="s">
        <v>199</v>
      </c>
      <c r="S14" s="2079" t="s">
        <v>199</v>
      </c>
      <c r="T14" s="2079" t="s">
        <v>199</v>
      </c>
      <c r="U14" s="2079" t="s">
        <v>199</v>
      </c>
      <c r="V14" s="2079" t="s">
        <v>199</v>
      </c>
      <c r="W14" s="1854"/>
      <c r="X14" s="2079" t="s">
        <v>199</v>
      </c>
      <c r="Y14" s="4432"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2079" t="s">
        <v>199</v>
      </c>
      <c r="S15" s="2079" t="s">
        <v>199</v>
      </c>
      <c r="T15" s="2079" t="s">
        <v>199</v>
      </c>
      <c r="U15" s="2079" t="s">
        <v>199</v>
      </c>
      <c r="V15" s="2079" t="s">
        <v>199</v>
      </c>
      <c r="W15" s="1854"/>
      <c r="X15" s="2079" t="s">
        <v>199</v>
      </c>
      <c r="Y15" s="4432"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2079" t="str">
        <f t="shared" si="34"/>
        <v>NO</v>
      </c>
      <c r="S16" s="2079" t="str">
        <f t="shared" si="34"/>
        <v>NO</v>
      </c>
      <c r="T16" s="2079" t="str">
        <f t="shared" si="34"/>
        <v>NO</v>
      </c>
      <c r="U16" s="2079" t="str">
        <f t="shared" si="34"/>
        <v>NO</v>
      </c>
      <c r="V16" s="2079" t="str">
        <f t="shared" si="34"/>
        <v>NO</v>
      </c>
      <c r="W16" s="2082"/>
      <c r="X16" s="2079">
        <f t="shared" si="34"/>
        <v>64.926435996681988</v>
      </c>
      <c r="Y16" s="4432">
        <f t="shared" ref="Y16" si="35">IF(SUM(Y17:Y19)=0,"NO",SUM(Y17:Y19))</f>
        <v>8.4320046746399981</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t="str">
        <f t="shared" ref="AJ16" si="44">IF(SUM(AJ17:AJ19)=0,"NO",SUM(AJ17:AJ19))</f>
        <v>NO</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2086">
        <f>'Table2(II).B-Hs1'!G25</f>
        <v>64.926435996681988</v>
      </c>
      <c r="Y17" s="4432">
        <f>'Table2(II).B-Hs1'!G26</f>
        <v>8.4320046746399981</v>
      </c>
      <c r="Z17" s="2079" t="s">
        <v>199</v>
      </c>
      <c r="AA17" s="2079" t="s">
        <v>199</v>
      </c>
      <c r="AB17" s="2079" t="s">
        <v>199</v>
      </c>
      <c r="AC17" s="2079" t="s">
        <v>199</v>
      </c>
      <c r="AD17" s="2079" t="s">
        <v>199</v>
      </c>
      <c r="AE17" s="2079" t="s">
        <v>199</v>
      </c>
      <c r="AF17" s="2079" t="s">
        <v>199</v>
      </c>
      <c r="AG17" s="2079" t="s">
        <v>199</v>
      </c>
      <c r="AH17" s="229"/>
      <c r="AI17" s="2079" t="s">
        <v>199</v>
      </c>
      <c r="AJ17" s="2087" t="str">
        <f>'Table2(II).B-Hs1'!G27</f>
        <v>NO</v>
      </c>
      <c r="AK17" s="2088"/>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2079"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4017" t="str">
        <f>'Table2(II).B-Hs1'!G28</f>
        <v>NO</v>
      </c>
      <c r="AK18" s="2088"/>
    </row>
    <row r="19" spans="2:37" ht="18" customHeight="1" thickBot="1" x14ac:dyDescent="0.25">
      <c r="B19" s="1268" t="s">
        <v>716</v>
      </c>
      <c r="C19" s="2089" t="s">
        <v>199</v>
      </c>
      <c r="D19" s="2090" t="s">
        <v>199</v>
      </c>
      <c r="E19" s="2090" t="s">
        <v>199</v>
      </c>
      <c r="F19" s="2090" t="s">
        <v>199</v>
      </c>
      <c r="G19" s="2090" t="s">
        <v>199</v>
      </c>
      <c r="H19" s="2090" t="s">
        <v>199</v>
      </c>
      <c r="I19" s="2090" t="s">
        <v>199</v>
      </c>
      <c r="J19" s="2090" t="s">
        <v>199</v>
      </c>
      <c r="K19" s="2090" t="s">
        <v>199</v>
      </c>
      <c r="L19" s="2090" t="s">
        <v>199</v>
      </c>
      <c r="M19" s="2090" t="s">
        <v>199</v>
      </c>
      <c r="N19" s="2090" t="s">
        <v>199</v>
      </c>
      <c r="O19" s="2090" t="s">
        <v>199</v>
      </c>
      <c r="P19" s="2090" t="s">
        <v>199</v>
      </c>
      <c r="Q19" s="2090" t="s">
        <v>199</v>
      </c>
      <c r="R19" s="2090" t="s">
        <v>199</v>
      </c>
      <c r="S19" s="2090" t="s">
        <v>199</v>
      </c>
      <c r="T19" s="2090" t="s">
        <v>199</v>
      </c>
      <c r="U19" s="2090" t="s">
        <v>199</v>
      </c>
      <c r="V19" s="2090" t="s">
        <v>199</v>
      </c>
      <c r="W19" s="1856"/>
      <c r="X19" s="2091" t="s">
        <v>199</v>
      </c>
      <c r="Y19" s="2090" t="s">
        <v>199</v>
      </c>
      <c r="Z19" s="2090" t="s">
        <v>199</v>
      </c>
      <c r="AA19" s="2090" t="s">
        <v>199</v>
      </c>
      <c r="AB19" s="2090" t="s">
        <v>199</v>
      </c>
      <c r="AC19" s="2090" t="s">
        <v>199</v>
      </c>
      <c r="AD19" s="2090" t="s">
        <v>199</v>
      </c>
      <c r="AE19" s="2090" t="s">
        <v>199</v>
      </c>
      <c r="AF19" s="2090" t="s">
        <v>199</v>
      </c>
      <c r="AG19" s="2090" t="s">
        <v>199</v>
      </c>
      <c r="AH19" s="1856"/>
      <c r="AI19" s="2092" t="s">
        <v>199</v>
      </c>
      <c r="AJ19" s="2093" t="s">
        <v>199</v>
      </c>
      <c r="AK19" s="2094"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2079" t="str">
        <f t="shared" si="46"/>
        <v>NO</v>
      </c>
      <c r="S20" s="2079" t="str">
        <f t="shared" si="46"/>
        <v>NO</v>
      </c>
      <c r="T20" s="2079" t="str">
        <f t="shared" si="46"/>
        <v>NO</v>
      </c>
      <c r="U20" s="2079" t="str">
        <f t="shared" si="46"/>
        <v>NO</v>
      </c>
      <c r="V20" s="2079" t="str">
        <f t="shared" si="46"/>
        <v>NO</v>
      </c>
      <c r="W20" s="2095"/>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5"/>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2079"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2079"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2079"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2079"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5" t="s">
        <v>199</v>
      </c>
      <c r="D25" s="2646" t="s">
        <v>199</v>
      </c>
      <c r="E25" s="2646" t="s">
        <v>199</v>
      </c>
      <c r="F25" s="2646" t="s">
        <v>199</v>
      </c>
      <c r="G25" s="2646" t="s">
        <v>199</v>
      </c>
      <c r="H25" s="2646" t="s">
        <v>199</v>
      </c>
      <c r="I25" s="2646" t="s">
        <v>199</v>
      </c>
      <c r="J25" s="2646" t="s">
        <v>199</v>
      </c>
      <c r="K25" s="2646" t="s">
        <v>199</v>
      </c>
      <c r="L25" s="2646" t="s">
        <v>199</v>
      </c>
      <c r="M25" s="2646" t="s">
        <v>199</v>
      </c>
      <c r="N25" s="2646" t="s">
        <v>199</v>
      </c>
      <c r="O25" s="2646" t="s">
        <v>199</v>
      </c>
      <c r="P25" s="2646" t="s">
        <v>199</v>
      </c>
      <c r="Q25" s="2646" t="s">
        <v>199</v>
      </c>
      <c r="R25" s="2646" t="s">
        <v>199</v>
      </c>
      <c r="S25" s="2646" t="s">
        <v>199</v>
      </c>
      <c r="T25" s="2646" t="s">
        <v>199</v>
      </c>
      <c r="U25" s="2646" t="s">
        <v>199</v>
      </c>
      <c r="V25" s="2646" t="s">
        <v>199</v>
      </c>
      <c r="W25" s="2647"/>
      <c r="X25" s="2646" t="s">
        <v>199</v>
      </c>
      <c r="Y25" s="2646" t="s">
        <v>199</v>
      </c>
      <c r="Z25" s="2646" t="s">
        <v>199</v>
      </c>
      <c r="AA25" s="2646" t="s">
        <v>199</v>
      </c>
      <c r="AB25" s="2646" t="s">
        <v>199</v>
      </c>
      <c r="AC25" s="2646" t="s">
        <v>199</v>
      </c>
      <c r="AD25" s="2646" t="s">
        <v>199</v>
      </c>
      <c r="AE25" s="2646" t="s">
        <v>199</v>
      </c>
      <c r="AF25" s="2646" t="s">
        <v>199</v>
      </c>
      <c r="AG25" s="2646" t="s">
        <v>199</v>
      </c>
      <c r="AH25" s="2648"/>
      <c r="AI25" s="2646" t="s">
        <v>199</v>
      </c>
      <c r="AJ25" s="2646" t="s">
        <v>199</v>
      </c>
      <c r="AK25" s="2515" t="s">
        <v>199</v>
      </c>
    </row>
    <row r="26" spans="2:37" ht="18" customHeight="1" x14ac:dyDescent="0.2">
      <c r="B26" s="2442" t="s">
        <v>723</v>
      </c>
      <c r="C26" s="4441">
        <f>IF(SUM(C27:C32)=0,"NO",SUM(C27:C32))</f>
        <v>34.189370431194348</v>
      </c>
      <c r="D26" s="4430">
        <f t="shared" ref="D26:AK26" si="58">IF(SUM(D27:D32)=0,"NO",SUM(D27:D32))</f>
        <v>76.284824442597127</v>
      </c>
      <c r="E26" s="2097" t="str">
        <f t="shared" si="58"/>
        <v>NO</v>
      </c>
      <c r="F26" s="2097" t="str">
        <f t="shared" si="58"/>
        <v>NO</v>
      </c>
      <c r="G26" s="4430">
        <f t="shared" si="58"/>
        <v>332.07576851241464</v>
      </c>
      <c r="H26" s="4430">
        <f t="shared" si="58"/>
        <v>0.61764210347167259</v>
      </c>
      <c r="I26" s="4430">
        <f t="shared" si="58"/>
        <v>1190.3031466534774</v>
      </c>
      <c r="J26" s="4430" t="str">
        <f t="shared" si="58"/>
        <v>NO</v>
      </c>
      <c r="K26" s="4430">
        <f t="shared" si="58"/>
        <v>314.52785777598012</v>
      </c>
      <c r="L26" s="2097" t="str">
        <f t="shared" si="58"/>
        <v>NO</v>
      </c>
      <c r="M26" s="2097">
        <f t="shared" si="58"/>
        <v>33.442603601607097</v>
      </c>
      <c r="N26" s="2097" t="str">
        <f t="shared" si="58"/>
        <v>NO</v>
      </c>
      <c r="O26" s="4430">
        <f t="shared" si="58"/>
        <v>12.83002313594567</v>
      </c>
      <c r="P26" s="2097" t="str">
        <f t="shared" si="58"/>
        <v>NO</v>
      </c>
      <c r="Q26" s="2097" t="str">
        <f t="shared" si="58"/>
        <v>NO</v>
      </c>
      <c r="R26" s="2097">
        <f t="shared" si="58"/>
        <v>4.0949698603370273</v>
      </c>
      <c r="S26" s="2097" t="str">
        <f t="shared" si="58"/>
        <v>NO</v>
      </c>
      <c r="T26" s="2097">
        <f t="shared" si="58"/>
        <v>25.231074026632633</v>
      </c>
      <c r="U26" s="2097">
        <f t="shared" si="58"/>
        <v>22.430809391567031</v>
      </c>
      <c r="V26" s="2097" t="str">
        <f t="shared" si="58"/>
        <v>NO</v>
      </c>
      <c r="W26" s="2649"/>
      <c r="X26" s="2098" t="str">
        <f t="shared" si="58"/>
        <v>NO</v>
      </c>
      <c r="Y26" s="2097" t="str">
        <f t="shared" si="58"/>
        <v>NO</v>
      </c>
      <c r="Z26" s="2097" t="str">
        <f t="shared" si="58"/>
        <v>NO</v>
      </c>
      <c r="AA26" s="2097" t="str">
        <f t="shared" si="58"/>
        <v>NO</v>
      </c>
      <c r="AB26" s="2097" t="str">
        <f t="shared" si="58"/>
        <v>NO</v>
      </c>
      <c r="AC26" s="2097" t="str">
        <f t="shared" si="58"/>
        <v>NO</v>
      </c>
      <c r="AD26" s="2097" t="str">
        <f t="shared" si="58"/>
        <v>NO</v>
      </c>
      <c r="AE26" s="2097" t="str">
        <f t="shared" si="58"/>
        <v>NO</v>
      </c>
      <c r="AF26" s="2097" t="str">
        <f t="shared" si="58"/>
        <v>NO</v>
      </c>
      <c r="AG26" s="2097" t="str">
        <f t="shared" si="58"/>
        <v>NO</v>
      </c>
      <c r="AH26" s="2649"/>
      <c r="AI26" s="2644" t="str">
        <f t="shared" si="58"/>
        <v>NO</v>
      </c>
      <c r="AJ26" s="2099" t="str">
        <f t="shared" si="58"/>
        <v>NO</v>
      </c>
      <c r="AK26" s="2100" t="str">
        <f t="shared" si="58"/>
        <v>NO</v>
      </c>
    </row>
    <row r="27" spans="2:37" ht="18" customHeight="1" x14ac:dyDescent="0.2">
      <c r="B27" s="1263" t="s">
        <v>724</v>
      </c>
      <c r="C27" s="4442">
        <f>IF(SUM('Table2(II).B-Hs2'!J13:M13,'Table2(II).B-Hs2'!J26:M26,'Table2(II).B-Hs2'!J39:M39,'Table2(II).B-Hs2'!J52:M52,'Table2(II).B-Hs2'!J65:M65,'Table2(II).B-Hs2'!J78:M78)=0,"NO",SUM('Table2(II).B-Hs2'!J13:M13,'Table2(II).B-Hs2'!J26:M26,'Table2(II).B-Hs2'!J39:M39,'Table2(II).B-Hs2'!J52:M52,'Table2(II).B-Hs2'!J65:M65,'Table2(II).B-Hs2'!J78:M78))</f>
        <v>32.012972471065282</v>
      </c>
      <c r="D27" s="4431">
        <f>IF(SUM('Table2(II).B-Hs2'!J14:M14,'Table2(II).B-Hs2'!J27:M27,'Table2(II).B-Hs2'!J40:M40,'Table2(II).B-Hs2'!J53:M53,'Table2(II).B-Hs2'!J66:M66,'Table2(II).B-Hs2'!J79:M79)=0,"NO",SUM('Table2(II).B-Hs2'!J14:M14,'Table2(II).B-Hs2'!J27:M27,'Table2(II).B-Hs2'!J40:M40,'Table2(II).B-Hs2'!J53:M53,'Table2(II).B-Hs2'!J66:M66,'Table2(II).B-Hs2'!J79:M79))</f>
        <v>71.428749755881327</v>
      </c>
      <c r="E27" s="2073" t="s">
        <v>199</v>
      </c>
      <c r="F27" s="2073" t="str">
        <f>IF(SUM('Table2(II).B-Hs2'!J15:M15,'Table2(II).B-Hs2'!J28:M28,'Table2(II).B-Hs2'!J41:M41,'Table2(II).B-Hs2'!J54:M54,'Table2(II).B-Hs2'!J67:M67,'Table2(II).B-Hs2'!J80:M80)=0,"NO",SUM('Table2(II).B-Hs2'!J15:M15,'Table2(II).B-Hs2'!J28:M28,'Table2(II).B-Hs2'!J41:M41,'Table2(II).B-Hs2'!J54:M54,'Table2(II).B-Hs2'!J67:M67,'Table2(II).B-Hs2'!J80:M80))</f>
        <v>NO</v>
      </c>
      <c r="G27" s="4431">
        <f>IF(SUM('Table2(II).B-Hs2'!J16:M16,'Table2(II).B-Hs2'!J29:M29,'Table2(II).B-Hs2'!J42:M42,'Table2(II).B-Hs2'!J55:M55,'Table2(II).B-Hs2'!J68:M68,'Table2(II).B-Hs2'!J81:M81)=0,"NO",SUM('Table2(II).B-Hs2'!J16:M16,'Table2(II).B-Hs2'!J29:M29,'Table2(II).B-Hs2'!J42:M42,'Table2(II).B-Hs2'!J55:M55,'Table2(II).B-Hs2'!J68:M68,'Table2(II).B-Hs2'!J81:M81))</f>
        <v>310.93677074545678</v>
      </c>
      <c r="H27" s="4431">
        <f>IF(SUM('Table2(II).B-Hs2'!J17:M17,'Table2(II).B-Hs2'!J30:M30,'Table2(II).B-Hs2'!J43:M43,'Table2(II).B-Hs2'!J56:M56,'Table2(II).B-Hs2'!J69:M69,'Table2(II).B-Hs2'!J82:M82)=0,"NO",SUM('Table2(II).B-Hs2'!J17:M17,'Table2(II).B-Hs2'!J30:M30,'Table2(II).B-Hs2'!J43:M43,'Table2(II).B-Hs2'!J56:M56,'Table2(II).B-Hs2'!J69:M69,'Table2(II).B-Hs2'!J82:M82))</f>
        <v>0.57832476603222405</v>
      </c>
      <c r="I27" s="4431">
        <f>IF(SUM('Table2(II).B-Hs2'!J18:M18,'Table2(II).B-Hs2'!J31:M31,'Table2(II).B-Hs2'!J44:M44,'Table2(II).B-Hs2'!J57:M57,'Table2(II).B-Hs2'!J70:M70,'Table2(II).B-Hs2'!J83:M83)=0,"NO",SUM('Table2(II).B-Hs2'!J18:M18,'Table2(II).B-Hs2'!J31:M31,'Table2(II).B-Hs2'!J44:M44,'Table2(II).B-Hs2'!J57:M57,'Table2(II).B-Hs2'!J70:M70,'Table2(II).B-Hs2'!J83:M83))</f>
        <v>1114.5318379794749</v>
      </c>
      <c r="J27" s="4431" t="s">
        <v>199</v>
      </c>
      <c r="K27" s="4431">
        <f>IF(SUM('Table2(II).B-Hs2'!J19:M19,'Table2(II).B-Hs2'!J32:M32,'Table2(II).B-Hs2'!J45:M45,'Table2(II).B-Hs2'!J58:M58,'Table2(II).B-Hs2'!J71:M71,'Table2(II).B-Hs2'!J84:M84)=0,"NO",SUM('Table2(II).B-Hs2'!J19:M19,'Table2(II).B-Hs2'!J32:M32,'Table2(II).B-Hs2'!J45:M45,'Table2(II).B-Hs2'!J58:M58,'Table2(II).B-Hs2'!J71:M71,'Table2(II).B-Hs2'!J84:M84))</f>
        <v>294.50591003508703</v>
      </c>
      <c r="L27" s="2073" t="s">
        <v>199</v>
      </c>
      <c r="M27" s="2073">
        <f>IF(SUM('Table2(II).B-Hs2'!J20:M20,'Table2(II).B-Hs2'!J33:M33,'Table2(II).B-Hs2'!J46:M46,'Table2(II).B-Hs2'!J59:M59,'Table2(II).B-Hs2'!J72:M72,'Table2(II).B-Hs2'!J85:M85)=0,"NO",SUM('Table2(II).B-Hs2'!J20:M20,'Table2(II).B-Hs2'!J33:M33,'Table2(II).B-Hs2'!J46:M46,'Table2(II).B-Hs2'!J59:M59,'Table2(II).B-Hs2'!J72:M72,'Table2(II).B-Hs2'!J85:M85))</f>
        <v>31.313742691271806</v>
      </c>
      <c r="N27" s="2073" t="s">
        <v>199</v>
      </c>
      <c r="O27" s="4431">
        <f>IF(SUM('Table2(II).B-Hs2'!J21:M21,'Table2(II).B-Hs2'!J34:M34,'Table2(II).B-Hs2'!J47:M47,'Table2(II).B-Hs2'!J60:M60,'Table2(II).B-Hs2'!J73:M73,'Table2(II).B-Hs2'!J86:M86)=0,"NO",SUM('Table2(II).B-Hs2'!J21:M21,'Table2(II).B-Hs2'!J34:M34,'Table2(II).B-Hs2'!J47:M47,'Table2(II).B-Hs2'!J60:M60,'Table2(II).B-Hs2'!J73:M73,'Table2(II).B-Hs2'!J86:M86))</f>
        <v>12.013300399337339</v>
      </c>
      <c r="P27" s="2073" t="s">
        <v>199</v>
      </c>
      <c r="Q27" s="2073" t="s">
        <v>199</v>
      </c>
      <c r="R27" s="2073">
        <f>IF(SUM('Table2(II).B-Hs2'!J22:M22,'Table2(II).B-Hs2'!J35:M35,'Table2(II).B-Hs2'!J48:M48,'Table2(II).B-Hs2'!J61:M61,'Table2(II).B-Hs2'!J74:M74,'Table2(II).B-Hs2'!J87:M87)=0,"NO",SUM('Table2(II).B-Hs2'!J22:M22,'Table2(II).B-Hs2'!J35:M35,'Table2(II).B-Hs2'!J48:M48,'Table2(II).B-Hs2'!J61:M61,'Table2(II).B-Hs2'!J74:M74,'Table2(II).B-Hs2'!J87:M87))</f>
        <v>3.8342957403276117</v>
      </c>
      <c r="S27" s="2073" t="s">
        <v>199</v>
      </c>
      <c r="T27" s="2073">
        <f>IF(SUM('Table2(II).B-Hs2'!J23:M23,'Table2(II).B-Hs2'!J36:M36,'Table2(II).B-Hs2'!J49:M49,'Table2(II).B-Hs2'!J62:M62,'Table2(II).B-Hs2'!J75:M75,'Table2(II).B-Hs2'!J88:M88)=0,"NO",SUM('Table2(II).B-Hs2'!J23:M23,'Table2(II).B-Hs2'!J36:M36,'Table2(II).B-Hs2'!J49:M49,'Table2(II).B-Hs2'!J62:M62,'Table2(II).B-Hs2'!J75:M75,'Table2(II).B-Hs2'!J88:M88))</f>
        <v>23.624935704959228</v>
      </c>
      <c r="U27" s="2073">
        <f>IF(SUM('Table2(II).B-Hs2'!J24:M24,'Table2(II).B-Hs2'!J37:M37,'Table2(II).B-Hs2'!J50:M50,'Table2(II).B-Hs2'!J63:M63,'Table2(II).B-Hs2'!J76:M76,'Table2(II).B-Hs2'!J89:M89)=0,"NO",SUM('Table2(II).B-Hs2'!J24:M24,'Table2(II).B-Hs2'!J37:M37,'Table2(II).B-Hs2'!J50:M50,'Table2(II).B-Hs2'!J63:M63,'Table2(II).B-Hs2'!J76:M76,'Table2(II).B-Hs2'!J89:M89))</f>
        <v>21.002927942211393</v>
      </c>
      <c r="V27" s="2073" t="s">
        <v>199</v>
      </c>
      <c r="W27" s="2101"/>
      <c r="X27" s="2073" t="s">
        <v>199</v>
      </c>
      <c r="Y27" s="2073" t="s">
        <v>199</v>
      </c>
      <c r="Z27" s="2073" t="s">
        <v>199</v>
      </c>
      <c r="AA27" s="2073" t="s">
        <v>199</v>
      </c>
      <c r="AB27" s="2073" t="s">
        <v>199</v>
      </c>
      <c r="AC27" s="2073" t="s">
        <v>199</v>
      </c>
      <c r="AD27" s="2073" t="s">
        <v>199</v>
      </c>
      <c r="AE27" s="2073" t="s">
        <v>199</v>
      </c>
      <c r="AF27" s="2073" t="s">
        <v>199</v>
      </c>
      <c r="AG27" s="2073" t="s">
        <v>199</v>
      </c>
      <c r="AH27" s="2101"/>
      <c r="AI27" s="2073" t="s">
        <v>199</v>
      </c>
      <c r="AJ27" s="2073" t="s">
        <v>199</v>
      </c>
      <c r="AK27" s="2102" t="s">
        <v>199</v>
      </c>
    </row>
    <row r="28" spans="2:37" ht="18" customHeight="1" x14ac:dyDescent="0.2">
      <c r="B28" s="1263" t="s">
        <v>725</v>
      </c>
      <c r="C28" s="4442">
        <f>IF(SUM('Table2(II).B-Hs2'!J92:M92,'Table2(II).B-Hs2'!J105:M105)=0,"NO",SUM('Table2(II).B-Hs2'!J92:M92,'Table2(II).B-Hs2'!J105:M105))</f>
        <v>0.4121505074943202</v>
      </c>
      <c r="D28" s="4431">
        <f>IF(SUM('Table2(II).B-Hs2'!J93:M93,'Table2(II).B-Hs2'!J106:M106)=0,"NO",SUM('Table2(II).B-Hs2'!J93:M93,'Table2(II).B-Hs2'!J106:M106))</f>
        <v>0.91960830841871655</v>
      </c>
      <c r="E28" s="2073" t="s">
        <v>199</v>
      </c>
      <c r="F28" s="2073" t="str">
        <f>IF(SUM('Table2(II).B-Hs2'!J94:M94,'Table2(II).B-Hs2'!J107:M107)=0,"NO",SUM('Table2(II).B-Hs2'!J94:M94,'Table2(II).B-Hs2'!J107:M107))</f>
        <v>NO</v>
      </c>
      <c r="G28" s="4431">
        <f>IF(SUM('Table2(II).B-Hs2'!J95:M95,'Table2(II).B-Hs2'!J108:M108)=0,"NO",SUM('Table2(II).B-Hs2'!J95:M95,'Table2(II).B-Hs2'!J108:M108))</f>
        <v>4.0031505345907865</v>
      </c>
      <c r="H28" s="4431">
        <f>IF(SUM('Table2(II).B-Hs2'!J96:M96,'Table2(II).B-Hs2'!J109:M109)=0,"NO",SUM('Table2(II).B-Hs2'!J96:M96,'Table2(II).B-Hs2'!J109:M109))</f>
        <v>7.4456330486696422E-3</v>
      </c>
      <c r="I28" s="4431">
        <f>IF(SUM('Table2(II).B-Hs2'!J97:M97,'Table2(II).B-Hs2'!J110:M110)=0,"NO",SUM('Table2(II).B-Hs2'!J97:M97,'Table2(II).B-Hs2'!J110:M110))</f>
        <v>14.34902251132733</v>
      </c>
      <c r="J28" s="4431" t="s">
        <v>199</v>
      </c>
      <c r="K28" s="4431">
        <f>IF(SUM('Table2(II).B-Hs2'!J98:M98,'Table2(II).B-Hs2'!J111:M111)=0,"NO",SUM('Table2(II).B-Hs2'!J98:M98,'Table2(II).B-Hs2'!J111:M111))</f>
        <v>3.7916116783827856</v>
      </c>
      <c r="L28" s="2073" t="s">
        <v>199</v>
      </c>
      <c r="M28" s="2073">
        <f>IF(SUM('Table2(II).B-Hs2'!J99:M99,'Table2(II).B-Hs2'!J112:M112)=0,"NO",SUM('Table2(II).B-Hs2'!J99:M99,'Table2(II).B-Hs2'!J112:M112))</f>
        <v>0.40314828475922432</v>
      </c>
      <c r="N28" s="2073" t="s">
        <v>199</v>
      </c>
      <c r="O28" s="4431">
        <f>IF(SUM('Table2(II).B-Hs2'!J100:M100,'Table2(II).B-Hs2'!J113:M113)=0,"NO",SUM('Table2(II).B-Hs2'!J100:M100,'Table2(II).B-Hs2'!J113:M113))</f>
        <v>0.15466504588862512</v>
      </c>
      <c r="P28" s="2073" t="s">
        <v>199</v>
      </c>
      <c r="Q28" s="2073" t="s">
        <v>199</v>
      </c>
      <c r="R28" s="2073">
        <f>IF(SUM('Table2(II).B-Hs2'!J101:M101,'Table2(II).B-Hs2'!J114:M114)=0,"NO",SUM('Table2(II).B-Hs2'!J101:M101,'Table2(II).B-Hs2'!J114:M114))</f>
        <v>4.9364579833618548E-2</v>
      </c>
      <c r="S28" s="2073" t="s">
        <v>199</v>
      </c>
      <c r="T28" s="2073">
        <f>IF(SUM('Table2(II).B-Hs2'!J102:M102,'Table2(II).B-Hs2'!J115:M115)=0,"NO",SUM('Table2(II).B-Hs2'!J102:M102,'Table2(II).B-Hs2'!J115:M115))</f>
        <v>0.30415886088429872</v>
      </c>
      <c r="U28" s="2073">
        <f>IF(SUM('Table2(II).B-Hs2'!J103:M103,'Table2(II).B-Hs2'!J116:M116)=0,"NO",SUM('Table2(II).B-Hs2'!J103:M103,'Table2(II).B-Hs2'!J116:M116))</f>
        <v>0.27040186343436451</v>
      </c>
      <c r="V28" s="2073" t="s">
        <v>199</v>
      </c>
      <c r="W28" s="2101"/>
      <c r="X28" s="2073" t="s">
        <v>199</v>
      </c>
      <c r="Y28" s="2073" t="s">
        <v>199</v>
      </c>
      <c r="Z28" s="2073" t="s">
        <v>199</v>
      </c>
      <c r="AA28" s="2073" t="s">
        <v>199</v>
      </c>
      <c r="AB28" s="2073" t="s">
        <v>199</v>
      </c>
      <c r="AC28" s="2073" t="s">
        <v>199</v>
      </c>
      <c r="AD28" s="2073" t="s">
        <v>199</v>
      </c>
      <c r="AE28" s="2073" t="s">
        <v>199</v>
      </c>
      <c r="AF28" s="2073" t="s">
        <v>199</v>
      </c>
      <c r="AG28" s="2073" t="s">
        <v>199</v>
      </c>
      <c r="AH28" s="2101"/>
      <c r="AI28" s="2073" t="s">
        <v>199</v>
      </c>
      <c r="AJ28" s="2073" t="s">
        <v>199</v>
      </c>
      <c r="AK28" s="2102" t="s">
        <v>199</v>
      </c>
    </row>
    <row r="29" spans="2:37" ht="18" customHeight="1" x14ac:dyDescent="0.2">
      <c r="B29" s="1263" t="s">
        <v>726</v>
      </c>
      <c r="C29" s="4442">
        <f>IF(SUM('Table2(II).B-Hs2'!J118:M118)=0,"NO",SUM('Table2(II).B-Hs2'!J118:M118))</f>
        <v>0.21488293468845571</v>
      </c>
      <c r="D29" s="4431">
        <f>IF(SUM('Table2(II).B-Hs2'!J119:M119)=0,"NO",SUM('Table2(II).B-Hs2'!J119:M119))</f>
        <v>0.47945623864025816</v>
      </c>
      <c r="E29" s="2073" t="s">
        <v>199</v>
      </c>
      <c r="F29" s="2073" t="str">
        <f>IF(SUM('Table2(II).B-Hs2'!J120:M120)=0,"NO",SUM('Table2(II).B-Hs2'!J120:M120))</f>
        <v>NO</v>
      </c>
      <c r="G29" s="4431">
        <f>IF(SUM('Table2(II).B-Hs2'!J121:M121)=0,"NO",SUM('Table2(II).B-Hs2'!J121:M121))</f>
        <v>2.0871228331179061</v>
      </c>
      <c r="H29" s="4431">
        <f>IF(SUM('Table2(II).B-Hs2'!J122:M122)=0,"NO",SUM('Table2(II).B-Hs2'!J122:M122))</f>
        <v>3.8819301469222014E-3</v>
      </c>
      <c r="I29" s="4431">
        <f>IF(SUM('Table2(II).B-Hs2'!J123:M123)=0,"NO",SUM('Table2(II).B-Hs2'!J123:M123))</f>
        <v>7.4811507230455687</v>
      </c>
      <c r="J29" s="4431" t="s">
        <v>199</v>
      </c>
      <c r="K29" s="4431">
        <f>IF(SUM('Table2(II).B-Hs2'!J124:M124)=0,"NO",SUM('Table2(II).B-Hs2'!J124:M124))</f>
        <v>1.9768328070326153</v>
      </c>
      <c r="L29" s="2073" t="s">
        <v>199</v>
      </c>
      <c r="M29" s="2073">
        <f>IF(SUM('Table2(II).B-Hs2'!J125:M125)=0,"NO",SUM('Table2(II).B-Hs2'!J125:M125))</f>
        <v>0.21018944528382794</v>
      </c>
      <c r="N29" s="2073" t="s">
        <v>199</v>
      </c>
      <c r="O29" s="4431">
        <f>IF(SUM('Table2(II).B-Hs2'!J126:M126)=0,"NO",SUM('Table2(II).B-Hs2'!J126:M126))</f>
        <v>8.0637724204987049E-2</v>
      </c>
      <c r="P29" s="2073" t="s">
        <v>199</v>
      </c>
      <c r="Q29" s="2073" t="s">
        <v>199</v>
      </c>
      <c r="R29" s="2073">
        <f>IF(SUM('Table2(II).B-Hs2'!J127:M127)=0,"NO",SUM('Table2(II).B-Hs2'!J127:M127))</f>
        <v>2.5737213933812023E-2</v>
      </c>
      <c r="S29" s="2073" t="s">
        <v>199</v>
      </c>
      <c r="T29" s="2073">
        <f>IF(SUM('Table2(II).B-Hs2'!J128:M128)=0,"NO",SUM('Table2(II).B-Hs2'!J128:M128))</f>
        <v>0.15857932345070946</v>
      </c>
      <c r="U29" s="2073">
        <f>IF(SUM('Table2(II).B-Hs2'!J129:M129)=0,"NO",SUM('Table2(II).B-Hs2'!J129:M129))</f>
        <v>0.14097943567570154</v>
      </c>
      <c r="V29" s="2073" t="s">
        <v>199</v>
      </c>
      <c r="W29" s="2101"/>
      <c r="X29" s="2073" t="s">
        <v>199</v>
      </c>
      <c r="Y29" s="2073" t="s">
        <v>199</v>
      </c>
      <c r="Z29" s="2073" t="s">
        <v>199</v>
      </c>
      <c r="AA29" s="2073" t="s">
        <v>199</v>
      </c>
      <c r="AB29" s="2073" t="s">
        <v>199</v>
      </c>
      <c r="AC29" s="2073" t="s">
        <v>199</v>
      </c>
      <c r="AD29" s="2073" t="s">
        <v>199</v>
      </c>
      <c r="AE29" s="2073" t="s">
        <v>199</v>
      </c>
      <c r="AF29" s="2073" t="s">
        <v>199</v>
      </c>
      <c r="AG29" s="2073" t="s">
        <v>199</v>
      </c>
      <c r="AH29" s="2101"/>
      <c r="AI29" s="2073" t="s">
        <v>199</v>
      </c>
      <c r="AJ29" s="2073" t="s">
        <v>199</v>
      </c>
      <c r="AK29" s="2102" t="s">
        <v>199</v>
      </c>
    </row>
    <row r="30" spans="2:37" ht="18" customHeight="1" x14ac:dyDescent="0.2">
      <c r="B30" s="1263" t="s">
        <v>727</v>
      </c>
      <c r="C30" s="4442">
        <f>IF(SUM('Table2(II).B-Hs2'!J132:M132)=0,"NO",SUM('Table2(II).B-Hs2'!J132:M132))</f>
        <v>1.0067087325241471</v>
      </c>
      <c r="D30" s="4431">
        <f>IF(SUM('Table2(II).B-Hs2'!J133:M133)=0,"NO",SUM('Table2(II).B-Hs2'!J133:M133))</f>
        <v>2.2462127250920325</v>
      </c>
      <c r="E30" s="2073" t="s">
        <v>199</v>
      </c>
      <c r="F30" s="2073" t="str">
        <f>IF(SUM('Table2(II).B-Hs2'!J134:M134)=0,"NO",SUM('Table2(II).B-Hs2'!J134:M134))</f>
        <v>NO</v>
      </c>
      <c r="G30" s="4431">
        <f>IF(SUM('Table2(II).B-Hs2'!J135:M135)=0,"NO",SUM('Table2(II).B-Hs2'!J135:M135))</f>
        <v>9.7779974244888894</v>
      </c>
      <c r="H30" s="4431">
        <f>IF(SUM('Table2(II).B-Hs2'!J136:M136)=0,"NO",SUM('Table2(II).B-Hs2'!J136:M136))</f>
        <v>1.8186520877617535E-2</v>
      </c>
      <c r="I30" s="4431">
        <f>IF(SUM('Table2(II).B-Hs2'!J137:M137)=0,"NO",SUM('Table2(II).B-Hs2'!J137:M137))</f>
        <v>35.048570856212905</v>
      </c>
      <c r="J30" s="4431" t="s">
        <v>199</v>
      </c>
      <c r="K30" s="4431">
        <f>IF(SUM('Table2(II).B-Hs2'!J138:M138)=0,"NO",SUM('Table2(II).B-Hs2'!J138:M138))</f>
        <v>9.2612977967061934</v>
      </c>
      <c r="L30" s="2073" t="s">
        <v>199</v>
      </c>
      <c r="M30" s="2073">
        <f>IF(SUM('Table2(II).B-Hs2'!J139:M139)=0,"NO",SUM('Table2(II).B-Hs2'!J139:M139))</f>
        <v>0.98472012381262342</v>
      </c>
      <c r="N30" s="2073" t="s">
        <v>199</v>
      </c>
      <c r="O30" s="4431">
        <f>IF(SUM('Table2(II).B-Hs2'!J140:M140)=0,"NO",SUM('Table2(II).B-Hs2'!J140:M140))</f>
        <v>0.37778105202132395</v>
      </c>
      <c r="P30" s="2073" t="s">
        <v>199</v>
      </c>
      <c r="Q30" s="2073" t="s">
        <v>199</v>
      </c>
      <c r="R30" s="2073">
        <f>IF(SUM('Table2(II).B-Hs2'!J141:M141)=0,"NO",SUM('Table2(II).B-Hs2'!J141:M141))</f>
        <v>0.1205767133419678</v>
      </c>
      <c r="S30" s="2073" t="s">
        <v>199</v>
      </c>
      <c r="T30" s="2073">
        <f>IF(SUM('Table2(II).B-Hs2'!J142:M142)=0,"NO",SUM('Table2(II).B-Hs2'!J142:M142))</f>
        <v>0.74293098215107845</v>
      </c>
      <c r="U30" s="2073">
        <f>IF(SUM('Table2(II).B-Hs2'!J143:M143)=0,"NO",SUM('Table2(II).B-Hs2'!J143:M143))</f>
        <v>0.66047696717667626</v>
      </c>
      <c r="V30" s="2073" t="s">
        <v>199</v>
      </c>
      <c r="W30" s="2101"/>
      <c r="X30" s="2073" t="s">
        <v>199</v>
      </c>
      <c r="Y30" s="2073" t="s">
        <v>199</v>
      </c>
      <c r="Z30" s="2073" t="s">
        <v>199</v>
      </c>
      <c r="AA30" s="2073" t="s">
        <v>199</v>
      </c>
      <c r="AB30" s="2073" t="s">
        <v>199</v>
      </c>
      <c r="AC30" s="2073" t="s">
        <v>199</v>
      </c>
      <c r="AD30" s="2073" t="s">
        <v>199</v>
      </c>
      <c r="AE30" s="2073" t="s">
        <v>199</v>
      </c>
      <c r="AF30" s="2073" t="s">
        <v>199</v>
      </c>
      <c r="AG30" s="2073" t="s">
        <v>199</v>
      </c>
      <c r="AH30" s="2101"/>
      <c r="AI30" s="2073" t="s">
        <v>199</v>
      </c>
      <c r="AJ30" s="2073" t="s">
        <v>199</v>
      </c>
      <c r="AK30" s="2102" t="s">
        <v>199</v>
      </c>
    </row>
    <row r="31" spans="2:37" ht="18" customHeight="1" x14ac:dyDescent="0.2">
      <c r="B31" s="1263" t="s">
        <v>728</v>
      </c>
      <c r="C31" s="4442">
        <f>IF(SUM('Table2(II).B-Hs2'!J147:M147)=0,"NO",SUM('Table2(II).B-Hs2'!J147:M147))</f>
        <v>0.54265578542214676</v>
      </c>
      <c r="D31" s="4431">
        <f>IF(SUM('Table2(II).B-Hs2'!J148:M148)=0,"NO",SUM('Table2(II).B-Hs2'!J148:M148))</f>
        <v>1.2107974145647935</v>
      </c>
      <c r="E31" s="2073" t="s">
        <v>199</v>
      </c>
      <c r="F31" s="2073" t="str">
        <f>IF(SUM('Table2(II).B-Hs2'!J149:M149)=0,"NO",SUM('Table2(II).B-Hs2'!J149:M149))</f>
        <v>NO</v>
      </c>
      <c r="G31" s="4431">
        <f>IF(SUM('Table2(II).B-Hs2'!J150:M150)=0,"NO",SUM('Table2(II).B-Hs2'!J150:M150))</f>
        <v>5.2707269747602732</v>
      </c>
      <c r="H31" s="4431">
        <f>IF(SUM('Table2(II).B-Hs2'!J151:M151)=0,"NO",SUM('Table2(II).B-Hs2'!J151:M151))</f>
        <v>9.8032533662392694E-3</v>
      </c>
      <c r="I31" s="4431">
        <f>IF(SUM('Table2(II).B-Hs2'!J152:M152)=0,"NO",SUM('Table2(II).B-Hs2'!J152:M152))</f>
        <v>18.892564583416664</v>
      </c>
      <c r="J31" s="4431" t="s">
        <v>199</v>
      </c>
      <c r="K31" s="4431">
        <f>IF(SUM('Table2(II).B-Hs2'!J153:M153)=0,"NO",SUM('Table2(II).B-Hs2'!J153:M153))</f>
        <v>4.9922054587715126</v>
      </c>
      <c r="L31" s="2073" t="s">
        <v>199</v>
      </c>
      <c r="M31" s="2073">
        <f>IF(SUM('Table2(II).B-Hs2'!J154:M154)=0,"NO",SUM('Table2(II).B-Hs2'!J154:M154))</f>
        <v>0.53080305647961135</v>
      </c>
      <c r="N31" s="2073" t="s">
        <v>199</v>
      </c>
      <c r="O31" s="4431">
        <f>IF(SUM('Table2(II).B-Hs2'!J155:M155)=0,"NO",SUM('Table2(II).B-Hs2'!J155:M155))</f>
        <v>0.20363891449339264</v>
      </c>
      <c r="P31" s="2073" t="s">
        <v>199</v>
      </c>
      <c r="Q31" s="2073" t="s">
        <v>199</v>
      </c>
      <c r="R31" s="2073">
        <f>IF(SUM('Table2(II).B-Hs2'!J156:M156)=0,"NO",SUM('Table2(II).B-Hs2'!J156:M156))</f>
        <v>6.4995612900017374E-2</v>
      </c>
      <c r="S31" s="2073" t="s">
        <v>199</v>
      </c>
      <c r="T31" s="2073">
        <f>IF(SUM('Table2(II).B-Hs2'!J157:M157)=0,"NO",SUM('Table2(II).B-Hs2'!J157:M157))</f>
        <v>0.40046915518731746</v>
      </c>
      <c r="U31" s="2073">
        <f>IF(SUM('Table2(II).B-Hs2'!J158:M158)=0,"NO",SUM('Table2(II).B-Hs2'!J158:M158))</f>
        <v>0.35602318306889208</v>
      </c>
      <c r="V31" s="2073" t="s">
        <v>199</v>
      </c>
      <c r="W31" s="2101"/>
      <c r="X31" s="2073" t="s">
        <v>199</v>
      </c>
      <c r="Y31" s="2073" t="s">
        <v>199</v>
      </c>
      <c r="Z31" s="2073" t="s">
        <v>199</v>
      </c>
      <c r="AA31" s="2073" t="s">
        <v>199</v>
      </c>
      <c r="AB31" s="2073" t="s">
        <v>199</v>
      </c>
      <c r="AC31" s="2073" t="s">
        <v>199</v>
      </c>
      <c r="AD31" s="2073" t="s">
        <v>199</v>
      </c>
      <c r="AE31" s="2073" t="s">
        <v>199</v>
      </c>
      <c r="AF31" s="2073" t="s">
        <v>199</v>
      </c>
      <c r="AG31" s="2073" t="s">
        <v>199</v>
      </c>
      <c r="AH31" s="2101"/>
      <c r="AI31" s="2073" t="s">
        <v>199</v>
      </c>
      <c r="AJ31" s="2073" t="s">
        <v>199</v>
      </c>
      <c r="AK31" s="2102" t="s">
        <v>199</v>
      </c>
    </row>
    <row r="32" spans="2:37" ht="18" customHeight="1" thickBot="1" x14ac:dyDescent="0.25">
      <c r="B32" s="1263" t="s">
        <v>729</v>
      </c>
      <c r="C32" s="2106" t="s">
        <v>199</v>
      </c>
      <c r="D32" s="2107" t="s">
        <v>199</v>
      </c>
      <c r="E32" s="2107" t="s">
        <v>199</v>
      </c>
      <c r="F32" s="2107" t="s">
        <v>199</v>
      </c>
      <c r="G32" s="2107" t="s">
        <v>199</v>
      </c>
      <c r="H32" s="2107" t="s">
        <v>199</v>
      </c>
      <c r="I32" s="2107" t="s">
        <v>199</v>
      </c>
      <c r="J32" s="2107" t="s">
        <v>199</v>
      </c>
      <c r="K32" s="2107" t="s">
        <v>199</v>
      </c>
      <c r="L32" s="2107" t="s">
        <v>199</v>
      </c>
      <c r="M32" s="2107" t="s">
        <v>199</v>
      </c>
      <c r="N32" s="2107" t="s">
        <v>199</v>
      </c>
      <c r="O32" s="2107" t="s">
        <v>199</v>
      </c>
      <c r="P32" s="2107" t="s">
        <v>199</v>
      </c>
      <c r="Q32" s="2107" t="s">
        <v>199</v>
      </c>
      <c r="R32" s="2107" t="s">
        <v>199</v>
      </c>
      <c r="S32" s="2107" t="s">
        <v>199</v>
      </c>
      <c r="T32" s="2107" t="s">
        <v>199</v>
      </c>
      <c r="U32" s="2107" t="s">
        <v>199</v>
      </c>
      <c r="V32" s="2107" t="s">
        <v>199</v>
      </c>
      <c r="W32" s="2650"/>
      <c r="X32" s="2107" t="s">
        <v>199</v>
      </c>
      <c r="Y32" s="2107" t="s">
        <v>199</v>
      </c>
      <c r="Z32" s="2107" t="s">
        <v>199</v>
      </c>
      <c r="AA32" s="2107" t="s">
        <v>199</v>
      </c>
      <c r="AB32" s="2107" t="s">
        <v>199</v>
      </c>
      <c r="AC32" s="2107" t="s">
        <v>199</v>
      </c>
      <c r="AD32" s="2107" t="s">
        <v>199</v>
      </c>
      <c r="AE32" s="2107" t="s">
        <v>199</v>
      </c>
      <c r="AF32" s="2107" t="s">
        <v>199</v>
      </c>
      <c r="AG32" s="2107" t="s">
        <v>199</v>
      </c>
      <c r="AH32" s="2650"/>
      <c r="AI32" s="2107" t="s">
        <v>199</v>
      </c>
      <c r="AJ32" s="2107" t="s">
        <v>199</v>
      </c>
      <c r="AK32" s="2651"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3"/>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3"/>
      <c r="AI33" s="2079" t="str">
        <f t="shared" ref="AI33" si="69">IF(SUM(AI34:AI36)=0,"NO",SUM(AI34:AI36))</f>
        <v>NO</v>
      </c>
      <c r="AJ33" s="2087">
        <f t="shared" ref="AJ33" si="70">IF(SUM(AJ34:AJ36)=0,"NO",SUM(AJ34:AJ36))</f>
        <v>7.681037227303908</v>
      </c>
      <c r="AK33" s="2102"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1"/>
      <c r="X34" s="2076" t="s">
        <v>199</v>
      </c>
      <c r="Y34" s="2073" t="s">
        <v>199</v>
      </c>
      <c r="Z34" s="2073" t="s">
        <v>199</v>
      </c>
      <c r="AA34" s="2073" t="s">
        <v>199</v>
      </c>
      <c r="AB34" s="2073" t="s">
        <v>199</v>
      </c>
      <c r="AC34" s="2073" t="s">
        <v>199</v>
      </c>
      <c r="AD34" s="2073" t="s">
        <v>199</v>
      </c>
      <c r="AE34" s="2073" t="s">
        <v>199</v>
      </c>
      <c r="AF34" s="2073" t="s">
        <v>199</v>
      </c>
      <c r="AG34" s="2073" t="s">
        <v>199</v>
      </c>
      <c r="AH34" s="2101"/>
      <c r="AI34" s="2087" t="s">
        <v>199</v>
      </c>
      <c r="AJ34" s="2087">
        <f>IF(SUM('Table2(II).B-Hs2'!J163:M163)=0,"NO",SUM('Table2(II).B-Hs2'!J163:M163))</f>
        <v>6.9577842374737688</v>
      </c>
      <c r="AK34" s="2102" t="s">
        <v>199</v>
      </c>
    </row>
    <row r="35" spans="2:37" ht="18" customHeight="1" x14ac:dyDescent="0.2">
      <c r="B35" s="1263" t="s">
        <v>732</v>
      </c>
      <c r="C35" s="2104"/>
      <c r="D35" s="284"/>
      <c r="E35" s="284"/>
      <c r="F35" s="284"/>
      <c r="G35" s="284"/>
      <c r="H35" s="284"/>
      <c r="I35" s="284"/>
      <c r="J35" s="284"/>
      <c r="K35" s="284"/>
      <c r="L35" s="284"/>
      <c r="M35" s="284"/>
      <c r="N35" s="284"/>
      <c r="O35" s="284"/>
      <c r="P35" s="284"/>
      <c r="Q35" s="284"/>
      <c r="R35" s="284"/>
      <c r="S35" s="284"/>
      <c r="T35" s="284"/>
      <c r="U35" s="284"/>
      <c r="V35" s="284"/>
      <c r="W35" s="2101"/>
      <c r="X35" s="2076" t="s">
        <v>199</v>
      </c>
      <c r="Y35" s="2073" t="s">
        <v>199</v>
      </c>
      <c r="Z35" s="2073" t="s">
        <v>199</v>
      </c>
      <c r="AA35" s="2073" t="s">
        <v>199</v>
      </c>
      <c r="AB35" s="2073" t="s">
        <v>199</v>
      </c>
      <c r="AC35" s="2073" t="s">
        <v>199</v>
      </c>
      <c r="AD35" s="2073" t="s">
        <v>199</v>
      </c>
      <c r="AE35" s="2073" t="s">
        <v>199</v>
      </c>
      <c r="AF35" s="2073" t="s">
        <v>199</v>
      </c>
      <c r="AG35" s="2073" t="s">
        <v>199</v>
      </c>
      <c r="AH35" s="2101"/>
      <c r="AI35" s="2105"/>
      <c r="AJ35" s="2087">
        <f>IF(SUM('Table2(II).B-Hs2'!J165:M165)=0,"NO",SUM('Table2(II).B-Hs2'!J165:M165))</f>
        <v>0.72325298983013919</v>
      </c>
      <c r="AK35" s="2088"/>
    </row>
    <row r="36" spans="2:37" ht="18" customHeight="1" thickBot="1" x14ac:dyDescent="0.25">
      <c r="B36" s="1263" t="s">
        <v>733</v>
      </c>
      <c r="C36" s="2106" t="s">
        <v>199</v>
      </c>
      <c r="D36" s="2107" t="s">
        <v>199</v>
      </c>
      <c r="E36" s="2107" t="s">
        <v>199</v>
      </c>
      <c r="F36" s="2107" t="s">
        <v>199</v>
      </c>
      <c r="G36" s="2107" t="s">
        <v>199</v>
      </c>
      <c r="H36" s="2107" t="s">
        <v>199</v>
      </c>
      <c r="I36" s="2107" t="s">
        <v>199</v>
      </c>
      <c r="J36" s="2107" t="s">
        <v>199</v>
      </c>
      <c r="K36" s="2107" t="s">
        <v>199</v>
      </c>
      <c r="L36" s="2107" t="s">
        <v>199</v>
      </c>
      <c r="M36" s="2107" t="s">
        <v>199</v>
      </c>
      <c r="N36" s="2107" t="s">
        <v>199</v>
      </c>
      <c r="O36" s="2107" t="s">
        <v>199</v>
      </c>
      <c r="P36" s="2107" t="s">
        <v>199</v>
      </c>
      <c r="Q36" s="2107" t="s">
        <v>199</v>
      </c>
      <c r="R36" s="2107" t="s">
        <v>199</v>
      </c>
      <c r="S36" s="2107" t="s">
        <v>199</v>
      </c>
      <c r="T36" s="2107" t="s">
        <v>199</v>
      </c>
      <c r="U36" s="2107" t="s">
        <v>199</v>
      </c>
      <c r="V36" s="2107" t="s">
        <v>199</v>
      </c>
      <c r="W36" s="2101"/>
      <c r="X36" s="2108" t="s">
        <v>199</v>
      </c>
      <c r="Y36" s="2107" t="s">
        <v>199</v>
      </c>
      <c r="Z36" s="2107" t="s">
        <v>199</v>
      </c>
      <c r="AA36" s="2107" t="s">
        <v>199</v>
      </c>
      <c r="AB36" s="2107" t="s">
        <v>199</v>
      </c>
      <c r="AC36" s="2107" t="s">
        <v>199</v>
      </c>
      <c r="AD36" s="2107" t="s">
        <v>199</v>
      </c>
      <c r="AE36" s="2107" t="s">
        <v>199</v>
      </c>
      <c r="AF36" s="2107" t="s">
        <v>199</v>
      </c>
      <c r="AG36" s="2107" t="s">
        <v>199</v>
      </c>
      <c r="AH36" s="2101"/>
      <c r="AI36" s="2087" t="s">
        <v>199</v>
      </c>
      <c r="AJ36" s="2087" t="s">
        <v>199</v>
      </c>
      <c r="AK36" s="2109" t="s">
        <v>199</v>
      </c>
    </row>
    <row r="37" spans="2:37" ht="18" customHeight="1" thickBot="1" x14ac:dyDescent="0.25">
      <c r="B37" s="1290" t="s">
        <v>734</v>
      </c>
      <c r="C37" s="2096" t="s">
        <v>199</v>
      </c>
      <c r="D37" s="2097" t="s">
        <v>199</v>
      </c>
      <c r="E37" s="2097" t="s">
        <v>199</v>
      </c>
      <c r="F37" s="2097" t="s">
        <v>199</v>
      </c>
      <c r="G37" s="2097" t="s">
        <v>199</v>
      </c>
      <c r="H37" s="2097" t="s">
        <v>199</v>
      </c>
      <c r="I37" s="2097" t="s">
        <v>199</v>
      </c>
      <c r="J37" s="2097" t="s">
        <v>199</v>
      </c>
      <c r="K37" s="2097" t="s">
        <v>199</v>
      </c>
      <c r="L37" s="2097" t="s">
        <v>199</v>
      </c>
      <c r="M37" s="2097" t="s">
        <v>199</v>
      </c>
      <c r="N37" s="2097" t="s">
        <v>199</v>
      </c>
      <c r="O37" s="2097" t="s">
        <v>199</v>
      </c>
      <c r="P37" s="2097" t="s">
        <v>199</v>
      </c>
      <c r="Q37" s="2097" t="s">
        <v>199</v>
      </c>
      <c r="R37" s="2097" t="s">
        <v>199</v>
      </c>
      <c r="S37" s="2097" t="s">
        <v>199</v>
      </c>
      <c r="T37" s="2097" t="s">
        <v>199</v>
      </c>
      <c r="U37" s="2097" t="s">
        <v>199</v>
      </c>
      <c r="V37" s="2097" t="s">
        <v>199</v>
      </c>
      <c r="W37" s="1855"/>
      <c r="X37" s="2098" t="s">
        <v>199</v>
      </c>
      <c r="Y37" s="2097" t="s">
        <v>199</v>
      </c>
      <c r="Z37" s="2097" t="s">
        <v>199</v>
      </c>
      <c r="AA37" s="2097" t="s">
        <v>199</v>
      </c>
      <c r="AB37" s="2097" t="s">
        <v>199</v>
      </c>
      <c r="AC37" s="2097" t="s">
        <v>199</v>
      </c>
      <c r="AD37" s="2097" t="s">
        <v>199</v>
      </c>
      <c r="AE37" s="2097" t="s">
        <v>199</v>
      </c>
      <c r="AF37" s="2097" t="s">
        <v>199</v>
      </c>
      <c r="AG37" s="2097" t="s">
        <v>199</v>
      </c>
      <c r="AH37" s="1855"/>
      <c r="AI37" s="2644" t="s">
        <v>199</v>
      </c>
      <c r="AJ37" s="2099" t="s">
        <v>199</v>
      </c>
      <c r="AK37" s="2077" t="s">
        <v>199</v>
      </c>
    </row>
    <row r="38" spans="2:37" ht="18" customHeight="1" thickBot="1" x14ac:dyDescent="0.25">
      <c r="B38" s="1454"/>
      <c r="C38" s="2110" t="s">
        <v>706</v>
      </c>
      <c r="D38" s="2111"/>
      <c r="E38" s="2111"/>
      <c r="F38" s="2111"/>
      <c r="G38" s="2111"/>
      <c r="H38" s="2111"/>
      <c r="I38" s="2111"/>
      <c r="J38" s="2111"/>
      <c r="K38" s="2111"/>
      <c r="L38" s="2111"/>
      <c r="M38" s="2111"/>
      <c r="N38" s="2111"/>
      <c r="O38" s="2111"/>
      <c r="P38" s="2111"/>
      <c r="Q38" s="2111"/>
      <c r="R38" s="2111"/>
      <c r="S38" s="2111"/>
      <c r="T38" s="2111"/>
      <c r="U38" s="2111"/>
      <c r="V38" s="2111"/>
      <c r="W38" s="2111"/>
      <c r="X38" s="2111"/>
      <c r="Y38" s="2111"/>
      <c r="Z38" s="2111"/>
      <c r="AA38" s="2111"/>
      <c r="AB38" s="2111"/>
      <c r="AC38" s="2111"/>
      <c r="AD38" s="2111"/>
      <c r="AE38" s="2111"/>
      <c r="AF38" s="2111"/>
      <c r="AG38" s="2111"/>
      <c r="AH38" s="2111"/>
      <c r="AI38" s="2111"/>
      <c r="AJ38" s="2111"/>
      <c r="AK38" s="2112"/>
    </row>
    <row r="39" spans="2:37" ht="18" customHeight="1" thickTop="1" x14ac:dyDescent="0.2">
      <c r="B39" s="1287" t="s">
        <v>735</v>
      </c>
      <c r="C39" s="4182">
        <f>IF(SUM(C40:C45)=0,"NO",SUM(C40:C45))</f>
        <v>423.94819334680989</v>
      </c>
      <c r="D39" s="4183">
        <f t="shared" ref="D39:AK39" si="72">IF(SUM(D40:D45)=0,"NO",SUM(D40:D45))</f>
        <v>51.644826147638256</v>
      </c>
      <c r="E39" s="4183" t="str">
        <f t="shared" si="72"/>
        <v>NO</v>
      </c>
      <c r="F39" s="4183" t="str">
        <f t="shared" si="72"/>
        <v>NO</v>
      </c>
      <c r="G39" s="4183">
        <f t="shared" si="72"/>
        <v>1052.6801861843544</v>
      </c>
      <c r="H39" s="4183">
        <f t="shared" si="72"/>
        <v>0.6917591558882733</v>
      </c>
      <c r="I39" s="4183">
        <f t="shared" si="72"/>
        <v>1547.3940906495204</v>
      </c>
      <c r="J39" s="4183" t="str">
        <f t="shared" si="72"/>
        <v>NO</v>
      </c>
      <c r="K39" s="4183">
        <f t="shared" si="72"/>
        <v>1509.7337173247047</v>
      </c>
      <c r="L39" s="4183" t="str">
        <f t="shared" si="72"/>
        <v>NO</v>
      </c>
      <c r="M39" s="4183">
        <f t="shared" si="72"/>
        <v>4.6150792970217793</v>
      </c>
      <c r="N39" s="4183" t="str">
        <f t="shared" si="72"/>
        <v>NO</v>
      </c>
      <c r="O39" s="4183">
        <f t="shared" si="72"/>
        <v>42.98057750541799</v>
      </c>
      <c r="P39" s="4183" t="str">
        <f t="shared" si="72"/>
        <v>NO</v>
      </c>
      <c r="Q39" s="4183" t="str">
        <f t="shared" si="72"/>
        <v>NO</v>
      </c>
      <c r="R39" s="4183">
        <f t="shared" si="72"/>
        <v>33.005457074316439</v>
      </c>
      <c r="S39" s="4183" t="str">
        <f t="shared" si="72"/>
        <v>NO</v>
      </c>
      <c r="T39" s="4183">
        <f t="shared" si="72"/>
        <v>21.648261514850802</v>
      </c>
      <c r="U39" s="4183">
        <f t="shared" si="72"/>
        <v>18.034370750819892</v>
      </c>
      <c r="V39" s="4183" t="str">
        <f t="shared" si="72"/>
        <v>NO</v>
      </c>
      <c r="W39" s="4183">
        <f t="shared" si="72"/>
        <v>4706.3765189513433</v>
      </c>
      <c r="X39" s="4183">
        <f t="shared" si="72"/>
        <v>430.46227065800161</v>
      </c>
      <c r="Y39" s="4183">
        <f t="shared" si="72"/>
        <v>93.595251888503981</v>
      </c>
      <c r="Z39" s="4183" t="str">
        <f t="shared" si="72"/>
        <v>NO</v>
      </c>
      <c r="AA39" s="4183" t="str">
        <f t="shared" si="72"/>
        <v>NO</v>
      </c>
      <c r="AB39" s="4183" t="str">
        <f t="shared" si="72"/>
        <v>NO</v>
      </c>
      <c r="AC39" s="4183" t="str">
        <f t="shared" si="72"/>
        <v>NO</v>
      </c>
      <c r="AD39" s="4183" t="str">
        <f t="shared" si="72"/>
        <v>NO</v>
      </c>
      <c r="AE39" s="4183" t="str">
        <f t="shared" si="72"/>
        <v>NO</v>
      </c>
      <c r="AF39" s="4183" t="str">
        <f t="shared" si="72"/>
        <v>NO</v>
      </c>
      <c r="AG39" s="4183" t="str">
        <f t="shared" si="72"/>
        <v>NO</v>
      </c>
      <c r="AH39" s="4183">
        <f t="shared" si="72"/>
        <v>524.05752254650565</v>
      </c>
      <c r="AI39" s="4184" t="str">
        <f t="shared" si="72"/>
        <v>NO</v>
      </c>
      <c r="AJ39" s="4184">
        <f t="shared" si="72"/>
        <v>180.50437484164183</v>
      </c>
      <c r="AK39" s="2928" t="str">
        <f t="shared" si="72"/>
        <v>NO</v>
      </c>
    </row>
    <row r="40" spans="2:37" ht="18" customHeight="1" x14ac:dyDescent="0.2">
      <c r="B40" s="1291" t="s">
        <v>708</v>
      </c>
      <c r="C40" s="4185" t="str">
        <f>IF(SUM(C11)=0,"NO",C11*12400/1000)</f>
        <v>NO</v>
      </c>
      <c r="D40" s="4186" t="str">
        <f>IF(SUM(D11)=0,"NO",D11*677/1000)</f>
        <v>NO</v>
      </c>
      <c r="E40" s="4186" t="str">
        <f>IF(SUM(E11)=0,"NO",E11*116/1000)</f>
        <v>NO</v>
      </c>
      <c r="F40" s="4186" t="str">
        <f>IF(SUM(F11)=0,"NO",F11*1650/1000)</f>
        <v>NO</v>
      </c>
      <c r="G40" s="4186" t="str">
        <f>IF(SUM(G11)=0,"NO",G11*3170/1000)</f>
        <v>NO</v>
      </c>
      <c r="H40" s="4186" t="str">
        <f>IF(SUM(H11)=0,"NO",H11*1120/1000)</f>
        <v>NO</v>
      </c>
      <c r="I40" s="4186" t="str">
        <f>IF(SUM(I11)=0,"NO",I11*1300/1000)</f>
        <v>NO</v>
      </c>
      <c r="J40" s="4186" t="str">
        <f>IF(SUM(J11)=0,"NO",J11*328/1000)</f>
        <v>NO</v>
      </c>
      <c r="K40" s="4186" t="str">
        <f>IF(SUM(K11)=0,"NO",K11*4800/1000)</f>
        <v>NO</v>
      </c>
      <c r="L40" s="4186" t="str">
        <f>IF(SUM(L11)=0,"NO",L11*16/1000)</f>
        <v>NO</v>
      </c>
      <c r="M40" s="4186" t="str">
        <f>IF(SUM(M11)=0,"NO",M11*138/1000)</f>
        <v>NO</v>
      </c>
      <c r="N40" s="4186" t="str">
        <f>IF(SUM(N11)=0,"NO",N11*4/1000)</f>
        <v>NO</v>
      </c>
      <c r="O40" s="4186" t="str">
        <f>IF(SUM(O11)=0,"NO",O11*3350/1000)</f>
        <v>NO</v>
      </c>
      <c r="P40" s="4186" t="str">
        <f>IF(SUM(P11)=0,"NO",P11*1210/1000)</f>
        <v>NO</v>
      </c>
      <c r="Q40" s="4186" t="str">
        <f>IF(SUM(Q11)=0,"NO",Q11*1330/1000)</f>
        <v>NO</v>
      </c>
      <c r="R40" s="4186" t="str">
        <f>IF(SUM(R11)=0,"NO",R11*8060/1000)</f>
        <v>NO</v>
      </c>
      <c r="S40" s="4186" t="str">
        <f>IF(SUM(S11)=0,"NO",S11*716/1000)</f>
        <v>NO</v>
      </c>
      <c r="T40" s="4186" t="str">
        <f>IF(SUM(T11)=0,"NO",T11*858/1000)</f>
        <v>NO</v>
      </c>
      <c r="U40" s="4186" t="str">
        <f>IF(SUM(U11)=0,"NO",U11*804/1000)</f>
        <v>NO</v>
      </c>
      <c r="V40" s="4186" t="str">
        <f>IF(SUM(V11)=0,"NO",V11*1/1000)</f>
        <v>NO</v>
      </c>
      <c r="W40" s="4186" t="str">
        <f>IF(SUM(C40:V40)=0,"NO",SUM(C40:V40))</f>
        <v>NO</v>
      </c>
      <c r="X40" s="4186" t="str">
        <f>IF(SUM(X11)=0,"NO",X11*6630/1000)</f>
        <v>NO</v>
      </c>
      <c r="Y40" s="4186" t="str">
        <f>IF(SUM(Y11)=0,"NO",Y11*11100/1000)</f>
        <v>NO</v>
      </c>
      <c r="Z40" s="4186" t="str">
        <f>IF(SUM(Z11)=0,"NO",Z11*8900/1000)</f>
        <v>NO</v>
      </c>
      <c r="AA40" s="4186" t="str">
        <f>IF(SUM(AA11)=0,"NO",AA11*9200/1000)</f>
        <v>NO</v>
      </c>
      <c r="AB40" s="4186" t="str">
        <f>IF(SUM(AB11)=0,"NO",AB11*9540/1000)</f>
        <v>NO</v>
      </c>
      <c r="AC40" s="4186" t="str">
        <f>IF(SUM(AC11)=0,"NO",AC11*8550/1000)</f>
        <v>NO</v>
      </c>
      <c r="AD40" s="4186" t="str">
        <f>IF(SUM(AD11)=0,"NO",AD11*7910/1000)</f>
        <v>NO</v>
      </c>
      <c r="AE40" s="4186" t="str">
        <f>IF(SUM(AE11)=0,"NO",AE11*7190/1000)</f>
        <v>NO</v>
      </c>
      <c r="AF40" s="4186" t="str">
        <f>IF(SUM(AF11)=0,"NO",AF11*9200/1000)</f>
        <v>NO</v>
      </c>
      <c r="AG40" s="4186" t="str">
        <f>IF(SUM(AG11)=0,"NO",AG11*1/1000)</f>
        <v>NO</v>
      </c>
      <c r="AH40" s="4186" t="str">
        <f>IF(SUM(X40:AG40)=0,"NO",SUM(X40:AG40))</f>
        <v>NO</v>
      </c>
      <c r="AI40" s="4187" t="str">
        <f>IF(SUM(AI11)=0,"NO",AI11*1/1000)</f>
        <v>NO</v>
      </c>
      <c r="AJ40" s="4187" t="str">
        <f>IF(SUM(AJ11)=0,"NO",AJ11*23500/1000)</f>
        <v>NO</v>
      </c>
      <c r="AK40" s="4188" t="str">
        <f>IF(SUM(AK11)=0,"NO",AK11*16100/1000)</f>
        <v>NO</v>
      </c>
    </row>
    <row r="41" spans="2:37" ht="18" customHeight="1" x14ac:dyDescent="0.2">
      <c r="B41" s="1292" t="s">
        <v>736</v>
      </c>
      <c r="C41" s="4185" t="str">
        <f>IF(SUM(C16)=0,"NO",C16*12400/1000)</f>
        <v>NO</v>
      </c>
      <c r="D41" s="4186" t="str">
        <f>IF(SUM(D16)=0,"NO",D16*677/1000)</f>
        <v>NO</v>
      </c>
      <c r="E41" s="4186" t="str">
        <f>IF(SUM(E16)=0,"NO",E16*116/1000)</f>
        <v>NO</v>
      </c>
      <c r="F41" s="4186" t="str">
        <f>IF(SUM(F16)=0,"NO",F16*1650/1000)</f>
        <v>NO</v>
      </c>
      <c r="G41" s="4186" t="str">
        <f>IF(SUM(G16)=0,"NO",G16*3170/1000)</f>
        <v>NO</v>
      </c>
      <c r="H41" s="4186" t="str">
        <f>IF(SUM(H16)=0,"NO",H16*1120/1000)</f>
        <v>NO</v>
      </c>
      <c r="I41" s="4186" t="str">
        <f>IF(SUM(I16)=0,"NO",I16*1300/1000)</f>
        <v>NO</v>
      </c>
      <c r="J41" s="4186" t="str">
        <f>IF(SUM(J16)=0,"NO",J16*328/1000)</f>
        <v>NO</v>
      </c>
      <c r="K41" s="4186" t="str">
        <f>IF(SUM(K16)=0,"NO",K16*4800/1000)</f>
        <v>NO</v>
      </c>
      <c r="L41" s="4186" t="str">
        <f>IF(SUM(L16)=0,"NO",L16*16/1000)</f>
        <v>NO</v>
      </c>
      <c r="M41" s="4186" t="str">
        <f>IF(SUM(M16)=0,"NO",M16*138/1000)</f>
        <v>NO</v>
      </c>
      <c r="N41" s="4186" t="str">
        <f>IF(SUM(N16)=0,"NO",N16*4/1000)</f>
        <v>NO</v>
      </c>
      <c r="O41" s="4186" t="str">
        <f>IF(SUM(O16)=0,"NO",O16*3350/1000)</f>
        <v>NO</v>
      </c>
      <c r="P41" s="4186" t="str">
        <f>IF(SUM(P16)=0,"NO",P16*1210/1000)</f>
        <v>NO</v>
      </c>
      <c r="Q41" s="4186" t="str">
        <f>IF(SUM(Q16)=0,"NO",Q16*1330/1000)</f>
        <v>NO</v>
      </c>
      <c r="R41" s="4186" t="str">
        <f>IF(SUM(R16)=0,"NO",R16*8060/1000)</f>
        <v>NO</v>
      </c>
      <c r="S41" s="4186" t="str">
        <f>IF(SUM(S16)=0,"NO",S16*716/1000)</f>
        <v>NO</v>
      </c>
      <c r="T41" s="4186" t="str">
        <f>IF(SUM(T16)=0,"NO",T16*858/1000)</f>
        <v>NO</v>
      </c>
      <c r="U41" s="4186" t="str">
        <f>IF(SUM(U16)=0,"NO",U16*804/1000)</f>
        <v>NO</v>
      </c>
      <c r="V41" s="4186" t="str">
        <f>IF(SUM(V16)=0,"NO",V16*1/1000)</f>
        <v>NO</v>
      </c>
      <c r="W41" s="4186" t="str">
        <f t="shared" ref="W41:W45" si="73">IF(SUM(C41:V41)=0,"NO",SUM(C41:V41))</f>
        <v>NO</v>
      </c>
      <c r="X41" s="4186">
        <f>IF(SUM(X16)=0,"NO",X16*6630/1000)</f>
        <v>430.46227065800161</v>
      </c>
      <c r="Y41" s="4186">
        <f>IF(SUM(Y16)=0,"NO",Y16*11100/1000)</f>
        <v>93.595251888503981</v>
      </c>
      <c r="Z41" s="4189" t="str">
        <f>IF(SUM(Z16)=0,"NO",Z16*8900/1000)</f>
        <v>NO</v>
      </c>
      <c r="AA41" s="4189" t="str">
        <f>IF(SUM(AA16)=0,"NO",AA16*9200/1000)</f>
        <v>NO</v>
      </c>
      <c r="AB41" s="4189" t="str">
        <f>IF(SUM(AB16)=0,"NO",AB16*9540/1000)</f>
        <v>NO</v>
      </c>
      <c r="AC41" s="4189" t="str">
        <f>IF(SUM(AC16)=0,"NO",AC16*8550/1000)</f>
        <v>NO</v>
      </c>
      <c r="AD41" s="4189" t="str">
        <f>IF(SUM(AD16)=0,"NO",AD16*7910/1000)</f>
        <v>NO</v>
      </c>
      <c r="AE41" s="4189" t="str">
        <f>IF(SUM(AE16)=0,"NO",AE16*7190/1000)</f>
        <v>NO</v>
      </c>
      <c r="AF41" s="4189" t="str">
        <f>IF(SUM(AF16)=0,"NO",AF16*9200/1000)</f>
        <v>NO</v>
      </c>
      <c r="AG41" s="4189" t="str">
        <f>IF(SUM(AG16)=0,"NO",AG16*1/1000)</f>
        <v>NO</v>
      </c>
      <c r="AH41" s="4186">
        <f t="shared" ref="AH41:AH45" si="74">IF(SUM(X41:AG41)=0,"NO",SUM(X41:AG41))</f>
        <v>524.05752254650565</v>
      </c>
      <c r="AI41" s="4187" t="str">
        <f>IF(SUM(AI16)=0,"NO",AI16*1/1000)</f>
        <v>NO</v>
      </c>
      <c r="AJ41" s="4187" t="str">
        <f>IF(SUM(AJ16)=0,"NO",AJ16*23500/1000)</f>
        <v>NO</v>
      </c>
      <c r="AK41" s="4188" t="str">
        <f>IF(SUM(AK16)=0,"NO",AK16*16100/1000)</f>
        <v>NO</v>
      </c>
    </row>
    <row r="42" spans="2:37" ht="18" customHeight="1" x14ac:dyDescent="0.2">
      <c r="B42" s="1293" t="s">
        <v>717</v>
      </c>
      <c r="C42" s="4185" t="str">
        <f>IF(SUM(C20)=0,"NO",C20*12400/1000)</f>
        <v>NO</v>
      </c>
      <c r="D42" s="4186" t="str">
        <f>IF(SUM(D20)=0,"NO",D20*677/1000)</f>
        <v>NO</v>
      </c>
      <c r="E42" s="4186" t="str">
        <f>IF(SUM(E20)=0,"NO",E20*116/1000)</f>
        <v>NO</v>
      </c>
      <c r="F42" s="4186" t="str">
        <f>IF(SUM(F20)=0,"NO",F20*1650/1000)</f>
        <v>NO</v>
      </c>
      <c r="G42" s="4186" t="str">
        <f>IF(SUM(G20)=0,"NO",G20*3170/1000)</f>
        <v>NO</v>
      </c>
      <c r="H42" s="4186" t="str">
        <f>IF(SUM(H20)=0,"NO",H20*1120/1000)</f>
        <v>NO</v>
      </c>
      <c r="I42" s="4186" t="str">
        <f>IF(SUM(I20)=0,"NO",I20*1300/1000)</f>
        <v>NO</v>
      </c>
      <c r="J42" s="4186" t="str">
        <f>IF(SUM(J20)=0,"NO",J20*328/1000)</f>
        <v>NO</v>
      </c>
      <c r="K42" s="4186" t="str">
        <f>IF(SUM(K20)=0,"NO",K20*4800/1000)</f>
        <v>NO</v>
      </c>
      <c r="L42" s="4186" t="str">
        <f>IF(SUM(L20)=0,"NO",L20*16/1000)</f>
        <v>NO</v>
      </c>
      <c r="M42" s="4186" t="str">
        <f>IF(SUM(M20)=0,"NO",M20*138/1000)</f>
        <v>NO</v>
      </c>
      <c r="N42" s="4186" t="str">
        <f>IF(SUM(N20)=0,"NO",N20*4/1000)</f>
        <v>NO</v>
      </c>
      <c r="O42" s="4186" t="str">
        <f>IF(SUM(O20)=0,"NO",O20*3350/1000)</f>
        <v>NO</v>
      </c>
      <c r="P42" s="4186" t="str">
        <f>IF(SUM(P20)=0,"NO",P20*1210/1000)</f>
        <v>NO</v>
      </c>
      <c r="Q42" s="4186" t="str">
        <f>IF(SUM(Q20)=0,"NO",Q20*1330/1000)</f>
        <v>NO</v>
      </c>
      <c r="R42" s="4186" t="str">
        <f>IF(SUM(R20)=0,"NO",R20*8060/1000)</f>
        <v>NO</v>
      </c>
      <c r="S42" s="4186" t="str">
        <f>IF(SUM(S20)=0,"NO",S20*716/1000)</f>
        <v>NO</v>
      </c>
      <c r="T42" s="4186" t="str">
        <f>IF(SUM(T20)=0,"NO",T20*858/1000)</f>
        <v>NO</v>
      </c>
      <c r="U42" s="4186" t="str">
        <f>IF(SUM(U20)=0,"NO",U20*804/1000)</f>
        <v>NO</v>
      </c>
      <c r="V42" s="4186" t="str">
        <f>IF(SUM(V20)=0,"NO",V20*1/1000)</f>
        <v>NO</v>
      </c>
      <c r="W42" s="4186" t="str">
        <f t="shared" si="73"/>
        <v>NO</v>
      </c>
      <c r="X42" s="4186" t="str">
        <f>IF(SUM(X20)=0,"NO",X20*6630/1000)</f>
        <v>NO</v>
      </c>
      <c r="Y42" s="4186" t="str">
        <f>IF(SUM(Y20)=0,"NO",Y20*11100/1000)</f>
        <v>NO</v>
      </c>
      <c r="Z42" s="4186" t="str">
        <f>IF(SUM(Z20)=0,"NO",Z20*8900/1000)</f>
        <v>NO</v>
      </c>
      <c r="AA42" s="4186" t="str">
        <f>IF(SUM(AA20)=0,"NO",AA20*9200/1000)</f>
        <v>NO</v>
      </c>
      <c r="AB42" s="4186" t="str">
        <f>IF(SUM(AB20)=0,"NO",AB20*9540/1000)</f>
        <v>NO</v>
      </c>
      <c r="AC42" s="4186" t="str">
        <f>IF(SUM(AC20)=0,"NO",AC20*8550/1000)</f>
        <v>NO</v>
      </c>
      <c r="AD42" s="4186" t="str">
        <f>IF(SUM(AD20)=0,"NO",AD20*7910/1000)</f>
        <v>NO</v>
      </c>
      <c r="AE42" s="4186" t="str">
        <f>IF(SUM(AE20)=0,"NO",AE20*7190/1000)</f>
        <v>NO</v>
      </c>
      <c r="AF42" s="4186" t="str">
        <f>IF(SUM(AF20)=0,"NO",AF20*9200/1000)</f>
        <v>NO</v>
      </c>
      <c r="AG42" s="4186" t="str">
        <f>IF(SUM(AG20)=0,"NO",AG20*1/1000)</f>
        <v>NO</v>
      </c>
      <c r="AH42" s="4186" t="str">
        <f t="shared" si="74"/>
        <v>NO</v>
      </c>
      <c r="AI42" s="4187" t="str">
        <f>IF(SUM(AI20)=0,"NO",AI20*1/1000)</f>
        <v>NO</v>
      </c>
      <c r="AJ42" s="4187" t="str">
        <f>IF(SUM(AJ20)=0,"NO",AJ20*23500/1000)</f>
        <v>NO</v>
      </c>
      <c r="AK42" s="4188" t="str">
        <f>IF(SUM(AK20)=0,"NO",AK20*16100/1000)</f>
        <v>NO</v>
      </c>
    </row>
    <row r="43" spans="2:37" ht="18" customHeight="1" x14ac:dyDescent="0.2">
      <c r="B43" s="1294" t="s">
        <v>723</v>
      </c>
      <c r="C43" s="4185">
        <f>IF(SUM(C26)=0,"NO",C26*12400/1000)</f>
        <v>423.94819334680989</v>
      </c>
      <c r="D43" s="4186">
        <f>IF(SUM(D26)=0,"NO",D26*677/1000)</f>
        <v>51.644826147638256</v>
      </c>
      <c r="E43" s="4186" t="str">
        <f>IF(SUM(E26)=0,"NO",E26*116/1000)</f>
        <v>NO</v>
      </c>
      <c r="F43" s="4186" t="str">
        <f>IF(SUM(F26)=0,"NO",F26*1650/1000)</f>
        <v>NO</v>
      </c>
      <c r="G43" s="4186">
        <f>IF(SUM(G26)=0,"NO",G26*3170/1000)</f>
        <v>1052.6801861843544</v>
      </c>
      <c r="H43" s="4186">
        <f>IF(SUM(H26)=0,"NO",H26*1120/1000)</f>
        <v>0.6917591558882733</v>
      </c>
      <c r="I43" s="4186">
        <f>IF(SUM(I26)=0,"NO",I26*1300/1000)</f>
        <v>1547.3940906495204</v>
      </c>
      <c r="J43" s="4186" t="str">
        <f>IF(SUM(J26)=0,"NO",J26*328/1000)</f>
        <v>NO</v>
      </c>
      <c r="K43" s="4186">
        <f>IF(SUM(K26)=0,"NO",K26*4800/1000)</f>
        <v>1509.7337173247047</v>
      </c>
      <c r="L43" s="4186" t="str">
        <f>IF(SUM(L26)=0,"NO",L26*16/1000)</f>
        <v>NO</v>
      </c>
      <c r="M43" s="4186">
        <f>IF(SUM(M26)=0,"NO",M26*138/1000)</f>
        <v>4.6150792970217793</v>
      </c>
      <c r="N43" s="4186" t="str">
        <f>IF(SUM(N26)=0,"NO",N26*4/1000)</f>
        <v>NO</v>
      </c>
      <c r="O43" s="4186">
        <f>IF(SUM(O26)=0,"NO",O26*3350/1000)</f>
        <v>42.98057750541799</v>
      </c>
      <c r="P43" s="4186" t="str">
        <f>IF(SUM(P26)=0,"NO",P26*1210/1000)</f>
        <v>NO</v>
      </c>
      <c r="Q43" s="4186" t="str">
        <f>IF(SUM(Q26)=0,"NO",Q26*1330/1000)</f>
        <v>NO</v>
      </c>
      <c r="R43" s="4186">
        <f>IF(SUM(R26)=0,"NO",R26*8060/1000)</f>
        <v>33.005457074316439</v>
      </c>
      <c r="S43" s="4186" t="str">
        <f>IF(SUM(S26)=0,"NO",S26*716/1000)</f>
        <v>NO</v>
      </c>
      <c r="T43" s="4186">
        <f>IF(SUM(T26)=0,"NO",T26*858/1000)</f>
        <v>21.648261514850802</v>
      </c>
      <c r="U43" s="4186">
        <f>IF(SUM(U26)=0,"NO",U26*804/1000)</f>
        <v>18.034370750819892</v>
      </c>
      <c r="V43" s="4186" t="str">
        <f>IF(SUM(V26)=0,"NO",V26*1/1000)</f>
        <v>NO</v>
      </c>
      <c r="W43" s="4186">
        <f t="shared" si="73"/>
        <v>4706.3765189513433</v>
      </c>
      <c r="X43" s="4186" t="str">
        <f>IF(SUM(X26)=0,"NO",X26*6630/1000)</f>
        <v>NO</v>
      </c>
      <c r="Y43" s="4186" t="str">
        <f>IF(SUM(Y26)=0,"NO",Y26*11100/1000)</f>
        <v>NO</v>
      </c>
      <c r="Z43" s="4186" t="str">
        <f>IF(SUM(Z26)=0,"NO",Z26*8900/1000)</f>
        <v>NO</v>
      </c>
      <c r="AA43" s="4186" t="str">
        <f>IF(SUM(AA26)=0,"NO",AA26*9200/1000)</f>
        <v>NO</v>
      </c>
      <c r="AB43" s="4186" t="str">
        <f>IF(SUM(AB26)=0,"NO",AB26*9540/1000)</f>
        <v>NO</v>
      </c>
      <c r="AC43" s="4186" t="str">
        <f>IF(SUM(AC26)=0,"NO",AC26*8550/1000)</f>
        <v>NO</v>
      </c>
      <c r="AD43" s="4186" t="str">
        <f>IF(SUM(AD26)=0,"NO",AD26*7910/1000)</f>
        <v>NO</v>
      </c>
      <c r="AE43" s="4186" t="str">
        <f>IF(SUM(AE26)=0,"NO",AE26*7190/1000)</f>
        <v>NO</v>
      </c>
      <c r="AF43" s="4186" t="str">
        <f>IF(SUM(AF26)=0,"NO",AF26*9200/1000)</f>
        <v>NO</v>
      </c>
      <c r="AG43" s="4186" t="str">
        <f>IF(SUM(AG26)=0,"NO",AG26*1/1000)</f>
        <v>NO</v>
      </c>
      <c r="AH43" s="4186" t="str">
        <f t="shared" si="74"/>
        <v>NO</v>
      </c>
      <c r="AI43" s="4187" t="str">
        <f>IF(SUM(AI26)=0,"NO",AI26*1/1000)</f>
        <v>NO</v>
      </c>
      <c r="AJ43" s="4187" t="str">
        <f>IF(SUM(AJ26)=0,"NO",AJ26*23500/1000)</f>
        <v>NO</v>
      </c>
      <c r="AK43" s="4188" t="str">
        <f>IF(SUM(AK26)=0,"NO",AK26*16100/1000)</f>
        <v>NO</v>
      </c>
    </row>
    <row r="44" spans="2:37" ht="18" customHeight="1" x14ac:dyDescent="0.2">
      <c r="B44" s="1293" t="s">
        <v>730</v>
      </c>
      <c r="C44" s="4185" t="str">
        <f>IF(SUM(C33)=0,"NO",C33*12400/1000)</f>
        <v>NO</v>
      </c>
      <c r="D44" s="4186" t="str">
        <f>IF(SUM(D33)=0,"NO",D33*677/1000)</f>
        <v>NO</v>
      </c>
      <c r="E44" s="4186" t="str">
        <f>IF(SUM(E33)=0,"NO",E33*116/1000)</f>
        <v>NO</v>
      </c>
      <c r="F44" s="4186" t="str">
        <f>IF(SUM(F33)=0,"NO",F33*1650/1000)</f>
        <v>NO</v>
      </c>
      <c r="G44" s="4186" t="str">
        <f>IF(SUM(G33)=0,"NO",G33*3170/1000)</f>
        <v>NO</v>
      </c>
      <c r="H44" s="4186" t="str">
        <f>IF(SUM(H33)=0,"NO",H33*1120/1000)</f>
        <v>NO</v>
      </c>
      <c r="I44" s="4186" t="str">
        <f>IF(SUM(I33)=0,"NO",I33*1300/1000)</f>
        <v>NO</v>
      </c>
      <c r="J44" s="4186" t="str">
        <f>IF(SUM(J33)=0,"NO",J33*328/1000)</f>
        <v>NO</v>
      </c>
      <c r="K44" s="4186" t="str">
        <f>IF(SUM(K33)=0,"NO",K33*4800/1000)</f>
        <v>NO</v>
      </c>
      <c r="L44" s="4186" t="str">
        <f>IF(SUM(L33)=0,"NO",L33*16/1000)</f>
        <v>NO</v>
      </c>
      <c r="M44" s="4186" t="str">
        <f>IF(SUM(M33)=0,"NO",M33*138/1000)</f>
        <v>NO</v>
      </c>
      <c r="N44" s="4186" t="str">
        <f>IF(SUM(N33)=0,"NO",N33*4/1000)</f>
        <v>NO</v>
      </c>
      <c r="O44" s="4186" t="str">
        <f>IF(SUM(O33)=0,"NO",O33*3350/1000)</f>
        <v>NO</v>
      </c>
      <c r="P44" s="4186" t="str">
        <f>IF(SUM(P33)=0,"NO",P33*1210/1000)</f>
        <v>NO</v>
      </c>
      <c r="Q44" s="4186" t="str">
        <f>IF(SUM(Q33)=0,"NO",Q33*1330/1000)</f>
        <v>NO</v>
      </c>
      <c r="R44" s="4186" t="str">
        <f>IF(SUM(R33)=0,"NO",R33*8060/1000)</f>
        <v>NO</v>
      </c>
      <c r="S44" s="4186" t="str">
        <f>IF(SUM(S33)=0,"NO",S33*716/1000)</f>
        <v>NO</v>
      </c>
      <c r="T44" s="4186" t="str">
        <f>IF(SUM(T33)=0,"NO",T33*858/1000)</f>
        <v>NO</v>
      </c>
      <c r="U44" s="4186" t="str">
        <f>IF(SUM(U33)=0,"NO",U33*804/1000)</f>
        <v>NO</v>
      </c>
      <c r="V44" s="4186" t="str">
        <f>IF(SUM(V33)=0,"NO",V33*1/1000)</f>
        <v>NO</v>
      </c>
      <c r="W44" s="4186" t="str">
        <f t="shared" si="73"/>
        <v>NO</v>
      </c>
      <c r="X44" s="4186" t="str">
        <f>IF(SUM(X33)=0,"NO",X33*6630/1000)</f>
        <v>NO</v>
      </c>
      <c r="Y44" s="4186" t="str">
        <f>IF(SUM(Y33)=0,"NO",Y33*11100/1000)</f>
        <v>NO</v>
      </c>
      <c r="Z44" s="4186" t="str">
        <f>IF(SUM(Z33)=0,"NO",Z33*8900/1000)</f>
        <v>NO</v>
      </c>
      <c r="AA44" s="4186" t="str">
        <f>IF(SUM(AA33)=0,"NO",AA33*9200/1000)</f>
        <v>NO</v>
      </c>
      <c r="AB44" s="4186" t="str">
        <f>IF(SUM(AB33)=0,"NO",AB33*9540/1000)</f>
        <v>NO</v>
      </c>
      <c r="AC44" s="4186" t="str">
        <f>IF(SUM(AC33)=0,"NO",AC33*8550/1000)</f>
        <v>NO</v>
      </c>
      <c r="AD44" s="4186" t="str">
        <f>IF(SUM(AD33)=0,"NO",AD33*7910/1000)</f>
        <v>NO</v>
      </c>
      <c r="AE44" s="4186" t="str">
        <f>IF(SUM(AE33)=0,"NO",AE33*7190/1000)</f>
        <v>NO</v>
      </c>
      <c r="AF44" s="4186" t="str">
        <f>IF(SUM(AF33)=0,"NO",AF33*9200/1000)</f>
        <v>NO</v>
      </c>
      <c r="AG44" s="4186" t="str">
        <f>IF(SUM(AG33)=0,"NO",AG33*1/1000)</f>
        <v>NO</v>
      </c>
      <c r="AH44" s="4186" t="str">
        <f t="shared" si="74"/>
        <v>NO</v>
      </c>
      <c r="AI44" s="4187" t="str">
        <f>IF(SUM(AI33)=0,"NO",AI33*1/1000)</f>
        <v>NO</v>
      </c>
      <c r="AJ44" s="4187">
        <f>IF(SUM(AJ33)=0,"NO",AJ33*23500/1000)</f>
        <v>180.50437484164183</v>
      </c>
      <c r="AK44" s="4188" t="str">
        <f>IF(SUM(AK33)=0,"NO",AK33*16100/1000)</f>
        <v>NO</v>
      </c>
    </row>
    <row r="45" spans="2:37" ht="18" customHeight="1" thickBot="1" x14ac:dyDescent="0.25">
      <c r="B45" s="1295" t="s">
        <v>734</v>
      </c>
      <c r="C45" s="4190" t="str">
        <f>IF(SUM(C37)=0,"NO",C37*12400/1000)</f>
        <v>NO</v>
      </c>
      <c r="D45" s="4191" t="str">
        <f>IF(SUM(D37)=0,"NO",D37*677/1000)</f>
        <v>NO</v>
      </c>
      <c r="E45" s="4191" t="str">
        <f>IF(SUM(E37)=0,"NO",E37*116/1000)</f>
        <v>NO</v>
      </c>
      <c r="F45" s="4191" t="str">
        <f>IF(SUM(F37)=0,"NO",F37*1650/1000)</f>
        <v>NO</v>
      </c>
      <c r="G45" s="4191" t="str">
        <f>IF(SUM(G37)=0,"NO",G37*3170/1000)</f>
        <v>NO</v>
      </c>
      <c r="H45" s="4191" t="str">
        <f>IF(SUM(H37)=0,"NO",H37*1120/1000)</f>
        <v>NO</v>
      </c>
      <c r="I45" s="4191" t="str">
        <f>IF(SUM(I37)=0,"NO",I37*1300/1000)</f>
        <v>NO</v>
      </c>
      <c r="J45" s="4191" t="str">
        <f>IF(SUM(J37)=0,"NO",J37*328/1000)</f>
        <v>NO</v>
      </c>
      <c r="K45" s="4191" t="str">
        <f>IF(SUM(K37)=0,"NO",K37*4800/1000)</f>
        <v>NO</v>
      </c>
      <c r="L45" s="4191" t="str">
        <f>IF(SUM(L37)=0,"NO",L37*16/1000)</f>
        <v>NO</v>
      </c>
      <c r="M45" s="4191" t="str">
        <f>IF(SUM(M37)=0,"NO",M37*138/1000)</f>
        <v>NO</v>
      </c>
      <c r="N45" s="4191" t="str">
        <f>IF(SUM(N37)=0,"NO",N37*4/1000)</f>
        <v>NO</v>
      </c>
      <c r="O45" s="4191" t="str">
        <f>IF(SUM(O37)=0,"NO",O37*3350/1000)</f>
        <v>NO</v>
      </c>
      <c r="P45" s="4191" t="str">
        <f>IF(SUM(P37)=0,"NO",P37*1210/1000)</f>
        <v>NO</v>
      </c>
      <c r="Q45" s="4191" t="str">
        <f>IF(SUM(Q37)=0,"NO",Q37*1330/1000)</f>
        <v>NO</v>
      </c>
      <c r="R45" s="4191" t="str">
        <f>IF(SUM(R37)=0,"NO",R37*8060/1000)</f>
        <v>NO</v>
      </c>
      <c r="S45" s="4191" t="str">
        <f>IF(SUM(S37)=0,"NO",S37*716/1000)</f>
        <v>NO</v>
      </c>
      <c r="T45" s="4191" t="str">
        <f>IF(SUM(T37)=0,"NO",T37*858/1000)</f>
        <v>NO</v>
      </c>
      <c r="U45" s="4191" t="str">
        <f>IF(SUM(U37)=0,"NO",U37*804/1000)</f>
        <v>NO</v>
      </c>
      <c r="V45" s="4191" t="str">
        <f>IF(SUM(V37)=0,"NO",V37*1/1000)</f>
        <v>NO</v>
      </c>
      <c r="W45" s="4191" t="str">
        <f t="shared" si="73"/>
        <v>NO</v>
      </c>
      <c r="X45" s="4191" t="str">
        <f>IF(SUM(X37)=0,"NO",X37*6630/1000)</f>
        <v>NO</v>
      </c>
      <c r="Y45" s="4191" t="str">
        <f>IF(SUM(Y37)=0,"NO",Y37*11100/1000)</f>
        <v>NO</v>
      </c>
      <c r="Z45" s="4191" t="str">
        <f>IF(SUM(Z37)=0,"NO",Z37*8900/1000)</f>
        <v>NO</v>
      </c>
      <c r="AA45" s="4191" t="str">
        <f>IF(SUM(AA37)=0,"NO",AA37*9200/1000)</f>
        <v>NO</v>
      </c>
      <c r="AB45" s="4191" t="str">
        <f>IF(SUM(AB37)=0,"NO",AB37*9540/1000)</f>
        <v>NO</v>
      </c>
      <c r="AC45" s="4191" t="str">
        <f>IF(SUM(AC37)=0,"NO",AC37*8550/1000)</f>
        <v>NO</v>
      </c>
      <c r="AD45" s="4191" t="str">
        <f>IF(SUM(AD37)=0,"NO",AD37*7910/1000)</f>
        <v>NO</v>
      </c>
      <c r="AE45" s="4191" t="str">
        <f>IF(SUM(AE37)=0,"NO",AE37*7190/1000)</f>
        <v>NO</v>
      </c>
      <c r="AF45" s="4191" t="str">
        <f>IF(SUM(AF37)=0,"NO",AF37*9200/1000)</f>
        <v>NO</v>
      </c>
      <c r="AG45" s="4191" t="str">
        <f>IF(SUM(AG37)=0,"NO",AG37*1/1000)</f>
        <v>NO</v>
      </c>
      <c r="AH45" s="4191" t="str">
        <f t="shared" si="74"/>
        <v>NO</v>
      </c>
      <c r="AI45" s="4192" t="str">
        <f>IF(SUM(AI37)=0,"NO",AI37*1/1000)</f>
        <v>NO</v>
      </c>
      <c r="AJ45" s="4192" t="str">
        <f>IF(SUM(AJ37)=0,"NO",AJ37*23500/1000)</f>
        <v>NO</v>
      </c>
      <c r="AK45" s="4193"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3"/>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4"/>
      <c r="C56" s="2115"/>
      <c r="D56" s="2115"/>
      <c r="E56" s="2115"/>
      <c r="F56" s="2115"/>
      <c r="G56" s="2115"/>
      <c r="H56" s="2115"/>
      <c r="I56" s="2115"/>
      <c r="J56" s="2115"/>
      <c r="K56" s="2115"/>
      <c r="L56" s="2115"/>
      <c r="M56" s="2115"/>
      <c r="N56" s="2115"/>
      <c r="O56" s="2115"/>
      <c r="P56" s="2115"/>
      <c r="Q56" s="2115"/>
      <c r="R56" s="2115"/>
      <c r="S56" s="2115"/>
      <c r="T56" s="2115"/>
      <c r="U56" s="2115"/>
      <c r="V56" s="2115"/>
      <c r="W56" s="2115"/>
      <c r="X56" s="2115"/>
      <c r="Y56" s="2115"/>
      <c r="Z56" s="2115"/>
      <c r="AA56" s="2115"/>
      <c r="AB56" s="2115"/>
      <c r="AC56" s="2115"/>
      <c r="AD56" s="2115"/>
      <c r="AE56" s="2115"/>
      <c r="AF56" s="2115"/>
      <c r="AG56" s="2115"/>
      <c r="AH56" s="2115"/>
      <c r="AI56" s="2115"/>
      <c r="AJ56" s="2115"/>
      <c r="AK56" s="2116"/>
    </row>
    <row r="57" spans="2:37" s="83" customFormat="1" ht="12" customHeight="1" x14ac:dyDescent="0.2">
      <c r="B57" s="2114"/>
      <c r="C57" s="2115"/>
      <c r="D57" s="2115"/>
      <c r="E57" s="2115"/>
      <c r="F57" s="2115"/>
      <c r="G57" s="2115"/>
      <c r="H57" s="2115"/>
      <c r="I57" s="2115"/>
      <c r="J57" s="2115"/>
      <c r="K57" s="2115"/>
      <c r="L57" s="2115"/>
      <c r="M57" s="2115"/>
      <c r="N57" s="2115"/>
      <c r="O57" s="2115"/>
      <c r="P57" s="2115"/>
      <c r="Q57" s="2115"/>
      <c r="R57" s="2115"/>
      <c r="S57" s="2115"/>
      <c r="T57" s="2115"/>
      <c r="U57" s="2115"/>
      <c r="V57" s="2115"/>
      <c r="W57" s="2115"/>
      <c r="X57" s="2115"/>
      <c r="Y57" s="2115"/>
      <c r="Z57" s="2115"/>
      <c r="AA57" s="2115"/>
      <c r="AB57" s="2115"/>
      <c r="AC57" s="2115"/>
      <c r="AD57" s="2115"/>
      <c r="AE57" s="2115"/>
      <c r="AF57" s="2115"/>
      <c r="AG57" s="2115"/>
      <c r="AH57" s="2115"/>
      <c r="AI57" s="2115"/>
      <c r="AJ57" s="2115"/>
      <c r="AK57" s="2116"/>
    </row>
    <row r="58" spans="2:37" s="83" customFormat="1" ht="12" customHeight="1" x14ac:dyDescent="0.2">
      <c r="B58" s="2114"/>
      <c r="C58" s="2115"/>
      <c r="D58" s="2115"/>
      <c r="E58" s="2115"/>
      <c r="F58" s="2115"/>
      <c r="G58" s="2115"/>
      <c r="H58" s="2115"/>
      <c r="I58" s="2115"/>
      <c r="J58" s="2115"/>
      <c r="K58" s="2115"/>
      <c r="L58" s="2115"/>
      <c r="M58" s="2115"/>
      <c r="N58" s="2115"/>
      <c r="O58" s="2115"/>
      <c r="P58" s="2115"/>
      <c r="Q58" s="2115"/>
      <c r="R58" s="2115"/>
      <c r="S58" s="2115"/>
      <c r="T58" s="2115"/>
      <c r="U58" s="2115"/>
      <c r="V58" s="2115"/>
      <c r="W58" s="2115"/>
      <c r="X58" s="2115"/>
      <c r="Y58" s="2115"/>
      <c r="Z58" s="2115"/>
      <c r="AA58" s="2115"/>
      <c r="AB58" s="2115"/>
      <c r="AC58" s="2115"/>
      <c r="AD58" s="2115"/>
      <c r="AE58" s="2115"/>
      <c r="AF58" s="2115"/>
      <c r="AG58" s="2115"/>
      <c r="AH58" s="2115"/>
      <c r="AI58" s="2115"/>
      <c r="AJ58" s="2115"/>
      <c r="AK58" s="2116"/>
    </row>
    <row r="59" spans="2:37" s="83" customFormat="1" ht="12" customHeight="1" thickBot="1" x14ac:dyDescent="0.25">
      <c r="B59" s="2117"/>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workbookViewId="0">
      <selection activeCell="C90" sqref="C90"/>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2460</v>
      </c>
    </row>
    <row r="2" spans="2:14" ht="17.25" customHeight="1" x14ac:dyDescent="0.3">
      <c r="B2" s="215" t="s">
        <v>738</v>
      </c>
      <c r="N2" s="14" t="s">
        <v>2461</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9"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8" t="s">
        <v>165</v>
      </c>
      <c r="F8" s="2118" t="s">
        <v>166</v>
      </c>
      <c r="G8" s="2118" t="s">
        <v>167</v>
      </c>
      <c r="H8" s="2119" t="s">
        <v>165</v>
      </c>
      <c r="I8" s="2119" t="s">
        <v>166</v>
      </c>
      <c r="J8" s="2120" t="s">
        <v>167</v>
      </c>
      <c r="K8" s="1839" t="s">
        <v>743</v>
      </c>
      <c r="L8" s="1839" t="s">
        <v>744</v>
      </c>
      <c r="M8" s="1840" t="s">
        <v>166</v>
      </c>
      <c r="N8" s="1841" t="s">
        <v>167</v>
      </c>
    </row>
    <row r="9" spans="2:14" ht="15" customHeight="1" thickBot="1" x14ac:dyDescent="0.25">
      <c r="B9" s="2121"/>
      <c r="C9" s="266" t="s">
        <v>745</v>
      </c>
      <c r="D9" s="267" t="s">
        <v>171</v>
      </c>
      <c r="E9" s="2122" t="s">
        <v>746</v>
      </c>
      <c r="F9" s="2123"/>
      <c r="G9" s="2123"/>
      <c r="H9" s="1751" t="s">
        <v>171</v>
      </c>
      <c r="I9" s="342"/>
      <c r="J9" s="1775"/>
      <c r="K9" s="342" t="s">
        <v>171</v>
      </c>
      <c r="L9" s="342"/>
      <c r="M9" s="342"/>
      <c r="N9" s="343"/>
    </row>
    <row r="10" spans="2:14" ht="18" customHeight="1" thickTop="1" x14ac:dyDescent="0.2">
      <c r="B10" s="1275" t="s">
        <v>747</v>
      </c>
      <c r="C10" s="2124"/>
      <c r="D10" s="3708"/>
      <c r="E10" s="2160"/>
      <c r="F10" s="2160"/>
      <c r="G10" s="3709"/>
      <c r="H10" s="3161">
        <f>IF(SUM(H11:H14)=0,"IE",SUM(H11:H14))</f>
        <v>6985.4738057376535</v>
      </c>
      <c r="I10" s="615"/>
      <c r="J10" s="615"/>
      <c r="K10" s="3161" t="str">
        <f>IF(SUM(K11:K14)=0,"NO",SUM(K11:K14))</f>
        <v>NO</v>
      </c>
      <c r="L10" s="3161" t="str">
        <f>IF(SUM(L11:L14)=0,"NO",SUM(L11:L14))</f>
        <v>NO</v>
      </c>
      <c r="M10" s="615"/>
      <c r="N10" s="1842"/>
    </row>
    <row r="11" spans="2:14" ht="18" customHeight="1" x14ac:dyDescent="0.2">
      <c r="B11" s="286" t="s">
        <v>748</v>
      </c>
      <c r="C11" s="2126" t="s">
        <v>749</v>
      </c>
      <c r="D11" s="699">
        <v>7254.0676841176455</v>
      </c>
      <c r="E11" s="1938">
        <f>IF(SUM($D11)=0,"NA",H11/$D11)</f>
        <v>0.54749247141096713</v>
      </c>
      <c r="F11" s="615"/>
      <c r="G11" s="615"/>
      <c r="H11" s="3149">
        <v>3971.5474441600004</v>
      </c>
      <c r="I11" s="615"/>
      <c r="J11" s="615"/>
      <c r="K11" s="3149" t="s">
        <v>199</v>
      </c>
      <c r="L11" s="699" t="s">
        <v>199</v>
      </c>
      <c r="M11" s="615"/>
      <c r="N11" s="1842"/>
    </row>
    <row r="12" spans="2:14" ht="18" customHeight="1" x14ac:dyDescent="0.2">
      <c r="B12" s="286" t="s">
        <v>750</v>
      </c>
      <c r="C12" s="2127" t="s">
        <v>751</v>
      </c>
      <c r="D12" s="699">
        <v>1631.5379569409999</v>
      </c>
      <c r="E12" s="1938">
        <f>IF(SUM($D12)=0,"NA",H12/$D12)</f>
        <v>0.7510648114479096</v>
      </c>
      <c r="F12" s="615"/>
      <c r="G12" s="615"/>
      <c r="H12" s="3149">
        <v>1225.3907479999998</v>
      </c>
      <c r="I12" s="615"/>
      <c r="J12" s="615"/>
      <c r="K12" s="3149" t="s">
        <v>199</v>
      </c>
      <c r="L12" s="699" t="s">
        <v>199</v>
      </c>
      <c r="M12" s="615"/>
      <c r="N12" s="1842"/>
    </row>
    <row r="13" spans="2:14" ht="18" customHeight="1" x14ac:dyDescent="0.2">
      <c r="B13" s="286" t="s">
        <v>752</v>
      </c>
      <c r="C13" s="2127" t="s">
        <v>753</v>
      </c>
      <c r="D13" s="699">
        <v>291.89015470707074</v>
      </c>
      <c r="E13" s="1938">
        <f>IF(SUM($D13)=0,"NA",H13/$D13)</f>
        <v>0.3957389999999999</v>
      </c>
      <c r="F13" s="615"/>
      <c r="G13" s="615"/>
      <c r="H13" s="3149">
        <v>115.51231793362143</v>
      </c>
      <c r="I13" s="615"/>
      <c r="J13" s="615"/>
      <c r="K13" s="3149" t="s">
        <v>199</v>
      </c>
      <c r="L13" s="699" t="s">
        <v>199</v>
      </c>
      <c r="M13" s="615"/>
      <c r="N13" s="1842"/>
    </row>
    <row r="14" spans="2:14" ht="18" customHeight="1" x14ac:dyDescent="0.2">
      <c r="B14" s="286" t="s">
        <v>754</v>
      </c>
      <c r="C14" s="2128"/>
      <c r="D14" s="1885"/>
      <c r="E14" s="1885"/>
      <c r="F14" s="615"/>
      <c r="G14" s="615"/>
      <c r="H14" s="3162">
        <f>IF(SUM(H15:H18)=0,"IE",SUM(H15:H18))</f>
        <v>1673.0232956440325</v>
      </c>
      <c r="I14" s="615"/>
      <c r="J14" s="615"/>
      <c r="K14" s="3162" t="str">
        <f>IF(SUM(K15:K18)=0,"NO",SUM(K15:K18))</f>
        <v>NO</v>
      </c>
      <c r="L14" s="3162" t="str">
        <f>IF(SUM(L15:L18)=0,"NO",SUM(L15:L18))</f>
        <v>NO</v>
      </c>
      <c r="M14" s="615"/>
      <c r="N14" s="1842"/>
    </row>
    <row r="15" spans="2:14" ht="18" customHeight="1" x14ac:dyDescent="0.2">
      <c r="B15" s="160" t="s">
        <v>755</v>
      </c>
      <c r="C15" s="4256" t="s">
        <v>205</v>
      </c>
      <c r="D15" s="4255" t="s">
        <v>205</v>
      </c>
      <c r="E15" s="1938" t="str">
        <f>IF(SUM($D15)=0,"NA",H15/$D15)</f>
        <v>NA</v>
      </c>
      <c r="F15" s="615"/>
      <c r="G15" s="615"/>
      <c r="H15" s="3149">
        <v>33.306941171313341</v>
      </c>
      <c r="I15" s="615"/>
      <c r="J15" s="615"/>
      <c r="K15" s="3149" t="s">
        <v>199</v>
      </c>
      <c r="L15" s="699" t="s">
        <v>199</v>
      </c>
      <c r="M15" s="615"/>
      <c r="N15" s="1842"/>
    </row>
    <row r="16" spans="2:14" ht="18" customHeight="1" x14ac:dyDescent="0.2">
      <c r="B16" s="160" t="s">
        <v>756</v>
      </c>
      <c r="C16" s="474" t="s">
        <v>757</v>
      </c>
      <c r="D16" s="2917">
        <v>457.52451998800001</v>
      </c>
      <c r="E16" s="1938">
        <f>IF(SUM($D16)=0,"NA",H16/$D16)</f>
        <v>0.41491999999999996</v>
      </c>
      <c r="F16" s="615"/>
      <c r="G16" s="615"/>
      <c r="H16" s="3149">
        <v>189.83607383342095</v>
      </c>
      <c r="I16" s="615"/>
      <c r="J16" s="615"/>
      <c r="K16" s="3149" t="s">
        <v>199</v>
      </c>
      <c r="L16" s="699" t="s">
        <v>199</v>
      </c>
      <c r="M16" s="615"/>
      <c r="N16" s="1842"/>
    </row>
    <row r="17" spans="2:14" ht="18" customHeight="1" x14ac:dyDescent="0.2">
      <c r="B17" s="1276" t="s">
        <v>758</v>
      </c>
      <c r="C17" s="474" t="s">
        <v>349</v>
      </c>
      <c r="D17" s="2917" t="s">
        <v>759</v>
      </c>
      <c r="E17" s="1938" t="str">
        <f>IF(SUM($D17)=0,"NA",H17/$D17)</f>
        <v>NA</v>
      </c>
      <c r="F17" s="615"/>
      <c r="G17" s="615"/>
      <c r="H17" s="3149" t="s">
        <v>274</v>
      </c>
      <c r="I17" s="615"/>
      <c r="J17" s="615"/>
      <c r="K17" s="3149" t="s">
        <v>199</v>
      </c>
      <c r="L17" s="699" t="s">
        <v>199</v>
      </c>
      <c r="M17" s="615"/>
      <c r="N17" s="1842"/>
    </row>
    <row r="18" spans="2:14" ht="18" customHeight="1" x14ac:dyDescent="0.2">
      <c r="B18" s="160" t="s">
        <v>760</v>
      </c>
      <c r="C18" s="2128"/>
      <c r="D18" s="1885"/>
      <c r="E18" s="1885"/>
      <c r="F18" s="615"/>
      <c r="G18" s="615"/>
      <c r="H18" s="3150">
        <f>SUM(H19:H21)</f>
        <v>1449.8802806392982</v>
      </c>
      <c r="I18" s="615"/>
      <c r="J18" s="615"/>
      <c r="K18" s="3150" t="str">
        <f>K19</f>
        <v>NO</v>
      </c>
      <c r="L18" s="3162" t="str">
        <f>L19</f>
        <v>NO</v>
      </c>
      <c r="M18" s="615"/>
      <c r="N18" s="1842"/>
    </row>
    <row r="19" spans="2:14" ht="18" customHeight="1" x14ac:dyDescent="0.2">
      <c r="B19" s="3151" t="s">
        <v>761</v>
      </c>
      <c r="C19" s="474" t="s">
        <v>753</v>
      </c>
      <c r="D19" s="2917">
        <v>2309.8520000000003</v>
      </c>
      <c r="E19" s="1938">
        <f>IF(SUM($D19)=0,"NA",H19/$D19)</f>
        <v>0.41190904838621689</v>
      </c>
      <c r="F19" s="615"/>
      <c r="G19" s="615"/>
      <c r="H19" s="3149">
        <v>951.44893923300003</v>
      </c>
      <c r="I19" s="615"/>
      <c r="J19" s="615"/>
      <c r="K19" s="3149" t="s">
        <v>199</v>
      </c>
      <c r="L19" s="3149" t="s">
        <v>199</v>
      </c>
      <c r="M19" s="615"/>
      <c r="N19" s="1842"/>
    </row>
    <row r="20" spans="2:14" ht="18" customHeight="1" x14ac:dyDescent="0.2">
      <c r="B20" s="3152" t="s">
        <v>762</v>
      </c>
      <c r="C20" s="474" t="s">
        <v>753</v>
      </c>
      <c r="D20" s="2917">
        <v>466.9499392342002</v>
      </c>
      <c r="E20" s="1938">
        <f>IF(SUM($D20)=0,"NA",H20/$D20)</f>
        <v>0.51250483947131653</v>
      </c>
      <c r="F20" s="615"/>
      <c r="G20" s="615"/>
      <c r="H20" s="3149">
        <v>239.31410364836478</v>
      </c>
      <c r="I20" s="615"/>
      <c r="J20" s="615"/>
      <c r="K20" s="3149" t="s">
        <v>199</v>
      </c>
      <c r="L20" s="3149" t="s">
        <v>199</v>
      </c>
      <c r="M20" s="2161"/>
      <c r="N20" s="2174"/>
    </row>
    <row r="21" spans="2:14" ht="18" customHeight="1" thickBot="1" x14ac:dyDescent="0.25">
      <c r="B21" s="3152" t="s">
        <v>763</v>
      </c>
      <c r="C21" s="474" t="s">
        <v>753</v>
      </c>
      <c r="D21" s="2917">
        <v>614.1061514999999</v>
      </c>
      <c r="E21" s="1938">
        <f>IF(SUM($D21)=0,"NA",H21/$D21)</f>
        <v>0.42194209767321234</v>
      </c>
      <c r="F21" s="615"/>
      <c r="G21" s="615"/>
      <c r="H21" s="3149">
        <v>259.11723775793348</v>
      </c>
      <c r="I21" s="615"/>
      <c r="J21" s="615"/>
      <c r="K21" s="3149" t="s">
        <v>199</v>
      </c>
      <c r="L21" s="3149" t="s">
        <v>199</v>
      </c>
      <c r="M21" s="2161"/>
      <c r="N21" s="2174"/>
    </row>
    <row r="22" spans="2:14" ht="18" customHeight="1" x14ac:dyDescent="0.2">
      <c r="B22" s="1277" t="s">
        <v>764</v>
      </c>
      <c r="C22" s="2129"/>
      <c r="D22" s="3033"/>
      <c r="E22" s="3060"/>
      <c r="F22" s="1955"/>
      <c r="G22" s="1956"/>
      <c r="H22" s="3046">
        <f>IF(SUM(H23:H26,H30,H33:H35,H47)=0,"IE",SUM(H23:H26,H30,H33:H35,H47))</f>
        <v>4015.7436099825823</v>
      </c>
      <c r="I22" s="3046">
        <f>IF(SUM(I23:I26,I30,I33:I35,I47)=0,"IE",SUM(I23:I26,I30,I33:I35,I47))</f>
        <v>0.57348379999999999</v>
      </c>
      <c r="J22" s="3046">
        <f>IF(SUM(J23:J26,J30,J33:J35,J47)=0,"IE",SUM(J23:J26,J30,J33:J35,J47))</f>
        <v>9.1940933223425514</v>
      </c>
      <c r="K22" s="3046">
        <f>IF(SUM(K23:K26,K30,K33:K35,K47)=0,"NO",SUM(K23:K26,K30,K33:K35,K47))</f>
        <v>-179.17</v>
      </c>
      <c r="L22" s="3046" t="str">
        <f>IF(SUM(L23:L26,L30,L33:L35,L47)=0,"NO",SUM(L23:L26,L30,L33:L35,L47))</f>
        <v>NO</v>
      </c>
      <c r="M22" s="3046" t="str">
        <f>IF(SUM(M23:M26,M30,M33:M35,M47)=0,"NO",SUM(M23:M26,M30,M33:M35,M47))</f>
        <v>NO</v>
      </c>
      <c r="N22" s="442" t="str">
        <f>IF(SUM(N23:N26,N30,N33:N35,N47)=0,"NO",SUM(N23:N26,N30,N33:N35,N47))</f>
        <v>NO</v>
      </c>
    </row>
    <row r="23" spans="2:14" ht="18" customHeight="1" x14ac:dyDescent="0.2">
      <c r="B23" s="286" t="s">
        <v>765</v>
      </c>
      <c r="C23" s="474" t="s">
        <v>349</v>
      </c>
      <c r="D23" s="699">
        <v>1708.3977498940715</v>
      </c>
      <c r="E23" s="1938">
        <f>IF(SUM($D23)=0,"NA",(H23-K23)/$D23)</f>
        <v>1.4818034503100619</v>
      </c>
      <c r="F23" s="1938" t="str">
        <f>IFERROR(IF(SUM($D23)=0,"NA",I23/$D23),"NA")</f>
        <v>NA</v>
      </c>
      <c r="G23" s="1938" t="str">
        <f>IFERROR(IF(SUM($D23)=0,"NA",J23/$D23),"NA")</f>
        <v>NA</v>
      </c>
      <c r="H23" s="699">
        <v>2352.339680294981</v>
      </c>
      <c r="I23" s="699" t="s">
        <v>199</v>
      </c>
      <c r="J23" s="699" t="s">
        <v>199</v>
      </c>
      <c r="K23" s="3149">
        <v>-179.17</v>
      </c>
      <c r="L23" s="699" t="s">
        <v>199</v>
      </c>
      <c r="M23" s="699" t="s">
        <v>199</v>
      </c>
      <c r="N23" s="2921" t="s">
        <v>199</v>
      </c>
    </row>
    <row r="24" spans="2:14" ht="18" customHeight="1" x14ac:dyDescent="0.2">
      <c r="B24" s="286" t="s">
        <v>766</v>
      </c>
      <c r="C24" s="474" t="s">
        <v>349</v>
      </c>
      <c r="D24" s="699">
        <v>992.30192277614867</v>
      </c>
      <c r="E24" s="2135"/>
      <c r="F24" s="2135"/>
      <c r="G24" s="1938">
        <f>IF(SUM($D24)=0,"NA",J24/$D24)</f>
        <v>9.2654192351259088E-3</v>
      </c>
      <c r="H24" s="2135"/>
      <c r="I24" s="2135"/>
      <c r="J24" s="699">
        <v>9.1940933223425514</v>
      </c>
      <c r="K24" s="3163"/>
      <c r="L24" s="2135"/>
      <c r="M24" s="2135"/>
      <c r="N24" s="2921" t="s">
        <v>199</v>
      </c>
    </row>
    <row r="25" spans="2:14" ht="18" customHeight="1" x14ac:dyDescent="0.2">
      <c r="B25" s="286" t="s">
        <v>767</v>
      </c>
      <c r="C25" s="474"/>
      <c r="D25" s="699" t="s">
        <v>199</v>
      </c>
      <c r="E25" s="1938" t="str">
        <f>IF(SUM($D25)=0,"NA",H25/$D25)</f>
        <v>NA</v>
      </c>
      <c r="F25" s="615"/>
      <c r="G25" s="1938" t="str">
        <f>IF(SUM($D25)=0,"NA",J25/$D25)</f>
        <v>NA</v>
      </c>
      <c r="H25" s="3120" t="s">
        <v>199</v>
      </c>
      <c r="I25" s="615"/>
      <c r="J25" s="699" t="s">
        <v>199</v>
      </c>
      <c r="K25" s="3164" t="s">
        <v>199</v>
      </c>
      <c r="L25" s="3120" t="s">
        <v>199</v>
      </c>
      <c r="M25" s="615"/>
      <c r="N25" s="2921" t="s">
        <v>199</v>
      </c>
    </row>
    <row r="26" spans="2:14" ht="18" customHeight="1" x14ac:dyDescent="0.2">
      <c r="B26" s="1278" t="s">
        <v>768</v>
      </c>
      <c r="C26" s="2128"/>
      <c r="D26" s="1885"/>
      <c r="E26" s="2135"/>
      <c r="F26" s="2135"/>
      <c r="G26" s="3097"/>
      <c r="H26" s="3165" t="str">
        <f>IF(SUM(H27:H29)=0,H27,SUM(H27:H29))</f>
        <v>NO</v>
      </c>
      <c r="I26" s="615"/>
      <c r="J26" s="3165" t="str">
        <f>IF(SUM(J27:J29)=0,J27,SUM(J27:J29))</f>
        <v>NO</v>
      </c>
      <c r="K26" s="3165" t="str">
        <f>IF(SUM(K27:K29)=0,K27,SUM(K27:K29))</f>
        <v>NO</v>
      </c>
      <c r="L26" s="3165" t="str">
        <f>IF(SUM(L27:L29)=0,L27,SUM(L27:L29))</f>
        <v>NO</v>
      </c>
      <c r="M26" s="615"/>
      <c r="N26" s="3166" t="str">
        <f>IF(SUM(N27:N29)=0,N27,SUM(N27:N29))</f>
        <v>NO</v>
      </c>
    </row>
    <row r="27" spans="2:14" ht="18" customHeight="1" x14ac:dyDescent="0.2">
      <c r="B27" s="160" t="s">
        <v>769</v>
      </c>
      <c r="C27" s="2127"/>
      <c r="D27" s="699" t="s">
        <v>199</v>
      </c>
      <c r="E27" s="1938" t="str">
        <f t="shared" ref="E27:E34" si="0">IF(SUM($D27)=0,"NA",H27/$D27)</f>
        <v>NA</v>
      </c>
      <c r="F27" s="615"/>
      <c r="G27" s="1938" t="str">
        <f>IF(SUM($D27)=0,"NA",J27/$D27)</f>
        <v>NA</v>
      </c>
      <c r="H27" s="699" t="s">
        <v>199</v>
      </c>
      <c r="I27" s="615"/>
      <c r="J27" s="699" t="s">
        <v>199</v>
      </c>
      <c r="K27" s="699" t="s">
        <v>199</v>
      </c>
      <c r="L27" s="699" t="s">
        <v>199</v>
      </c>
      <c r="M27" s="615"/>
      <c r="N27" s="2921" t="s">
        <v>199</v>
      </c>
    </row>
    <row r="28" spans="2:14" ht="18" customHeight="1" x14ac:dyDescent="0.2">
      <c r="B28" s="160" t="s">
        <v>770</v>
      </c>
      <c r="C28" s="2127"/>
      <c r="D28" s="699" t="s">
        <v>199</v>
      </c>
      <c r="E28" s="1938" t="str">
        <f t="shared" si="0"/>
        <v>NA</v>
      </c>
      <c r="F28" s="615"/>
      <c r="G28" s="1938" t="str">
        <f>IF(SUM($D28)=0,"NA",J28/$D28)</f>
        <v>NA</v>
      </c>
      <c r="H28" s="699" t="s">
        <v>199</v>
      </c>
      <c r="I28" s="615"/>
      <c r="J28" s="699" t="s">
        <v>199</v>
      </c>
      <c r="K28" s="699" t="s">
        <v>199</v>
      </c>
      <c r="L28" s="699" t="s">
        <v>199</v>
      </c>
      <c r="M28" s="615"/>
      <c r="N28" s="2921" t="s">
        <v>199</v>
      </c>
    </row>
    <row r="29" spans="2:14" ht="18" customHeight="1" x14ac:dyDescent="0.2">
      <c r="B29" s="160" t="s">
        <v>771</v>
      </c>
      <c r="C29" s="2127"/>
      <c r="D29" s="699" t="s">
        <v>199</v>
      </c>
      <c r="E29" s="1938" t="str">
        <f t="shared" si="0"/>
        <v>NA</v>
      </c>
      <c r="F29" s="615"/>
      <c r="G29" s="1938" t="str">
        <f>IF(SUM($D29)=0,"NA",J29/$D29)</f>
        <v>NA</v>
      </c>
      <c r="H29" s="699" t="s">
        <v>199</v>
      </c>
      <c r="I29" s="615"/>
      <c r="J29" s="699" t="s">
        <v>199</v>
      </c>
      <c r="K29" s="699" t="s">
        <v>199</v>
      </c>
      <c r="L29" s="699" t="s">
        <v>199</v>
      </c>
      <c r="M29" s="615"/>
      <c r="N29" s="2921" t="s">
        <v>199</v>
      </c>
    </row>
    <row r="30" spans="2:14" ht="18" customHeight="1" x14ac:dyDescent="0.2">
      <c r="B30" s="286" t="s">
        <v>631</v>
      </c>
      <c r="C30" s="2128"/>
      <c r="D30" s="1885"/>
      <c r="E30" s="3075"/>
      <c r="F30" s="3075"/>
      <c r="G30" s="3075"/>
      <c r="H30" s="3165" t="str">
        <f>IF(SUM(H31:H32)=0,H32,SUM(H31:H32))</f>
        <v>IE</v>
      </c>
      <c r="I30" s="3165" t="str">
        <f>IF(SUM(I31:I32)=0,I32,SUM(I31:I32))</f>
        <v>NO</v>
      </c>
      <c r="J30" s="615" t="s">
        <v>415</v>
      </c>
      <c r="K30" s="3165" t="str">
        <f>IF(SUM(K31:K32)=0,K32,SUM(K31:K32))</f>
        <v>NO</v>
      </c>
      <c r="L30" s="3165" t="str">
        <f>IF(SUM(L31:L32)=0,L32,SUM(L31:L32))</f>
        <v>NO</v>
      </c>
      <c r="M30" s="3165" t="str">
        <f>IF(SUM(M31:M32)=0,M32,SUM(M31:M32))</f>
        <v>NO</v>
      </c>
      <c r="N30" s="1842" t="s">
        <v>415</v>
      </c>
    </row>
    <row r="31" spans="2:14" ht="18" customHeight="1" x14ac:dyDescent="0.2">
      <c r="B31" s="282" t="s">
        <v>772</v>
      </c>
      <c r="C31" s="2127"/>
      <c r="D31" s="699" t="s">
        <v>199</v>
      </c>
      <c r="E31" s="1938" t="str">
        <f t="shared" si="0"/>
        <v>NA</v>
      </c>
      <c r="F31" s="1938" t="str">
        <f>IF(SUM($D31)=0,"NA",I31/$D31)</f>
        <v>NA</v>
      </c>
      <c r="G31" s="3075"/>
      <c r="H31" s="699" t="s">
        <v>199</v>
      </c>
      <c r="I31" s="699" t="s">
        <v>199</v>
      </c>
      <c r="J31" s="615"/>
      <c r="K31" s="699" t="s">
        <v>199</v>
      </c>
      <c r="L31" s="699" t="s">
        <v>199</v>
      </c>
      <c r="M31" s="699" t="s">
        <v>199</v>
      </c>
      <c r="N31" s="1842"/>
    </row>
    <row r="32" spans="2:14" ht="18" customHeight="1" x14ac:dyDescent="0.2">
      <c r="B32" s="282" t="s">
        <v>773</v>
      </c>
      <c r="C32" s="2127"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7" t="s">
        <v>349</v>
      </c>
      <c r="D33" s="699" t="s">
        <v>759</v>
      </c>
      <c r="E33" s="1938" t="str">
        <f t="shared" si="0"/>
        <v>NA</v>
      </c>
      <c r="F33" s="1885"/>
      <c r="G33" s="615"/>
      <c r="H33" s="699">
        <v>1486.7086671203401</v>
      </c>
      <c r="I33" s="1885"/>
      <c r="J33" s="615"/>
      <c r="K33" s="699" t="s">
        <v>199</v>
      </c>
      <c r="L33" s="699" t="s">
        <v>199</v>
      </c>
      <c r="M33" s="1885"/>
      <c r="N33" s="1842"/>
    </row>
    <row r="34" spans="2:16" ht="18" customHeight="1" x14ac:dyDescent="0.2">
      <c r="B34" s="1279" t="s">
        <v>775</v>
      </c>
      <c r="C34" s="2127"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8"/>
      <c r="D35" s="1885"/>
      <c r="E35" s="1885"/>
      <c r="F35" s="1885"/>
      <c r="G35" s="2135"/>
      <c r="H35" s="3165">
        <f>H46</f>
        <v>46.86107299999999</v>
      </c>
      <c r="I35" s="3165">
        <f>I46</f>
        <v>0.57348379999999999</v>
      </c>
      <c r="J35" s="615"/>
      <c r="K35" s="3165" t="str">
        <f>IF(SUM(K36:K42)=0,"NO",SUM(K36:K42))</f>
        <v>NO</v>
      </c>
      <c r="L35" s="3165" t="str">
        <f>IF(SUM(L36:L42)=0,"NO",SUM(L36:L42))</f>
        <v>NO</v>
      </c>
      <c r="M35" s="3165" t="str">
        <f>IF(SUM(M36:M42)=0,"NO",SUM(M36:M42))</f>
        <v>NO</v>
      </c>
      <c r="N35" s="1842"/>
    </row>
    <row r="36" spans="2:16" ht="18" customHeight="1" x14ac:dyDescent="0.2">
      <c r="B36" s="282" t="s">
        <v>777</v>
      </c>
      <c r="C36" s="2127" t="s">
        <v>349</v>
      </c>
      <c r="D36" s="699" t="s">
        <v>759</v>
      </c>
      <c r="E36" s="1938" t="str">
        <f t="shared" ref="E36:F41" si="1">IF(SUM($D36)=0,"NA",H36/$D36)</f>
        <v>NA</v>
      </c>
      <c r="F36" s="1938" t="str">
        <f t="shared" si="1"/>
        <v>NA</v>
      </c>
      <c r="G36" s="615"/>
      <c r="H36" s="699" t="str">
        <f>IF(H$46="NO","NO","IE")</f>
        <v>IE</v>
      </c>
      <c r="I36" s="699" t="s">
        <v>274</v>
      </c>
      <c r="J36" s="615"/>
      <c r="K36" s="3149" t="s">
        <v>199</v>
      </c>
      <c r="L36" s="3149" t="s">
        <v>199</v>
      </c>
      <c r="M36" s="3149" t="s">
        <v>199</v>
      </c>
      <c r="N36" s="1842"/>
      <c r="P36" s="1791"/>
    </row>
    <row r="37" spans="2:16" ht="18" customHeight="1" x14ac:dyDescent="0.2">
      <c r="B37" s="282" t="s">
        <v>778</v>
      </c>
      <c r="C37" s="2127" t="s">
        <v>349</v>
      </c>
      <c r="D37" s="699" t="s">
        <v>759</v>
      </c>
      <c r="E37" s="1938" t="str">
        <f t="shared" si="1"/>
        <v>NA</v>
      </c>
      <c r="F37" s="1938" t="str">
        <f t="shared" si="1"/>
        <v>NA</v>
      </c>
      <c r="G37" s="615"/>
      <c r="H37" s="699" t="s">
        <v>199</v>
      </c>
      <c r="I37" s="699" t="s">
        <v>274</v>
      </c>
      <c r="J37" s="615"/>
      <c r="K37" s="3149" t="s">
        <v>199</v>
      </c>
      <c r="L37" s="3149" t="s">
        <v>199</v>
      </c>
      <c r="M37" s="3149" t="s">
        <v>199</v>
      </c>
      <c r="N37" s="1842"/>
    </row>
    <row r="38" spans="2:16" ht="18" customHeight="1" x14ac:dyDescent="0.2">
      <c r="B38" s="1280" t="s">
        <v>779</v>
      </c>
      <c r="C38" s="2127"/>
      <c r="D38" s="699" t="s">
        <v>199</v>
      </c>
      <c r="E38" s="1938" t="str">
        <f t="shared" si="1"/>
        <v>NA</v>
      </c>
      <c r="F38" s="1938" t="str">
        <f t="shared" si="1"/>
        <v>NA</v>
      </c>
      <c r="G38" s="615"/>
      <c r="H38" s="699" t="s">
        <v>199</v>
      </c>
      <c r="I38" s="699" t="s">
        <v>199</v>
      </c>
      <c r="J38" s="615"/>
      <c r="K38" s="3149" t="s">
        <v>199</v>
      </c>
      <c r="L38" s="3149" t="s">
        <v>199</v>
      </c>
      <c r="M38" s="3149" t="s">
        <v>199</v>
      </c>
      <c r="N38" s="1842"/>
    </row>
    <row r="39" spans="2:16" ht="18" customHeight="1" x14ac:dyDescent="0.2">
      <c r="B39" s="282" t="s">
        <v>780</v>
      </c>
      <c r="C39" s="2127" t="s">
        <v>349</v>
      </c>
      <c r="D39" s="699" t="s">
        <v>759</v>
      </c>
      <c r="E39" s="1938" t="str">
        <f t="shared" si="1"/>
        <v>NA</v>
      </c>
      <c r="F39" s="1938" t="str">
        <f t="shared" si="1"/>
        <v>NA</v>
      </c>
      <c r="G39" s="615"/>
      <c r="H39" s="699" t="str">
        <f>IF(H$46="NO","NO","IE")</f>
        <v>IE</v>
      </c>
      <c r="I39" s="699" t="s">
        <v>274</v>
      </c>
      <c r="J39" s="615"/>
      <c r="K39" s="3149" t="s">
        <v>199</v>
      </c>
      <c r="L39" s="3149" t="s">
        <v>199</v>
      </c>
      <c r="M39" s="3149" t="s">
        <v>199</v>
      </c>
      <c r="N39" s="1842"/>
    </row>
    <row r="40" spans="2:16" ht="18" customHeight="1" x14ac:dyDescent="0.2">
      <c r="B40" s="282" t="s">
        <v>781</v>
      </c>
      <c r="C40" s="2127"/>
      <c r="D40" s="699" t="s">
        <v>199</v>
      </c>
      <c r="E40" s="1938" t="str">
        <f t="shared" si="1"/>
        <v>NA</v>
      </c>
      <c r="F40" s="1938" t="str">
        <f t="shared" si="1"/>
        <v>NA</v>
      </c>
      <c r="G40" s="615"/>
      <c r="H40" s="699" t="s">
        <v>199</v>
      </c>
      <c r="I40" s="699" t="s">
        <v>199</v>
      </c>
      <c r="J40" s="615"/>
      <c r="K40" s="3149" t="s">
        <v>199</v>
      </c>
      <c r="L40" s="3149" t="s">
        <v>199</v>
      </c>
      <c r="M40" s="3149" t="s">
        <v>199</v>
      </c>
      <c r="N40" s="1842"/>
    </row>
    <row r="41" spans="2:16" ht="18" customHeight="1" x14ac:dyDescent="0.2">
      <c r="B41" s="282" t="s">
        <v>782</v>
      </c>
      <c r="C41" s="2127" t="s">
        <v>349</v>
      </c>
      <c r="D41" s="699" t="s">
        <v>759</v>
      </c>
      <c r="E41" s="1938" t="str">
        <f t="shared" si="1"/>
        <v>NA</v>
      </c>
      <c r="F41" s="1938" t="str">
        <f t="shared" si="1"/>
        <v>NA</v>
      </c>
      <c r="G41" s="615"/>
      <c r="H41" s="699" t="s">
        <v>199</v>
      </c>
      <c r="I41" s="699" t="s">
        <v>274</v>
      </c>
      <c r="J41" s="615"/>
      <c r="K41" s="3149" t="s">
        <v>199</v>
      </c>
      <c r="L41" s="3149" t="s">
        <v>199</v>
      </c>
      <c r="M41" s="3149" t="s">
        <v>199</v>
      </c>
      <c r="N41" s="1842"/>
    </row>
    <row r="42" spans="2:16" ht="18" customHeight="1" x14ac:dyDescent="0.2">
      <c r="B42" s="282" t="s">
        <v>783</v>
      </c>
      <c r="C42" s="607"/>
      <c r="D42" s="615"/>
      <c r="E42" s="615"/>
      <c r="F42" s="615"/>
      <c r="G42" s="615"/>
      <c r="H42" s="3167">
        <f>IF(SUM(H44:H45)=0,"NO",SUM(H44:H45))</f>
        <v>46.86107299999999</v>
      </c>
      <c r="I42" s="3167">
        <f>IF(SUM(I44:I45)=0,"NO",SUM(I44:I45))</f>
        <v>0.57348379999999999</v>
      </c>
      <c r="J42" s="615"/>
      <c r="K42" s="3167" t="str">
        <f>IF(SUM(K44:K45)=0,"NO",SUM(K44:K45))</f>
        <v>NO</v>
      </c>
      <c r="L42" s="3167" t="str">
        <f>IF(SUM(L44:L45)=0,"NO",SUM(L44:L45))</f>
        <v>NO</v>
      </c>
      <c r="M42" s="3167" t="str">
        <f>IF(SUM(M44:M45)=0,"NO",SUM(M44:M45))</f>
        <v>NO</v>
      </c>
      <c r="N42" s="1842"/>
    </row>
    <row r="43" spans="2:16" ht="18" customHeight="1" x14ac:dyDescent="0.2">
      <c r="B43" s="1281" t="s">
        <v>327</v>
      </c>
      <c r="C43" s="2130"/>
      <c r="D43" s="3076"/>
      <c r="E43" s="3076"/>
      <c r="F43" s="3076"/>
      <c r="G43" s="3076"/>
      <c r="H43" s="3076"/>
      <c r="I43" s="3076"/>
      <c r="J43" s="3076"/>
      <c r="K43" s="3076"/>
      <c r="L43" s="3076"/>
      <c r="M43" s="3076"/>
      <c r="N43" s="3089"/>
    </row>
    <row r="44" spans="2:16" ht="18" customHeight="1" x14ac:dyDescent="0.2">
      <c r="B44" s="1281" t="s">
        <v>784</v>
      </c>
      <c r="C44" s="2127"/>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7">
        <f>H46</f>
        <v>46.86107299999999</v>
      </c>
      <c r="I45" s="3167">
        <f>I46</f>
        <v>0.57348379999999999</v>
      </c>
      <c r="J45" s="615"/>
      <c r="K45" s="3167" t="str">
        <f>K46</f>
        <v>NO</v>
      </c>
      <c r="L45" s="3167" t="str">
        <f>L46</f>
        <v>NO</v>
      </c>
      <c r="M45" s="3167" t="str">
        <f>M46</f>
        <v>NO</v>
      </c>
      <c r="N45" s="1842"/>
    </row>
    <row r="46" spans="2:16" ht="18" customHeight="1" x14ac:dyDescent="0.2">
      <c r="B46" s="3153" t="s">
        <v>786</v>
      </c>
      <c r="C46" s="2127" t="s">
        <v>349</v>
      </c>
      <c r="D46" s="699" t="s">
        <v>759</v>
      </c>
      <c r="E46" s="1938" t="str">
        <f>IF(SUM($D46)=0,"NA",H46/$D46)</f>
        <v>NA</v>
      </c>
      <c r="F46" s="1938" t="str">
        <f>IF(SUM($D46)=0,"NA",I46/$D46)</f>
        <v>NA</v>
      </c>
      <c r="G46" s="615"/>
      <c r="H46" s="699">
        <v>46.86107299999999</v>
      </c>
      <c r="I46" s="699">
        <v>0.57348379999999999</v>
      </c>
      <c r="J46" s="615"/>
      <c r="K46" s="699" t="s">
        <v>199</v>
      </c>
      <c r="L46" s="699" t="s">
        <v>199</v>
      </c>
      <c r="M46" s="699" t="s">
        <v>199</v>
      </c>
      <c r="N46" s="1842"/>
    </row>
    <row r="47" spans="2:16" ht="18" customHeight="1" x14ac:dyDescent="0.2">
      <c r="B47" s="286" t="s">
        <v>787</v>
      </c>
      <c r="C47" s="2131"/>
      <c r="D47" s="615"/>
      <c r="E47" s="615"/>
      <c r="F47" s="615"/>
      <c r="G47" s="615"/>
      <c r="H47" s="3167">
        <f>H50</f>
        <v>129.83418956726103</v>
      </c>
      <c r="I47" s="1938" t="s">
        <v>497</v>
      </c>
      <c r="J47" s="1938" t="str">
        <f t="shared" ref="J47:N47" si="2">J50</f>
        <v>NO</v>
      </c>
      <c r="K47" s="3168" t="str">
        <f t="shared" si="2"/>
        <v>C</v>
      </c>
      <c r="L47" s="1938" t="str">
        <f t="shared" si="2"/>
        <v>C</v>
      </c>
      <c r="M47" s="1938" t="str">
        <f t="shared" si="2"/>
        <v>NO</v>
      </c>
      <c r="N47" s="3064" t="str">
        <f t="shared" si="2"/>
        <v>NO</v>
      </c>
    </row>
    <row r="48" spans="2:16" ht="18" customHeight="1" x14ac:dyDescent="0.2">
      <c r="B48" s="1241" t="s">
        <v>327</v>
      </c>
      <c r="C48" s="2130"/>
      <c r="D48" s="2311"/>
      <c r="E48" s="2311"/>
      <c r="F48" s="2311"/>
      <c r="G48" s="2311"/>
      <c r="H48" s="3076"/>
      <c r="I48" s="3076"/>
      <c r="J48" s="3076"/>
      <c r="K48" s="3076"/>
      <c r="L48" s="3076"/>
      <c r="M48" s="3076"/>
      <c r="N48" s="3089"/>
    </row>
    <row r="49" spans="2:14" ht="18" customHeight="1" x14ac:dyDescent="0.2">
      <c r="B49" s="2438" t="s">
        <v>788</v>
      </c>
      <c r="C49" s="2411"/>
      <c r="D49" s="4134" t="s">
        <v>274</v>
      </c>
      <c r="E49" s="276" t="str">
        <f>IF(SUM($D49)=0,"NA",H49/$D49)</f>
        <v>NA</v>
      </c>
      <c r="F49" s="276" t="str">
        <f>IF(SUM($D49)=0,"NA",I49/$D49)</f>
        <v>NA</v>
      </c>
      <c r="G49" s="276" t="str">
        <f>IF(SUM($D49)=0,"NA",J49/$D49)</f>
        <v>NA</v>
      </c>
      <c r="H49" s="2974" t="s">
        <v>274</v>
      </c>
      <c r="I49" s="2974" t="s">
        <v>274</v>
      </c>
      <c r="J49" s="2974" t="s">
        <v>199</v>
      </c>
      <c r="K49" s="3169" t="s">
        <v>199</v>
      </c>
      <c r="L49" s="2974" t="s">
        <v>199</v>
      </c>
      <c r="M49" s="2974" t="s">
        <v>199</v>
      </c>
      <c r="N49" s="3170" t="s">
        <v>199</v>
      </c>
    </row>
    <row r="50" spans="2:14" ht="18" customHeight="1" x14ac:dyDescent="0.2">
      <c r="B50" s="2438" t="s">
        <v>789</v>
      </c>
      <c r="C50" s="2409"/>
      <c r="D50" s="2410"/>
      <c r="E50" s="2410"/>
      <c r="F50" s="2410"/>
      <c r="G50" s="2410"/>
      <c r="H50" s="3074">
        <f>H51</f>
        <v>129.83418956726103</v>
      </c>
      <c r="I50" s="3074" t="str">
        <f t="shared" ref="I50:N50" si="3">I51</f>
        <v>NO</v>
      </c>
      <c r="J50" s="3074" t="str">
        <f t="shared" si="3"/>
        <v>NO</v>
      </c>
      <c r="K50" s="3074" t="str">
        <f t="shared" si="3"/>
        <v>C</v>
      </c>
      <c r="L50" s="3074" t="str">
        <f t="shared" si="3"/>
        <v>C</v>
      </c>
      <c r="M50" s="3074" t="str">
        <f t="shared" si="3"/>
        <v>NO</v>
      </c>
      <c r="N50" s="3074" t="str">
        <f t="shared" si="3"/>
        <v>NO</v>
      </c>
    </row>
    <row r="51" spans="2:14" ht="18" customHeight="1" thickBot="1" x14ac:dyDescent="0.25">
      <c r="B51" s="3154" t="s">
        <v>790</v>
      </c>
      <c r="C51" s="496" t="s">
        <v>349</v>
      </c>
      <c r="D51" s="245" t="s">
        <v>759</v>
      </c>
      <c r="E51" s="501" t="str">
        <f>IF(SUM($D51)=0,"NA",H51/$D51)</f>
        <v>NA</v>
      </c>
      <c r="F51" s="501" t="str">
        <f>IF(SUM($D51)=0,"NA",I51/$D51)</f>
        <v>NA</v>
      </c>
      <c r="G51" s="501" t="str">
        <f>IF(SUM($D51)=0,"NA",J51/$D51)</f>
        <v>NA</v>
      </c>
      <c r="H51" s="3115">
        <v>129.83418956726103</v>
      </c>
      <c r="I51" s="3115" t="s">
        <v>199</v>
      </c>
      <c r="J51" s="3115" t="s">
        <v>199</v>
      </c>
      <c r="K51" s="3171" t="s">
        <v>759</v>
      </c>
      <c r="L51" s="3115" t="s">
        <v>759</v>
      </c>
      <c r="M51" s="3115" t="s">
        <v>199</v>
      </c>
      <c r="N51" s="3172" t="s">
        <v>199</v>
      </c>
    </row>
    <row r="52" spans="2:14" s="83" customFormat="1" ht="18" customHeight="1" x14ac:dyDescent="0.2">
      <c r="B52" s="1275" t="s">
        <v>713</v>
      </c>
      <c r="C52" s="2132"/>
      <c r="D52" s="231"/>
      <c r="E52" s="2125"/>
      <c r="F52" s="2125"/>
      <c r="G52" s="2133"/>
      <c r="H52" s="3046">
        <f>IF(SUM(H53,H62:H67)=0,"IE",SUM(H53,H62:H67))</f>
        <v>13315.672838033806</v>
      </c>
      <c r="I52" s="3161">
        <f>IF(SUM(I53,I62:I67)=0,"IE",SUM(I53,I62:I67))</f>
        <v>2.9986571116313097</v>
      </c>
      <c r="J52" s="1934">
        <f>J67</f>
        <v>7.9104081829594969E-2</v>
      </c>
      <c r="K52" s="3161"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3"/>
      <c r="D53" s="607"/>
      <c r="E53" s="607"/>
      <c r="F53" s="607"/>
      <c r="G53" s="2134"/>
      <c r="H53" s="1938" t="str">
        <f>IF(SUM(H54:H59)=0,"IE",SUM(H54:H59))</f>
        <v>IE</v>
      </c>
      <c r="I53" s="3168" t="str">
        <f>IF(SUM(I54:I59)=0,"IE",SUM(I54:I59))</f>
        <v>IE</v>
      </c>
      <c r="J53" s="3168" t="str">
        <f>IF(SUM(J54:J59)=0,"IE",SUM(J54:J59))</f>
        <v>IE</v>
      </c>
      <c r="K53" s="3168" t="str">
        <f>IF(SUM(K54:K59)=0,"NO",SUM(K54:K59))</f>
        <v>NO</v>
      </c>
      <c r="L53" s="3168" t="str">
        <f t="shared" ref="L53:M53" si="5">IF(SUM(L54:L59)=0,"NO",SUM(L54:L59))</f>
        <v>NO</v>
      </c>
      <c r="M53" s="3168" t="str">
        <f t="shared" si="5"/>
        <v>NO</v>
      </c>
      <c r="N53" s="2136"/>
    </row>
    <row r="54" spans="2:14" s="83" customFormat="1" ht="18" customHeight="1" x14ac:dyDescent="0.2">
      <c r="B54" s="282" t="s">
        <v>792</v>
      </c>
      <c r="C54" s="2620" t="s">
        <v>793</v>
      </c>
      <c r="D54" s="277" t="s">
        <v>759</v>
      </c>
      <c r="E54" s="276" t="str">
        <f t="shared" ref="E54:F58" si="6">IF(SUM($D54)=0,"NA",H54/$D54)</f>
        <v>NA</v>
      </c>
      <c r="F54" s="276" t="str">
        <f t="shared" si="6"/>
        <v>NA</v>
      </c>
      <c r="G54" s="2134"/>
      <c r="H54" s="699" t="s">
        <v>274</v>
      </c>
      <c r="I54" s="699" t="s">
        <v>274</v>
      </c>
      <c r="J54" s="699" t="s">
        <v>274</v>
      </c>
      <c r="K54" s="3149" t="s">
        <v>199</v>
      </c>
      <c r="L54" s="3149" t="s">
        <v>199</v>
      </c>
      <c r="M54" s="3149" t="s">
        <v>199</v>
      </c>
      <c r="N54" s="2136"/>
    </row>
    <row r="55" spans="2:14" s="83" customFormat="1" ht="18" customHeight="1" x14ac:dyDescent="0.2">
      <c r="B55" s="282" t="s">
        <v>794</v>
      </c>
      <c r="C55" s="2620"/>
      <c r="D55" s="278" t="s">
        <v>274</v>
      </c>
      <c r="E55" s="276" t="str">
        <f t="shared" si="6"/>
        <v>NA</v>
      </c>
      <c r="F55" s="276" t="str">
        <f t="shared" si="6"/>
        <v>NA</v>
      </c>
      <c r="G55" s="2134"/>
      <c r="H55" s="699" t="s">
        <v>274</v>
      </c>
      <c r="I55" s="699" t="s">
        <v>274</v>
      </c>
      <c r="J55" s="2135"/>
      <c r="K55" s="3149" t="s">
        <v>199</v>
      </c>
      <c r="L55" s="3149" t="s">
        <v>199</v>
      </c>
      <c r="M55" s="3149" t="s">
        <v>199</v>
      </c>
      <c r="N55" s="2136"/>
    </row>
    <row r="56" spans="2:14" s="83" customFormat="1" ht="18" customHeight="1" x14ac:dyDescent="0.2">
      <c r="B56" s="282" t="s">
        <v>795</v>
      </c>
      <c r="C56" s="2620"/>
      <c r="D56" s="278" t="s">
        <v>274</v>
      </c>
      <c r="E56" s="276" t="str">
        <f t="shared" si="6"/>
        <v>NA</v>
      </c>
      <c r="F56" s="276" t="str">
        <f t="shared" si="6"/>
        <v>NA</v>
      </c>
      <c r="G56" s="2134"/>
      <c r="H56" s="699" t="s">
        <v>274</v>
      </c>
      <c r="I56" s="699" t="s">
        <v>274</v>
      </c>
      <c r="J56" s="2135"/>
      <c r="K56" s="3149" t="s">
        <v>199</v>
      </c>
      <c r="L56" s="3149" t="s">
        <v>199</v>
      </c>
      <c r="M56" s="3149" t="s">
        <v>199</v>
      </c>
      <c r="N56" s="2136"/>
    </row>
    <row r="57" spans="2:14" s="83" customFormat="1" ht="18" customHeight="1" x14ac:dyDescent="0.2">
      <c r="B57" s="282" t="s">
        <v>796</v>
      </c>
      <c r="C57" s="2620"/>
      <c r="D57" s="277" t="s">
        <v>274</v>
      </c>
      <c r="E57" s="276" t="str">
        <f t="shared" si="6"/>
        <v>NA</v>
      </c>
      <c r="F57" s="276" t="str">
        <f t="shared" si="6"/>
        <v>NA</v>
      </c>
      <c r="G57" s="2134"/>
      <c r="H57" s="699" t="s">
        <v>274</v>
      </c>
      <c r="I57" s="699" t="s">
        <v>274</v>
      </c>
      <c r="J57" s="2135"/>
      <c r="K57" s="3149" t="s">
        <v>199</v>
      </c>
      <c r="L57" s="3149" t="s">
        <v>199</v>
      </c>
      <c r="M57" s="3149" t="s">
        <v>199</v>
      </c>
      <c r="N57" s="2136"/>
    </row>
    <row r="58" spans="2:14" s="83" customFormat="1" ht="18" customHeight="1" x14ac:dyDescent="0.2">
      <c r="B58" s="282" t="s">
        <v>797</v>
      </c>
      <c r="C58" s="2620"/>
      <c r="D58" s="278" t="s">
        <v>274</v>
      </c>
      <c r="E58" s="276" t="str">
        <f t="shared" si="6"/>
        <v>NA</v>
      </c>
      <c r="F58" s="276" t="str">
        <f t="shared" si="6"/>
        <v>NA</v>
      </c>
      <c r="G58" s="2137"/>
      <c r="H58" s="699" t="s">
        <v>274</v>
      </c>
      <c r="I58" s="699" t="s">
        <v>274</v>
      </c>
      <c r="J58" s="2135"/>
      <c r="K58" s="3149" t="s">
        <v>199</v>
      </c>
      <c r="L58" s="3149" t="s">
        <v>199</v>
      </c>
      <c r="M58" s="3149" t="s">
        <v>199</v>
      </c>
      <c r="N58" s="2136"/>
    </row>
    <row r="59" spans="2:14" s="83" customFormat="1" ht="18" customHeight="1" x14ac:dyDescent="0.2">
      <c r="B59" s="282" t="s">
        <v>798</v>
      </c>
      <c r="C59" s="2621"/>
      <c r="D59" s="2138"/>
      <c r="E59" s="2138"/>
      <c r="F59" s="2138"/>
      <c r="G59" s="2139"/>
      <c r="H59" s="1938" t="str">
        <f>IF(SUM(H60:H61)=0,"IE",SUM(H60:H61))</f>
        <v>IE</v>
      </c>
      <c r="I59" s="1938" t="str">
        <f>IF(SUM(I60:I61)=0,"IE",SUM(I60:I61))</f>
        <v>IE</v>
      </c>
      <c r="J59" s="2135"/>
      <c r="K59" s="1938" t="str">
        <f>IF(SUM(K60:K61)=0,"NO",SUM(K60:K61))</f>
        <v>NO</v>
      </c>
      <c r="L59" s="1938" t="str">
        <f>IF(SUM(L60:L61)=0,"NO",SUM(L60:L61))</f>
        <v>NO</v>
      </c>
      <c r="M59" s="1938" t="str">
        <f>IF(SUM(M60:M61)=0,"NO",SUM(M60:M61))</f>
        <v>NO</v>
      </c>
      <c r="N59" s="2136"/>
    </row>
    <row r="60" spans="2:14" s="83" customFormat="1" ht="18" customHeight="1" x14ac:dyDescent="0.2">
      <c r="B60" s="2617" t="s">
        <v>799</v>
      </c>
      <c r="C60" s="2620" t="s">
        <v>800</v>
      </c>
      <c r="D60" s="277" t="s">
        <v>759</v>
      </c>
      <c r="E60" s="276" t="str">
        <f t="shared" ref="E60:F62" si="7">IF(SUM($D60)=0,"NA",H60/$D60)</f>
        <v>NA</v>
      </c>
      <c r="F60" s="276" t="str">
        <f t="shared" si="7"/>
        <v>NA</v>
      </c>
      <c r="G60" s="2139"/>
      <c r="H60" s="699" t="s">
        <v>274</v>
      </c>
      <c r="I60" s="699" t="s">
        <v>274</v>
      </c>
      <c r="J60" s="2135"/>
      <c r="K60" s="3149" t="s">
        <v>199</v>
      </c>
      <c r="L60" s="3149" t="s">
        <v>199</v>
      </c>
      <c r="M60" s="3149" t="s">
        <v>199</v>
      </c>
      <c r="N60" s="2136"/>
    </row>
    <row r="61" spans="2:14" s="83" customFormat="1" ht="18" customHeight="1" x14ac:dyDescent="0.2">
      <c r="B61" s="2617" t="s">
        <v>801</v>
      </c>
      <c r="C61" s="2620" t="s">
        <v>802</v>
      </c>
      <c r="D61" s="277" t="s">
        <v>759</v>
      </c>
      <c r="E61" s="276" t="str">
        <f t="shared" si="7"/>
        <v>NA</v>
      </c>
      <c r="F61" s="276" t="str">
        <f t="shared" si="7"/>
        <v>NA</v>
      </c>
      <c r="G61" s="2139"/>
      <c r="H61" s="699" t="s">
        <v>274</v>
      </c>
      <c r="I61" s="699" t="s">
        <v>274</v>
      </c>
      <c r="J61" s="2135"/>
      <c r="K61" s="3149" t="s">
        <v>199</v>
      </c>
      <c r="L61" s="3149" t="s">
        <v>199</v>
      </c>
      <c r="M61" s="3149" t="s">
        <v>199</v>
      </c>
      <c r="N61" s="2136"/>
    </row>
    <row r="62" spans="2:14" s="83" customFormat="1" ht="18" customHeight="1" x14ac:dyDescent="0.2">
      <c r="B62" s="286" t="s">
        <v>803</v>
      </c>
      <c r="C62" s="2620" t="s">
        <v>349</v>
      </c>
      <c r="D62" s="277" t="s">
        <v>759</v>
      </c>
      <c r="E62" s="276" t="str">
        <f t="shared" si="7"/>
        <v>NA</v>
      </c>
      <c r="F62" s="276" t="str">
        <f t="shared" si="7"/>
        <v>NA</v>
      </c>
      <c r="G62" s="2134"/>
      <c r="H62" s="699" t="s">
        <v>274</v>
      </c>
      <c r="I62" s="699" t="s">
        <v>274</v>
      </c>
      <c r="J62" s="699" t="s">
        <v>274</v>
      </c>
      <c r="K62" s="3149" t="s">
        <v>199</v>
      </c>
      <c r="L62" s="699" t="s">
        <v>199</v>
      </c>
      <c r="M62" s="3125" t="s">
        <v>199</v>
      </c>
      <c r="N62" s="2136"/>
    </row>
    <row r="63" spans="2:14" s="83" customFormat="1" ht="18" customHeight="1" x14ac:dyDescent="0.2">
      <c r="B63" s="286" t="s">
        <v>714</v>
      </c>
      <c r="C63" s="2620" t="s">
        <v>349</v>
      </c>
      <c r="D63" s="4165">
        <v>1953.9999999999995</v>
      </c>
      <c r="E63" s="4121">
        <f>IF(SUM($D63)=0,"NA",H63/$D63)</f>
        <v>1.6376140156931995</v>
      </c>
      <c r="F63" s="1917"/>
      <c r="G63" s="2134"/>
      <c r="H63" s="699">
        <v>3199.8977866645109</v>
      </c>
      <c r="I63" s="1885"/>
      <c r="J63" s="2135"/>
      <c r="K63" s="3149" t="s">
        <v>199</v>
      </c>
      <c r="L63" s="699" t="s">
        <v>199</v>
      </c>
      <c r="M63" s="3097"/>
      <c r="N63" s="2136"/>
    </row>
    <row r="64" spans="2:14" s="83" customFormat="1" ht="18" customHeight="1" x14ac:dyDescent="0.2">
      <c r="B64" s="1282" t="s">
        <v>715</v>
      </c>
      <c r="C64" s="2620" t="s">
        <v>804</v>
      </c>
      <c r="D64" s="277" t="s">
        <v>199</v>
      </c>
      <c r="E64" s="276" t="str">
        <f>IF(SUM($D64)=0,"NA",H64/$D64)</f>
        <v>NA</v>
      </c>
      <c r="F64" s="1917"/>
      <c r="G64" s="2134"/>
      <c r="H64" s="699" t="str">
        <f>IF(D64="NO","NO","NA")</f>
        <v>NO</v>
      </c>
      <c r="I64" s="1885"/>
      <c r="J64" s="2135"/>
      <c r="K64" s="3149" t="s">
        <v>199</v>
      </c>
      <c r="L64" s="699" t="s">
        <v>199</v>
      </c>
      <c r="M64" s="3097"/>
      <c r="N64" s="2136"/>
    </row>
    <row r="65" spans="2:14" s="83" customFormat="1" ht="18" customHeight="1" x14ac:dyDescent="0.2">
      <c r="B65" s="1283" t="s">
        <v>805</v>
      </c>
      <c r="C65" s="2620" t="s">
        <v>349</v>
      </c>
      <c r="D65" s="277" t="s">
        <v>759</v>
      </c>
      <c r="E65" s="276" t="str">
        <f>IF(SUM($D65)=0,"NA",H65/$D65)</f>
        <v>NA</v>
      </c>
      <c r="F65" s="2135"/>
      <c r="G65" s="2134"/>
      <c r="H65" s="3120" t="s">
        <v>274</v>
      </c>
      <c r="I65" s="2131"/>
      <c r="J65" s="2135"/>
      <c r="K65" s="3149" t="s">
        <v>199</v>
      </c>
      <c r="L65" s="699" t="s">
        <v>199</v>
      </c>
      <c r="M65" s="2140"/>
      <c r="N65" s="2136"/>
    </row>
    <row r="66" spans="2:14" s="83" customFormat="1" ht="18" customHeight="1" x14ac:dyDescent="0.2">
      <c r="B66" s="1283" t="s">
        <v>806</v>
      </c>
      <c r="C66" s="2620" t="s">
        <v>349</v>
      </c>
      <c r="D66" s="277" t="s">
        <v>759</v>
      </c>
      <c r="E66" s="276" t="str">
        <f>IF(SUM($D66)=0,"NA",H66/$D66)</f>
        <v>NA</v>
      </c>
      <c r="F66" s="2135"/>
      <c r="G66" s="2134"/>
      <c r="H66" s="3120" t="s">
        <v>199</v>
      </c>
      <c r="I66" s="2131"/>
      <c r="J66" s="2135"/>
      <c r="K66" s="3149" t="s">
        <v>199</v>
      </c>
      <c r="L66" s="699" t="s">
        <v>199</v>
      </c>
      <c r="M66" s="2140"/>
      <c r="N66" s="2136"/>
    </row>
    <row r="67" spans="2:14" s="83" customFormat="1" ht="18" customHeight="1" x14ac:dyDescent="0.2">
      <c r="B67" s="286" t="s">
        <v>807</v>
      </c>
      <c r="C67" s="2621"/>
      <c r="D67" s="607"/>
      <c r="E67" s="607"/>
      <c r="F67" s="607"/>
      <c r="G67" s="607"/>
      <c r="H67" s="3168">
        <f>IF(SUM(H69:H70)=0,H70,SUM(H69:H70))</f>
        <v>10115.775051369295</v>
      </c>
      <c r="I67" s="3168">
        <f t="shared" ref="I67:N67" si="8">IF(SUM(I69:I70)=0,I70,SUM(I69:I70))</f>
        <v>2.9986571116313097</v>
      </c>
      <c r="J67" s="3168">
        <f t="shared" si="8"/>
        <v>7.9104081829594969E-2</v>
      </c>
      <c r="K67" s="3168" t="str">
        <f t="shared" si="8"/>
        <v>NO</v>
      </c>
      <c r="L67" s="1938" t="str">
        <f t="shared" si="8"/>
        <v>NO</v>
      </c>
      <c r="M67" s="1938" t="str">
        <f t="shared" si="8"/>
        <v>NO</v>
      </c>
      <c r="N67" s="3064" t="str">
        <f t="shared" si="8"/>
        <v>NO</v>
      </c>
    </row>
    <row r="68" spans="2:14" s="83" customFormat="1" ht="18" customHeight="1" x14ac:dyDescent="0.2">
      <c r="B68" s="1241" t="s">
        <v>327</v>
      </c>
      <c r="C68" s="2130"/>
      <c r="D68" s="2311"/>
      <c r="E68" s="2311"/>
      <c r="F68" s="2311"/>
      <c r="G68" s="2311"/>
      <c r="H68" s="3076"/>
      <c r="I68" s="3076"/>
      <c r="J68" s="3076"/>
      <c r="K68" s="3076"/>
      <c r="L68" s="3076"/>
      <c r="M68" s="3076"/>
      <c r="N68" s="3089"/>
    </row>
    <row r="69" spans="2:14" s="83" customFormat="1" ht="18" customHeight="1" x14ac:dyDescent="0.2">
      <c r="B69" s="1285" t="s">
        <v>808</v>
      </c>
      <c r="C69" s="1837"/>
      <c r="D69" s="2144" t="s">
        <v>199</v>
      </c>
      <c r="E69" s="276" t="str">
        <f>IF(SUM($D69)=0,"NA",H69/$D69)</f>
        <v>NA</v>
      </c>
      <c r="F69" s="276" t="str">
        <f>IF(SUM($D69)=0,"NA",I69/$D69)</f>
        <v>NA</v>
      </c>
      <c r="G69" s="276" t="str">
        <f>IF(SUM($D69)=0,"NA",J69/$D69)</f>
        <v>NA</v>
      </c>
      <c r="H69" s="3173" t="s">
        <v>199</v>
      </c>
      <c r="I69" s="3173" t="s">
        <v>199</v>
      </c>
      <c r="J69" s="3173" t="s">
        <v>199</v>
      </c>
      <c r="K69" s="3174" t="s">
        <v>199</v>
      </c>
      <c r="L69" s="3173" t="s">
        <v>199</v>
      </c>
      <c r="M69" s="3173" t="s">
        <v>199</v>
      </c>
      <c r="N69" s="3175" t="s">
        <v>199</v>
      </c>
    </row>
    <row r="70" spans="2:14" s="83" customFormat="1" ht="18" customHeight="1" x14ac:dyDescent="0.2">
      <c r="B70" s="2438" t="s">
        <v>809</v>
      </c>
      <c r="C70" s="2412"/>
      <c r="D70" s="2408"/>
      <c r="E70" s="2408"/>
      <c r="F70" s="2408"/>
      <c r="G70" s="2408"/>
      <c r="H70" s="3074">
        <f t="shared" ref="H70:M70" si="9">H71</f>
        <v>10115.775051369295</v>
      </c>
      <c r="I70" s="3074">
        <f t="shared" si="9"/>
        <v>2.9986571116313097</v>
      </c>
      <c r="J70" s="3074">
        <f t="shared" si="9"/>
        <v>7.9104081829594969E-2</v>
      </c>
      <c r="K70" s="3176" t="str">
        <f t="shared" si="9"/>
        <v>NO</v>
      </c>
      <c r="L70" s="3074" t="str">
        <f t="shared" si="9"/>
        <v>NO</v>
      </c>
      <c r="M70" s="3074" t="str">
        <f t="shared" si="9"/>
        <v>NO</v>
      </c>
      <c r="N70" s="3177" t="str">
        <f>N71</f>
        <v>NO</v>
      </c>
    </row>
    <row r="71" spans="2:14" s="83" customFormat="1" ht="18" customHeight="1" thickBot="1" x14ac:dyDescent="0.25">
      <c r="B71" s="2615" t="s">
        <v>810</v>
      </c>
      <c r="C71" s="2616" t="s">
        <v>349</v>
      </c>
      <c r="D71" s="2141" t="s">
        <v>759</v>
      </c>
      <c r="E71" s="501" t="str">
        <f>IF(SUM($D71)=0,"NA",H71/$D71)</f>
        <v>NA</v>
      </c>
      <c r="F71" s="501" t="str">
        <f>IF(SUM($D71)=0,"NA",I71/$D71)</f>
        <v>NA</v>
      </c>
      <c r="G71" s="501" t="str">
        <f>IF(SUM($D71)=0,"NA",J71/$D71)</f>
        <v>NA</v>
      </c>
      <c r="H71" s="3101">
        <v>10115.775051369295</v>
      </c>
      <c r="I71" s="3101">
        <v>2.9986571116313097</v>
      </c>
      <c r="J71" s="3101">
        <v>7.9104081829594969E-2</v>
      </c>
      <c r="K71" s="3178" t="s">
        <v>199</v>
      </c>
      <c r="L71" s="3178" t="s">
        <v>199</v>
      </c>
      <c r="M71" s="3101" t="s">
        <v>199</v>
      </c>
      <c r="N71" s="3179" t="s">
        <v>199</v>
      </c>
    </row>
    <row r="72" spans="2:14" s="83" customFormat="1" ht="18" customHeight="1" x14ac:dyDescent="0.2">
      <c r="B72" s="2439" t="s">
        <v>811</v>
      </c>
      <c r="C72" s="231"/>
      <c r="D72" s="607"/>
      <c r="E72" s="2142"/>
      <c r="F72" s="2142"/>
      <c r="G72" s="2142"/>
      <c r="H72" s="1938">
        <f t="shared" ref="H72:L72" si="10">IF(SUM(H73:H75)=0,"NO",SUM(H73:H75))</f>
        <v>225.87504949999993</v>
      </c>
      <c r="I72" s="1938" t="str">
        <f t="shared" si="10"/>
        <v>NO</v>
      </c>
      <c r="J72" s="1938" t="str">
        <f t="shared" si="10"/>
        <v>NO</v>
      </c>
      <c r="K72" s="3168" t="str">
        <f t="shared" si="10"/>
        <v>NO</v>
      </c>
      <c r="L72" s="1938" t="str">
        <f t="shared" si="10"/>
        <v>NO</v>
      </c>
      <c r="M72" s="1938" t="str">
        <f>IF(SUM(M73:M75)=0,"NO",SUM(M73:M75))</f>
        <v>NO</v>
      </c>
      <c r="N72" s="3064" t="str">
        <f>IF(SUM(N73:N75)=0,"NO",SUM(N73:N75))</f>
        <v>NO</v>
      </c>
    </row>
    <row r="73" spans="2:14" s="83" customFormat="1" ht="18" customHeight="1" x14ac:dyDescent="0.2">
      <c r="B73" s="286" t="s">
        <v>812</v>
      </c>
      <c r="C73" s="82" t="s">
        <v>813</v>
      </c>
      <c r="D73" s="3160">
        <v>420.10309278350508</v>
      </c>
      <c r="E73" s="4121">
        <f t="shared" ref="E73:G74" si="11">IF(SUM($D73)=0,"NA",H73/$D73)</f>
        <v>0.53766576199999994</v>
      </c>
      <c r="F73" s="276" t="s">
        <v>205</v>
      </c>
      <c r="G73" s="276" t="s">
        <v>205</v>
      </c>
      <c r="H73" s="3100">
        <v>225.87504949999993</v>
      </c>
      <c r="I73" s="3100" t="s">
        <v>199</v>
      </c>
      <c r="J73" s="3100" t="s">
        <v>199</v>
      </c>
      <c r="K73" s="3180" t="s">
        <v>199</v>
      </c>
      <c r="L73" s="3100" t="s">
        <v>199</v>
      </c>
      <c r="M73" s="3100" t="s">
        <v>199</v>
      </c>
      <c r="N73" s="3181"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3" t="s">
        <v>221</v>
      </c>
      <c r="I74" s="2173" t="s">
        <v>205</v>
      </c>
      <c r="J74" s="2173" t="s">
        <v>205</v>
      </c>
      <c r="K74" s="2173" t="s">
        <v>205</v>
      </c>
      <c r="L74" s="2173" t="s">
        <v>205</v>
      </c>
      <c r="M74" s="2173" t="s">
        <v>205</v>
      </c>
      <c r="N74" s="2173" t="s">
        <v>205</v>
      </c>
    </row>
    <row r="75" spans="2:14" s="83" customFormat="1" ht="18" customHeight="1" x14ac:dyDescent="0.2">
      <c r="B75" s="286" t="s">
        <v>815</v>
      </c>
      <c r="C75" s="150"/>
      <c r="D75" s="607"/>
      <c r="E75" s="2142"/>
      <c r="F75" s="2142"/>
      <c r="G75" s="2142"/>
      <c r="H75" s="1938" t="str">
        <f>IF(SUM(H77:H80)=0,"NO",SUM(H77:H80))</f>
        <v>NO</v>
      </c>
      <c r="I75" s="1938" t="str">
        <f t="shared" ref="I75:N75" si="12">IF(SUM(I77:I80)=0,"NO",SUM(I77:I80))</f>
        <v>NO</v>
      </c>
      <c r="J75" s="1938" t="str">
        <f t="shared" si="12"/>
        <v>NO</v>
      </c>
      <c r="K75" s="3168" t="str">
        <f t="shared" si="12"/>
        <v>NO</v>
      </c>
      <c r="L75" s="1938" t="str">
        <f t="shared" si="12"/>
        <v>NO</v>
      </c>
      <c r="M75" s="1938" t="str">
        <f t="shared" si="12"/>
        <v>NO</v>
      </c>
      <c r="N75" s="3064" t="str">
        <f t="shared" si="12"/>
        <v>NO</v>
      </c>
    </row>
    <row r="76" spans="2:14" s="83" customFormat="1" ht="18" customHeight="1" x14ac:dyDescent="0.2">
      <c r="B76" s="1241" t="s">
        <v>327</v>
      </c>
      <c r="C76" s="2130"/>
      <c r="D76" s="2311"/>
      <c r="E76" s="2311"/>
      <c r="F76" s="2311"/>
      <c r="G76" s="2311"/>
      <c r="H76" s="3076"/>
      <c r="I76" s="3076"/>
      <c r="J76" s="3076"/>
      <c r="K76" s="3076"/>
      <c r="L76" s="3076"/>
      <c r="M76" s="3076"/>
      <c r="N76" s="3089"/>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100" t="s">
        <v>199</v>
      </c>
      <c r="I77" s="3100" t="s">
        <v>199</v>
      </c>
      <c r="J77" s="3100" t="s">
        <v>199</v>
      </c>
      <c r="K77" s="3180" t="s">
        <v>199</v>
      </c>
      <c r="L77" s="3100" t="s">
        <v>199</v>
      </c>
      <c r="M77" s="3100" t="s">
        <v>199</v>
      </c>
      <c r="N77" s="3181" t="s">
        <v>199</v>
      </c>
    </row>
    <row r="78" spans="2:14" s="83" customFormat="1" ht="18" customHeight="1" x14ac:dyDescent="0.2">
      <c r="B78" s="1284" t="s">
        <v>818</v>
      </c>
      <c r="C78" s="82" t="s">
        <v>813</v>
      </c>
      <c r="D78" s="4220">
        <v>350.01272727272698</v>
      </c>
      <c r="E78" s="276" t="s">
        <v>205</v>
      </c>
      <c r="F78" s="276" t="s">
        <v>205</v>
      </c>
      <c r="G78" s="276" t="s">
        <v>205</v>
      </c>
      <c r="H78" s="3100" t="s">
        <v>199</v>
      </c>
      <c r="I78" s="3100" t="s">
        <v>199</v>
      </c>
      <c r="J78" s="3100" t="s">
        <v>199</v>
      </c>
      <c r="K78" s="3180" t="s">
        <v>199</v>
      </c>
      <c r="L78" s="3100" t="s">
        <v>199</v>
      </c>
      <c r="M78" s="3100" t="s">
        <v>199</v>
      </c>
      <c r="N78" s="3181" t="s">
        <v>199</v>
      </c>
    </row>
    <row r="79" spans="2:14" s="83" customFormat="1" ht="18" customHeight="1" x14ac:dyDescent="0.2">
      <c r="B79" s="1285" t="s">
        <v>819</v>
      </c>
      <c r="C79" s="1837"/>
      <c r="D79" s="2143" t="s">
        <v>199</v>
      </c>
      <c r="E79" s="276" t="str">
        <f t="shared" si="13"/>
        <v>NA</v>
      </c>
      <c r="F79" s="276" t="str">
        <f t="shared" si="13"/>
        <v>NA</v>
      </c>
      <c r="G79" s="276" t="str">
        <f t="shared" si="13"/>
        <v>NA</v>
      </c>
      <c r="H79" s="3173" t="s">
        <v>199</v>
      </c>
      <c r="I79" s="3173" t="s">
        <v>199</v>
      </c>
      <c r="J79" s="3173" t="s">
        <v>199</v>
      </c>
      <c r="K79" s="3174" t="s">
        <v>199</v>
      </c>
      <c r="L79" s="3173" t="s">
        <v>199</v>
      </c>
      <c r="M79" s="3173" t="s">
        <v>199</v>
      </c>
      <c r="N79" s="3175" t="s">
        <v>199</v>
      </c>
    </row>
    <row r="80" spans="2:14" s="83" customFormat="1" ht="18" customHeight="1" x14ac:dyDescent="0.2">
      <c r="B80" s="1284" t="s">
        <v>820</v>
      </c>
      <c r="C80" s="607"/>
      <c r="D80" s="607"/>
      <c r="E80" s="2142"/>
      <c r="F80" s="2142"/>
      <c r="G80" s="2142"/>
      <c r="H80" s="1938" t="str">
        <f>H81</f>
        <v>NO</v>
      </c>
      <c r="I80" s="1938" t="str">
        <f t="shared" ref="I80:N80" si="14">I81</f>
        <v>NO</v>
      </c>
      <c r="J80" s="1938" t="str">
        <f t="shared" si="14"/>
        <v>NO</v>
      </c>
      <c r="K80" s="3168" t="str">
        <f t="shared" si="14"/>
        <v>NO</v>
      </c>
      <c r="L80" s="1938" t="str">
        <f t="shared" si="14"/>
        <v>NO</v>
      </c>
      <c r="M80" s="1938" t="str">
        <f t="shared" si="14"/>
        <v>NO</v>
      </c>
      <c r="N80" s="3064" t="str">
        <f t="shared" si="14"/>
        <v>NO</v>
      </c>
    </row>
    <row r="81" spans="2:14" s="83" customFormat="1" ht="18" customHeight="1" x14ac:dyDescent="0.2">
      <c r="B81" s="4413" t="s">
        <v>821</v>
      </c>
      <c r="C81" s="82" t="s">
        <v>822</v>
      </c>
      <c r="D81" s="82" t="s">
        <v>205</v>
      </c>
      <c r="E81" s="276" t="str">
        <f t="shared" ref="E81:G82" si="15">IF(SUM($D81)=0,"NA",H81/$D81)</f>
        <v>NA</v>
      </c>
      <c r="F81" s="276" t="str">
        <f t="shared" si="15"/>
        <v>NA</v>
      </c>
      <c r="G81" s="276" t="str">
        <f t="shared" si="15"/>
        <v>NA</v>
      </c>
      <c r="H81" s="3100" t="s">
        <v>199</v>
      </c>
      <c r="I81" s="3100" t="s">
        <v>199</v>
      </c>
      <c r="J81" s="3100" t="s">
        <v>199</v>
      </c>
      <c r="K81" s="3180" t="s">
        <v>199</v>
      </c>
      <c r="L81" s="3100" t="s">
        <v>199</v>
      </c>
      <c r="M81" s="3100" t="s">
        <v>199</v>
      </c>
      <c r="N81" s="3181" t="s">
        <v>199</v>
      </c>
    </row>
    <row r="82" spans="2:14" s="83" customFormat="1" ht="18" customHeight="1" thickBot="1" x14ac:dyDescent="0.25">
      <c r="B82" s="4411" t="s">
        <v>823</v>
      </c>
      <c r="C82" s="3156" t="s">
        <v>221</v>
      </c>
      <c r="D82" s="4412" t="s">
        <v>205</v>
      </c>
      <c r="E82" s="276" t="str">
        <f t="shared" si="15"/>
        <v>NA</v>
      </c>
      <c r="F82" s="276" t="str">
        <f t="shared" si="15"/>
        <v>NA</v>
      </c>
      <c r="G82" s="276" t="str">
        <f t="shared" si="15"/>
        <v>NA</v>
      </c>
      <c r="H82" s="3182" t="s">
        <v>221</v>
      </c>
      <c r="I82" s="2173" t="s">
        <v>205</v>
      </c>
      <c r="J82" s="2173" t="s">
        <v>205</v>
      </c>
      <c r="K82" s="2173" t="s">
        <v>205</v>
      </c>
      <c r="L82" s="2173" t="s">
        <v>205</v>
      </c>
      <c r="M82" s="2173" t="s">
        <v>205</v>
      </c>
      <c r="N82" s="2173" t="s">
        <v>205</v>
      </c>
    </row>
    <row r="83" spans="2:14" s="83" customFormat="1" ht="18" customHeight="1" x14ac:dyDescent="0.2">
      <c r="B83" s="2440" t="s">
        <v>824</v>
      </c>
      <c r="C83" s="2146"/>
      <c r="D83" s="2146"/>
      <c r="E83" s="2147"/>
      <c r="F83" s="2147"/>
      <c r="G83" s="2147"/>
      <c r="H83" s="3183"/>
      <c r="I83" s="3183"/>
      <c r="J83" s="3046" t="str">
        <f>IF(SUM(J84:J86)=0,"NO",SUM(J84:J86))</f>
        <v>NO</v>
      </c>
      <c r="K83" s="3184"/>
      <c r="L83" s="3183"/>
      <c r="M83" s="3183"/>
      <c r="N83" s="442" t="str">
        <f>IF(SUM(N84:N86)=0,"NO",SUM(N84:N86))</f>
        <v>NO</v>
      </c>
    </row>
    <row r="84" spans="2:14" s="83" customFormat="1" ht="18" customHeight="1" x14ac:dyDescent="0.2">
      <c r="B84" s="170" t="s">
        <v>718</v>
      </c>
      <c r="C84" s="82"/>
      <c r="D84" s="70" t="s">
        <v>199</v>
      </c>
      <c r="E84" s="2142"/>
      <c r="F84" s="2142"/>
      <c r="G84" s="276" t="str">
        <f>IF(SUM($D84)=0,"NA",J84/$D84)</f>
        <v>NA</v>
      </c>
      <c r="H84" s="1939"/>
      <c r="I84" s="1939"/>
      <c r="J84" s="3100" t="s">
        <v>199</v>
      </c>
      <c r="K84" s="3185"/>
      <c r="L84" s="1939"/>
      <c r="M84" s="1939"/>
      <c r="N84" s="3181" t="s">
        <v>199</v>
      </c>
    </row>
    <row r="85" spans="2:14" s="83" customFormat="1" ht="18" customHeight="1" x14ac:dyDescent="0.2">
      <c r="B85" s="170" t="s">
        <v>719</v>
      </c>
      <c r="C85" s="82"/>
      <c r="D85" s="70" t="s">
        <v>199</v>
      </c>
      <c r="E85" s="2142"/>
      <c r="F85" s="2142"/>
      <c r="G85" s="276" t="str">
        <f>IF(SUM($D85)=0,"NA",J85/$D85)</f>
        <v>NA</v>
      </c>
      <c r="H85" s="1939"/>
      <c r="I85" s="1939"/>
      <c r="J85" s="3100" t="s">
        <v>199</v>
      </c>
      <c r="K85" s="3185"/>
      <c r="L85" s="1939"/>
      <c r="M85" s="1939"/>
      <c r="N85" s="3181" t="s">
        <v>199</v>
      </c>
    </row>
    <row r="86" spans="2:14" s="83" customFormat="1" ht="18" customHeight="1" x14ac:dyDescent="0.2">
      <c r="B86" s="170" t="s">
        <v>825</v>
      </c>
      <c r="C86" s="150"/>
      <c r="D86" s="607"/>
      <c r="E86" s="2142"/>
      <c r="F86" s="2142"/>
      <c r="G86" s="2142"/>
      <c r="H86" s="1939"/>
      <c r="I86" s="1939"/>
      <c r="J86" s="1938" t="str">
        <f>J87</f>
        <v>NO</v>
      </c>
      <c r="K86" s="3185"/>
      <c r="L86" s="1939"/>
      <c r="M86" s="1939"/>
      <c r="N86" s="3064" t="str">
        <f>N87</f>
        <v>NO</v>
      </c>
    </row>
    <row r="87" spans="2:14" s="83" customFormat="1" ht="18" customHeight="1" thickBot="1" x14ac:dyDescent="0.25">
      <c r="B87" s="3155" t="s">
        <v>205</v>
      </c>
      <c r="C87" s="2148"/>
      <c r="D87" s="2149" t="s">
        <v>199</v>
      </c>
      <c r="E87" s="2142"/>
      <c r="F87" s="2142"/>
      <c r="G87" s="2150" t="str">
        <f>IF(SUM($D87)=0,"NA",J87/$D87)</f>
        <v>NA</v>
      </c>
      <c r="H87" s="1939"/>
      <c r="I87" s="1939"/>
      <c r="J87" s="2922" t="s">
        <v>199</v>
      </c>
      <c r="K87" s="3185"/>
      <c r="L87" s="1939"/>
      <c r="M87" s="1939"/>
      <c r="N87" s="3186" t="s">
        <v>199</v>
      </c>
    </row>
    <row r="88" spans="2:14" s="83" customFormat="1" ht="18" customHeight="1" x14ac:dyDescent="0.2">
      <c r="B88" s="2441" t="s">
        <v>730</v>
      </c>
      <c r="C88" s="2146"/>
      <c r="D88" s="2146"/>
      <c r="E88" s="2147"/>
      <c r="F88" s="2147"/>
      <c r="G88" s="2147"/>
      <c r="H88" s="3046" t="s">
        <v>199</v>
      </c>
      <c r="I88" s="3046" t="s">
        <v>199</v>
      </c>
      <c r="J88" s="3046" t="s">
        <v>274</v>
      </c>
      <c r="K88" s="3187" t="s">
        <v>199</v>
      </c>
      <c r="L88" s="3046" t="s">
        <v>199</v>
      </c>
      <c r="M88" s="3046"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8"/>
      <c r="L89" s="1935"/>
      <c r="M89" s="1935"/>
      <c r="N89" s="3064" t="str">
        <f>N90</f>
        <v>NO</v>
      </c>
    </row>
    <row r="90" spans="2:14" s="83" customFormat="1" ht="18" customHeight="1" x14ac:dyDescent="0.2">
      <c r="B90" s="1284" t="s">
        <v>827</v>
      </c>
      <c r="C90" s="82" t="s">
        <v>813</v>
      </c>
      <c r="D90" s="70" t="s">
        <v>274</v>
      </c>
      <c r="E90" s="1917"/>
      <c r="F90" s="1917"/>
      <c r="G90" s="276" t="str">
        <f>IF(SUM($D90)=0,"NA",J90/$D90)</f>
        <v>NA</v>
      </c>
      <c r="H90" s="1885"/>
      <c r="I90" s="1885"/>
      <c r="J90" s="3100" t="s">
        <v>274</v>
      </c>
      <c r="K90" s="3189"/>
      <c r="L90" s="1885"/>
      <c r="M90" s="1885"/>
      <c r="N90" s="3181" t="s">
        <v>199</v>
      </c>
    </row>
    <row r="91" spans="2:14" s="83" customFormat="1" ht="18" customHeight="1" x14ac:dyDescent="0.2">
      <c r="B91" s="1284" t="s">
        <v>828</v>
      </c>
      <c r="C91" s="150"/>
      <c r="D91" s="150"/>
      <c r="E91" s="1917"/>
      <c r="F91" s="1917"/>
      <c r="G91" s="1917"/>
      <c r="H91" s="1885"/>
      <c r="I91" s="1885"/>
      <c r="J91" s="1938" t="str">
        <f>J94</f>
        <v>NO</v>
      </c>
      <c r="K91" s="3189"/>
      <c r="L91" s="1885"/>
      <c r="M91" s="1885"/>
      <c r="N91" s="3064" t="str">
        <f>N94</f>
        <v>NO</v>
      </c>
    </row>
    <row r="92" spans="2:14" s="83" customFormat="1" ht="18" customHeight="1" x14ac:dyDescent="0.2">
      <c r="B92" s="2522" t="s">
        <v>327</v>
      </c>
      <c r="C92" s="2130"/>
      <c r="D92" s="2311"/>
      <c r="E92" s="2311"/>
      <c r="F92" s="2311"/>
      <c r="G92" s="2311"/>
      <c r="H92" s="3076"/>
      <c r="I92" s="3076"/>
      <c r="J92" s="3076"/>
      <c r="K92" s="3076"/>
      <c r="L92" s="3076"/>
      <c r="M92" s="3076"/>
      <c r="N92" s="3089"/>
    </row>
    <row r="93" spans="2:14" s="83" customFormat="1" ht="18" customHeight="1" x14ac:dyDescent="0.2">
      <c r="B93" s="289" t="s">
        <v>829</v>
      </c>
      <c r="C93" s="82"/>
      <c r="D93" s="70" t="s">
        <v>199</v>
      </c>
      <c r="E93" s="1917"/>
      <c r="F93" s="1917"/>
      <c r="G93" s="276" t="str">
        <f>IF(SUM($D93)=0,"NA",J93/$D93)</f>
        <v>NA</v>
      </c>
      <c r="H93" s="1885"/>
      <c r="I93" s="1885"/>
      <c r="J93" s="3173" t="s">
        <v>274</v>
      </c>
      <c r="K93" s="3189"/>
      <c r="L93" s="1885"/>
      <c r="M93" s="1885"/>
      <c r="N93" s="3181" t="s">
        <v>199</v>
      </c>
    </row>
    <row r="94" spans="2:14" s="83" customFormat="1" ht="18" customHeight="1" x14ac:dyDescent="0.2">
      <c r="B94" s="289" t="s">
        <v>830</v>
      </c>
      <c r="C94" s="607"/>
      <c r="D94" s="607"/>
      <c r="E94" s="2142"/>
      <c r="F94" s="2142"/>
      <c r="G94" s="2142"/>
      <c r="H94" s="1885"/>
      <c r="I94" s="1885"/>
      <c r="J94" s="1938" t="str">
        <f>J95</f>
        <v>NO</v>
      </c>
      <c r="K94" s="3189"/>
      <c r="L94" s="1885"/>
      <c r="M94" s="1885"/>
      <c r="N94" s="3064" t="str">
        <f>N95</f>
        <v>NO</v>
      </c>
    </row>
    <row r="95" spans="2:14" s="83" customFormat="1" ht="18" customHeight="1" x14ac:dyDescent="0.2">
      <c r="B95" s="2618" t="s">
        <v>831</v>
      </c>
      <c r="C95" s="3156"/>
      <c r="D95" s="2145" t="s">
        <v>274</v>
      </c>
      <c r="E95" s="276" t="str">
        <f>IF(SUM($D95)=0,"NA",H95/$D95)</f>
        <v>NA</v>
      </c>
      <c r="F95" s="276" t="str">
        <f>IF(SUM($D95)=0,"NA",I95/$D95)</f>
        <v>NA</v>
      </c>
      <c r="G95" s="276" t="str">
        <f>IF(SUM($D95)=0,"NA",J95/$D95)</f>
        <v>NA</v>
      </c>
      <c r="H95" s="1885"/>
      <c r="I95" s="1885"/>
      <c r="J95" s="3173" t="s">
        <v>199</v>
      </c>
      <c r="K95" s="3189"/>
      <c r="L95" s="1885"/>
      <c r="M95" s="1885"/>
      <c r="N95" s="3175"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8" t="str">
        <f t="shared" si="16"/>
        <v>NO</v>
      </c>
      <c r="L96" s="1938" t="str">
        <f t="shared" si="16"/>
        <v>NO</v>
      </c>
      <c r="M96" s="1938" t="str">
        <f t="shared" si="16"/>
        <v>NO</v>
      </c>
      <c r="N96" s="3064" t="str">
        <f t="shared" si="16"/>
        <v>NO</v>
      </c>
    </row>
    <row r="97" spans="2:14" s="83" customFormat="1" ht="18" customHeight="1" thickBot="1" x14ac:dyDescent="0.25">
      <c r="B97" s="2614" t="s">
        <v>205</v>
      </c>
      <c r="C97" s="93"/>
      <c r="D97" s="2141" t="s">
        <v>199</v>
      </c>
      <c r="E97" s="501" t="str">
        <f>IF(SUM($D97)=0,"NA",H97/$D97)</f>
        <v>NA</v>
      </c>
      <c r="F97" s="501" t="str">
        <f>IF(SUM($D97)=0,"NA",I97/$D97)</f>
        <v>NA</v>
      </c>
      <c r="G97" s="501" t="str">
        <f>IF(SUM($D97)=0,"NA",J97/$D97)</f>
        <v>NA</v>
      </c>
      <c r="H97" s="3101" t="s">
        <v>199</v>
      </c>
      <c r="I97" s="3101" t="s">
        <v>199</v>
      </c>
      <c r="J97" s="3101" t="s">
        <v>199</v>
      </c>
      <c r="K97" s="3178" t="s">
        <v>199</v>
      </c>
      <c r="L97" s="3101" t="s">
        <v>199</v>
      </c>
      <c r="M97" s="3101" t="s">
        <v>199</v>
      </c>
      <c r="N97" s="3179" t="s">
        <v>199</v>
      </c>
    </row>
    <row r="98" spans="2:14" s="83" customFormat="1" ht="18" customHeight="1" x14ac:dyDescent="0.2">
      <c r="B98" s="1275" t="s">
        <v>833</v>
      </c>
      <c r="C98" s="149"/>
      <c r="D98" s="2151"/>
      <c r="E98" s="2151"/>
      <c r="F98" s="2151"/>
      <c r="G98" s="2151"/>
      <c r="H98" s="1934">
        <f>IF(SUM(H100:H102)=0,"NO",SUM(H100:H102))</f>
        <v>148.28584415160208</v>
      </c>
      <c r="I98" s="1934" t="str">
        <f t="shared" ref="I98:N98" si="17">IF(SUM(I100:I102)=0,"NO",SUM(I100:I102))</f>
        <v>NO</v>
      </c>
      <c r="J98" s="1934" t="str">
        <f t="shared" si="17"/>
        <v>NO</v>
      </c>
      <c r="K98" s="3161" t="str">
        <f t="shared" si="17"/>
        <v>NO</v>
      </c>
      <c r="L98" s="1934" t="str">
        <f t="shared" si="17"/>
        <v>NO</v>
      </c>
      <c r="M98" s="1934" t="str">
        <f t="shared" si="17"/>
        <v>NO</v>
      </c>
      <c r="N98" s="416" t="str">
        <f t="shared" si="17"/>
        <v>NO</v>
      </c>
    </row>
    <row r="99" spans="2:14" s="83" customFormat="1" ht="18" customHeight="1" x14ac:dyDescent="0.2">
      <c r="B99" s="1240" t="s">
        <v>327</v>
      </c>
      <c r="C99" s="2137"/>
      <c r="D99" s="2314"/>
      <c r="E99" s="2314"/>
      <c r="F99" s="2314"/>
      <c r="G99" s="2314"/>
      <c r="H99" s="3076"/>
      <c r="I99" s="3076"/>
      <c r="J99" s="3076"/>
      <c r="K99" s="3076"/>
      <c r="L99" s="3076"/>
      <c r="M99" s="3076"/>
      <c r="N99" s="3089"/>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90" t="s">
        <v>199</v>
      </c>
      <c r="L100" s="700" t="s">
        <v>199</v>
      </c>
      <c r="M100" s="700" t="s">
        <v>199</v>
      </c>
      <c r="N100" s="2929" t="s">
        <v>199</v>
      </c>
    </row>
    <row r="101" spans="2:14" s="83" customFormat="1" ht="18" customHeight="1" x14ac:dyDescent="0.2">
      <c r="B101" s="286" t="s">
        <v>835</v>
      </c>
      <c r="C101" s="2620" t="s">
        <v>349</v>
      </c>
      <c r="D101" s="277" t="s">
        <v>759</v>
      </c>
      <c r="E101" s="276" t="str">
        <f t="shared" si="18"/>
        <v>NA</v>
      </c>
      <c r="F101" s="276" t="str">
        <f t="shared" si="18"/>
        <v>NA</v>
      </c>
      <c r="G101" s="276" t="str">
        <f t="shared" si="18"/>
        <v>NA</v>
      </c>
      <c r="H101" s="700">
        <v>148.28584415160208</v>
      </c>
      <c r="I101" s="700" t="s">
        <v>199</v>
      </c>
      <c r="J101" s="700" t="s">
        <v>199</v>
      </c>
      <c r="K101" s="3190" t="s">
        <v>199</v>
      </c>
      <c r="L101" s="700" t="s">
        <v>199</v>
      </c>
      <c r="M101" s="700" t="s">
        <v>199</v>
      </c>
      <c r="N101" s="2929" t="s">
        <v>199</v>
      </c>
    </row>
    <row r="102" spans="2:14" s="83" customFormat="1" ht="18" customHeight="1" x14ac:dyDescent="0.2">
      <c r="B102" s="286" t="s">
        <v>836</v>
      </c>
      <c r="C102" s="149"/>
      <c r="D102" s="2151"/>
      <c r="E102" s="149"/>
      <c r="F102" s="2151"/>
      <c r="G102" s="2151"/>
      <c r="H102" s="1938" t="str">
        <f>H103</f>
        <v>NO</v>
      </c>
      <c r="I102" s="1938" t="str">
        <f t="shared" ref="I102:N102" si="19">I103</f>
        <v>NO</v>
      </c>
      <c r="J102" s="1938" t="str">
        <f t="shared" si="19"/>
        <v>NO</v>
      </c>
      <c r="K102" s="3168" t="str">
        <f t="shared" si="19"/>
        <v>NO</v>
      </c>
      <c r="L102" s="1938" t="str">
        <f t="shared" si="19"/>
        <v>NO</v>
      </c>
      <c r="M102" s="1938" t="str">
        <f t="shared" si="19"/>
        <v>NO</v>
      </c>
      <c r="N102" s="3064" t="str">
        <f t="shared" si="19"/>
        <v>NO</v>
      </c>
    </row>
    <row r="103" spans="2:14" s="83" customFormat="1" ht="18" customHeight="1" thickBot="1" x14ac:dyDescent="0.25">
      <c r="B103" s="2619" t="s">
        <v>205</v>
      </c>
      <c r="C103" s="93"/>
      <c r="D103" s="245" t="s">
        <v>199</v>
      </c>
      <c r="E103" s="501" t="str">
        <f>IF(SUM($D103)=0,"NA",H103/$D103)</f>
        <v>NA</v>
      </c>
      <c r="F103" s="501" t="str">
        <f>IF(SUM($D103)=0,"NA",I103/$D103)</f>
        <v>NA</v>
      </c>
      <c r="G103" s="501" t="str">
        <f>IF(SUM($D103)=0,"NA",J103/$D103)</f>
        <v>NA</v>
      </c>
      <c r="H103" s="3115" t="s">
        <v>199</v>
      </c>
      <c r="I103" s="3115" t="s">
        <v>199</v>
      </c>
      <c r="J103" s="3115" t="s">
        <v>199</v>
      </c>
      <c r="K103" s="3115" t="s">
        <v>199</v>
      </c>
      <c r="L103" s="3115" t="s">
        <v>199</v>
      </c>
      <c r="M103" s="3115" t="s">
        <v>199</v>
      </c>
      <c r="N103" s="3172"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5"/>
      <c r="C130" s="1040"/>
      <c r="D130" s="1040"/>
      <c r="E130" s="1040"/>
      <c r="F130" s="1040"/>
      <c r="G130" s="1040"/>
      <c r="H130" s="1040"/>
      <c r="I130" s="1040"/>
      <c r="J130" s="1040"/>
      <c r="K130" s="1040"/>
      <c r="L130" s="1040"/>
      <c r="M130" s="1040"/>
      <c r="N130" s="1041"/>
    </row>
    <row r="131" spans="2:14" ht="12" customHeight="1" x14ac:dyDescent="0.2">
      <c r="B131" s="1023"/>
      <c r="C131" s="2266"/>
      <c r="D131" s="2266"/>
      <c r="E131" s="2266"/>
      <c r="F131" s="2266"/>
      <c r="G131" s="2266"/>
      <c r="H131" s="2266"/>
      <c r="I131" s="2266"/>
      <c r="J131" s="2266"/>
      <c r="K131" s="2266"/>
      <c r="L131" s="2266"/>
      <c r="M131" s="2266"/>
      <c r="N131" s="2267"/>
    </row>
    <row r="132" spans="2:14" ht="12" customHeight="1" x14ac:dyDescent="0.2">
      <c r="B132" s="1023"/>
      <c r="C132" s="2266"/>
      <c r="D132" s="2266"/>
      <c r="E132" s="2266"/>
      <c r="F132" s="2266"/>
      <c r="G132" s="2266"/>
      <c r="H132" s="2266"/>
      <c r="I132" s="2266"/>
      <c r="J132" s="2266"/>
      <c r="K132" s="2266"/>
      <c r="L132" s="2266"/>
      <c r="M132" s="2266"/>
      <c r="N132" s="2267"/>
    </row>
    <row r="133" spans="2:14" ht="12" customHeight="1" x14ac:dyDescent="0.2">
      <c r="B133" s="1023"/>
      <c r="C133" s="2266"/>
      <c r="D133" s="2266"/>
      <c r="E133" s="2266"/>
      <c r="F133" s="2266"/>
      <c r="G133" s="2266"/>
      <c r="H133" s="2266"/>
      <c r="I133" s="2266"/>
      <c r="J133" s="2266"/>
      <c r="K133" s="2266"/>
      <c r="L133" s="2266"/>
      <c r="M133" s="2266"/>
      <c r="N133" s="2267"/>
    </row>
    <row r="134" spans="2:14" ht="12" customHeight="1" x14ac:dyDescent="0.2">
      <c r="B134" s="2268"/>
      <c r="C134" s="995"/>
      <c r="D134" s="995"/>
      <c r="E134" s="995"/>
      <c r="F134" s="995"/>
      <c r="G134" s="995"/>
      <c r="H134" s="995"/>
      <c r="I134" s="995"/>
      <c r="J134" s="995"/>
      <c r="K134" s="995"/>
      <c r="L134" s="995"/>
      <c r="M134" s="995"/>
      <c r="N134" s="996"/>
    </row>
    <row r="135" spans="2:14" ht="12" customHeight="1" thickBot="1" x14ac:dyDescent="0.25">
      <c r="B135" s="4494" t="s">
        <v>837</v>
      </c>
      <c r="C135" s="4495"/>
      <c r="D135" s="4495"/>
      <c r="E135" s="4495"/>
      <c r="F135" s="4495"/>
      <c r="G135" s="4495"/>
      <c r="H135" s="4495"/>
      <c r="I135" s="4495"/>
      <c r="J135" s="4495"/>
      <c r="K135" s="4495"/>
      <c r="L135" s="4495"/>
      <c r="M135" s="4495"/>
      <c r="N135" s="4496"/>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topLeftCell="A9"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2460</v>
      </c>
    </row>
    <row r="2" spans="2:8" ht="15.75" x14ac:dyDescent="0.2">
      <c r="B2" s="3" t="s">
        <v>839</v>
      </c>
      <c r="C2" s="3"/>
      <c r="D2" s="3"/>
      <c r="H2" s="14" t="s">
        <v>2461</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5" t="s">
        <v>62</v>
      </c>
    </row>
    <row r="8" spans="2:8" ht="25.5" x14ac:dyDescent="0.2">
      <c r="B8" s="90" t="s">
        <v>164</v>
      </c>
      <c r="C8" s="1823" t="s">
        <v>841</v>
      </c>
      <c r="D8" s="1747" t="s">
        <v>476</v>
      </c>
      <c r="E8" s="1820"/>
      <c r="F8" s="2258" t="s">
        <v>842</v>
      </c>
      <c r="G8" s="2258" t="s">
        <v>740</v>
      </c>
      <c r="H8" s="2259"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3"/>
      <c r="D10" s="1826"/>
      <c r="E10" s="1827"/>
      <c r="F10" s="1827"/>
      <c r="G10" s="1934" t="str">
        <f t="shared" ref="G10:H12" si="0">G11</f>
        <v>NO</v>
      </c>
      <c r="H10" s="2629" t="str">
        <f t="shared" si="0"/>
        <v>NO</v>
      </c>
    </row>
    <row r="11" spans="2:8" ht="18" customHeight="1" x14ac:dyDescent="0.2">
      <c r="B11" s="169" t="s">
        <v>709</v>
      </c>
      <c r="C11" s="2523"/>
      <c r="D11" s="1828"/>
      <c r="E11" s="1829"/>
      <c r="F11" s="1829"/>
      <c r="G11" s="1938" t="str">
        <f t="shared" si="0"/>
        <v>NO</v>
      </c>
      <c r="H11" s="2628" t="str">
        <f t="shared" si="0"/>
        <v>NO</v>
      </c>
    </row>
    <row r="12" spans="2:8" ht="18" customHeight="1" x14ac:dyDescent="0.2">
      <c r="B12" s="1168" t="s">
        <v>710</v>
      </c>
      <c r="C12" s="2523"/>
      <c r="D12" s="1828"/>
      <c r="E12" s="1829"/>
      <c r="F12" s="1829"/>
      <c r="G12" s="1938" t="str">
        <f t="shared" si="0"/>
        <v>NO</v>
      </c>
      <c r="H12" s="2628" t="str">
        <f t="shared" si="0"/>
        <v>NO</v>
      </c>
    </row>
    <row r="13" spans="2:8" ht="18" customHeight="1" x14ac:dyDescent="0.2">
      <c r="B13" s="1169" t="s">
        <v>847</v>
      </c>
      <c r="C13" s="2638" t="s">
        <v>671</v>
      </c>
      <c r="D13" s="73" t="s">
        <v>848</v>
      </c>
      <c r="E13" s="2624" t="s">
        <v>199</v>
      </c>
      <c r="F13" s="2625" t="str">
        <f>IF(SUM(E13)=0,"NA",G13*1000/E13)</f>
        <v>NA</v>
      </c>
      <c r="G13" s="699" t="s">
        <v>199</v>
      </c>
      <c r="H13" s="2627" t="s">
        <v>199</v>
      </c>
    </row>
    <row r="14" spans="2:8" ht="18" customHeight="1" x14ac:dyDescent="0.2">
      <c r="B14" s="1169" t="s">
        <v>849</v>
      </c>
      <c r="C14" s="2523"/>
      <c r="D14" s="1829"/>
      <c r="E14" s="1829"/>
      <c r="F14" s="1829"/>
      <c r="G14" s="1938" t="str">
        <f>G15</f>
        <v>NO</v>
      </c>
      <c r="H14" s="2628" t="str">
        <f>H15</f>
        <v>NO</v>
      </c>
    </row>
    <row r="15" spans="2:8" ht="18" customHeight="1" x14ac:dyDescent="0.2">
      <c r="B15" s="2626" t="s">
        <v>205</v>
      </c>
      <c r="C15" s="2523"/>
      <c r="D15" s="74" t="s">
        <v>850</v>
      </c>
      <c r="E15" s="2624" t="s">
        <v>199</v>
      </c>
      <c r="F15" s="2625" t="str">
        <f>IF(SUM(E15)=0,"NA",G15*1000/E15)</f>
        <v>NA</v>
      </c>
      <c r="G15" s="699" t="s">
        <v>199</v>
      </c>
      <c r="H15" s="2627" t="s">
        <v>199</v>
      </c>
    </row>
    <row r="16" spans="2:8" ht="18" customHeight="1" x14ac:dyDescent="0.2">
      <c r="B16" s="1168" t="s">
        <v>851</v>
      </c>
      <c r="C16" s="2523"/>
      <c r="D16" s="1828"/>
      <c r="E16" s="1829"/>
      <c r="F16" s="1829"/>
      <c r="G16" s="1938" t="str">
        <f>G17</f>
        <v>NO</v>
      </c>
      <c r="H16" s="2628" t="str">
        <f>H17</f>
        <v>NO</v>
      </c>
    </row>
    <row r="17" spans="2:8" ht="18" customHeight="1" x14ac:dyDescent="0.2">
      <c r="B17" s="1169" t="s">
        <v>852</v>
      </c>
      <c r="C17" s="4254"/>
      <c r="D17" s="74" t="s">
        <v>850</v>
      </c>
      <c r="E17" s="2624" t="s">
        <v>199</v>
      </c>
      <c r="F17" s="2625" t="str">
        <f>IF(SUM(E17)=0,"NA",G17*1000/E17)</f>
        <v>NA</v>
      </c>
      <c r="G17" s="699" t="s">
        <v>199</v>
      </c>
      <c r="H17" s="2627" t="s">
        <v>199</v>
      </c>
    </row>
    <row r="18" spans="2:8" ht="18" customHeight="1" x14ac:dyDescent="0.25">
      <c r="B18" s="1169" t="s">
        <v>853</v>
      </c>
      <c r="C18" s="4254"/>
      <c r="D18" s="74" t="s">
        <v>850</v>
      </c>
      <c r="E18" s="2624" t="s">
        <v>199</v>
      </c>
      <c r="F18" s="2625" t="str">
        <f>IF(SUM(E18)=0,"NA",G18*1000/E18)</f>
        <v>NA</v>
      </c>
      <c r="G18" s="699" t="s">
        <v>199</v>
      </c>
      <c r="H18" s="2627" t="s">
        <v>199</v>
      </c>
    </row>
    <row r="19" spans="2:8" ht="18" customHeight="1" x14ac:dyDescent="0.25">
      <c r="B19" s="1169" t="s">
        <v>854</v>
      </c>
      <c r="C19" s="4254"/>
      <c r="D19" s="74" t="s">
        <v>850</v>
      </c>
      <c r="E19" s="2624" t="s">
        <v>199</v>
      </c>
      <c r="F19" s="2625" t="str">
        <f>IF(SUM(E19)=0,"NA",G19*1000/E19)</f>
        <v>NA</v>
      </c>
      <c r="G19" s="699" t="s">
        <v>199</v>
      </c>
      <c r="H19" s="2627" t="s">
        <v>199</v>
      </c>
    </row>
    <row r="20" spans="2:8" ht="18" customHeight="1" x14ac:dyDescent="0.2">
      <c r="B20" s="1169" t="s">
        <v>855</v>
      </c>
      <c r="C20" s="2523"/>
      <c r="D20" s="75"/>
      <c r="E20" s="75"/>
      <c r="F20" s="1829"/>
      <c r="G20" s="1938" t="str">
        <f>G21</f>
        <v>NO</v>
      </c>
      <c r="H20" s="2628" t="str">
        <f>H21</f>
        <v>NO</v>
      </c>
    </row>
    <row r="21" spans="2:8" ht="18" customHeight="1" x14ac:dyDescent="0.2">
      <c r="B21" s="2626" t="s">
        <v>205</v>
      </c>
      <c r="C21" s="2523"/>
      <c r="D21" s="74" t="s">
        <v>850</v>
      </c>
      <c r="E21" s="2624" t="s">
        <v>199</v>
      </c>
      <c r="F21" s="2625" t="str">
        <f>IF(SUM(E21)=0,"NA",G21*1000/E21)</f>
        <v>NA</v>
      </c>
      <c r="G21" s="699" t="s">
        <v>199</v>
      </c>
      <c r="H21" s="2627" t="s">
        <v>199</v>
      </c>
    </row>
    <row r="22" spans="2:8" ht="18" customHeight="1" x14ac:dyDescent="0.2">
      <c r="B22" s="89" t="s">
        <v>856</v>
      </c>
      <c r="C22" s="2523"/>
      <c r="D22" s="1831"/>
      <c r="E22" s="1832"/>
      <c r="F22" s="1829"/>
      <c r="G22" s="3157">
        <f>IF(SUM(G23,G28,G29)=0,"NO",SUM(G23,G28,G29))</f>
        <v>73.358440671321986</v>
      </c>
      <c r="H22" s="2628" t="str">
        <f>H23</f>
        <v>NO</v>
      </c>
    </row>
    <row r="23" spans="2:8" ht="18" customHeight="1" x14ac:dyDescent="0.2">
      <c r="B23" s="169" t="s">
        <v>857</v>
      </c>
      <c r="C23" s="2523"/>
      <c r="D23" s="76"/>
      <c r="E23" s="76"/>
      <c r="F23" s="1829"/>
      <c r="G23" s="3157">
        <f>IF(SUM(G24,G27)=0,"NO",SUM(G24,G27))</f>
        <v>73.358440671321986</v>
      </c>
      <c r="H23" s="2628" t="str">
        <f>H24</f>
        <v>NO</v>
      </c>
    </row>
    <row r="24" spans="2:8" ht="18" customHeight="1" x14ac:dyDescent="0.2">
      <c r="B24" s="171" t="s">
        <v>858</v>
      </c>
      <c r="C24" s="2523"/>
      <c r="D24" s="76"/>
      <c r="E24" s="76"/>
      <c r="F24" s="1829"/>
      <c r="G24" s="3157">
        <f>IF(SUM(G25:G26)=0,"NO",SUM(G25:G26))</f>
        <v>73.358440671321986</v>
      </c>
      <c r="H24" s="2628" t="str">
        <f>H25</f>
        <v>NO</v>
      </c>
    </row>
    <row r="25" spans="2:8" ht="18" customHeight="1" x14ac:dyDescent="0.25">
      <c r="B25" s="2626" t="s">
        <v>859</v>
      </c>
      <c r="C25" s="2638" t="s">
        <v>859</v>
      </c>
      <c r="D25" s="73" t="s">
        <v>860</v>
      </c>
      <c r="E25" s="699">
        <v>1953999.9999999995</v>
      </c>
      <c r="F25" s="4135">
        <f>IF(SUM(E25)=0,"NA",G25*1000/E25)</f>
        <v>3.3227449333000002E-2</v>
      </c>
      <c r="G25" s="699">
        <v>64.926435996681988</v>
      </c>
      <c r="H25" s="2627" t="s">
        <v>199</v>
      </c>
    </row>
    <row r="26" spans="2:8" ht="18" customHeight="1" x14ac:dyDescent="0.25">
      <c r="B26" s="2626" t="s">
        <v>861</v>
      </c>
      <c r="C26" s="2638" t="s">
        <v>861</v>
      </c>
      <c r="D26" s="73" t="s">
        <v>860</v>
      </c>
      <c r="E26" s="699">
        <v>1953999.9999999995</v>
      </c>
      <c r="F26" s="4135">
        <f>IF(SUM(E26)=0,"NA",G26*1000/E26)</f>
        <v>4.31525316E-3</v>
      </c>
      <c r="G26" s="699">
        <v>8.4320046746399981</v>
      </c>
      <c r="H26" s="2627" t="s">
        <v>199</v>
      </c>
    </row>
    <row r="27" spans="2:8" ht="18" customHeight="1" x14ac:dyDescent="0.2">
      <c r="B27" s="171" t="s">
        <v>862</v>
      </c>
      <c r="C27" s="2523"/>
      <c r="D27" s="2523"/>
      <c r="E27" s="1834" t="s">
        <v>199</v>
      </c>
      <c r="F27" s="2625" t="str">
        <f>IF(SUM(E27)=0,"NA",G27*1000/E27)</f>
        <v>NA</v>
      </c>
      <c r="G27" s="3158" t="s">
        <v>199</v>
      </c>
      <c r="H27" s="2627" t="s">
        <v>199</v>
      </c>
    </row>
    <row r="28" spans="2:8" ht="18" customHeight="1" x14ac:dyDescent="0.2">
      <c r="B28" s="169" t="s">
        <v>863</v>
      </c>
      <c r="C28" s="2638" t="s">
        <v>864</v>
      </c>
      <c r="D28" s="1833" t="s">
        <v>865</v>
      </c>
      <c r="E28" s="2624" t="s">
        <v>199</v>
      </c>
      <c r="F28" s="2625" t="str">
        <f>IF(SUM(E28)=0,"NA",G28*1000/E28)</f>
        <v>NA</v>
      </c>
      <c r="G28" s="699" t="s">
        <v>199</v>
      </c>
      <c r="H28" s="2627" t="s">
        <v>199</v>
      </c>
    </row>
    <row r="29" spans="2:8" ht="18" customHeight="1" x14ac:dyDescent="0.2">
      <c r="B29" s="169" t="s">
        <v>716</v>
      </c>
      <c r="C29" s="2523"/>
      <c r="D29" s="1835"/>
      <c r="E29" s="1836"/>
      <c r="F29" s="1829"/>
      <c r="G29" s="3157" t="s">
        <v>199</v>
      </c>
      <c r="H29" s="2628" t="s">
        <v>199</v>
      </c>
    </row>
    <row r="30" spans="2:8" ht="18" customHeight="1" x14ac:dyDescent="0.2">
      <c r="B30" s="1241" t="s">
        <v>327</v>
      </c>
      <c r="C30" s="2523"/>
      <c r="D30" s="2415"/>
      <c r="E30" s="2416"/>
      <c r="F30" s="2417"/>
      <c r="G30" s="3159"/>
      <c r="H30" s="2418"/>
    </row>
    <row r="31" spans="2:8" ht="18" customHeight="1" x14ac:dyDescent="0.2">
      <c r="B31" s="1169" t="s">
        <v>808</v>
      </c>
      <c r="C31" s="2523"/>
      <c r="D31" s="2523"/>
      <c r="E31" s="2624" t="s">
        <v>199</v>
      </c>
      <c r="F31" s="2625" t="str">
        <f>IF(SUM(E31)=0,"NA",G31*1000/E31)</f>
        <v>NA</v>
      </c>
      <c r="G31" s="699" t="s">
        <v>199</v>
      </c>
      <c r="H31" s="2627" t="s">
        <v>199</v>
      </c>
    </row>
    <row r="32" spans="2:8" ht="18" customHeight="1" x14ac:dyDescent="0.2">
      <c r="B32" s="2443" t="s">
        <v>866</v>
      </c>
      <c r="C32" s="2523"/>
      <c r="D32" s="1835"/>
      <c r="E32" s="1836"/>
      <c r="F32" s="1829"/>
      <c r="G32" s="3157" t="s">
        <v>199</v>
      </c>
      <c r="H32" s="2628" t="s">
        <v>199</v>
      </c>
    </row>
    <row r="33" spans="2:8" ht="18" customHeight="1" x14ac:dyDescent="0.2">
      <c r="B33" s="2626" t="s">
        <v>810</v>
      </c>
      <c r="C33" s="4254"/>
      <c r="D33" s="4254"/>
      <c r="E33" s="2624" t="s">
        <v>199</v>
      </c>
      <c r="F33" s="2625" t="str">
        <f>IF(SUM(E33)=0,"NA",G33*1000/E33)</f>
        <v>NA</v>
      </c>
      <c r="G33" s="699" t="s">
        <v>199</v>
      </c>
      <c r="H33" s="2627" t="s">
        <v>199</v>
      </c>
    </row>
    <row r="34" spans="2:8" ht="18" customHeight="1" x14ac:dyDescent="0.2">
      <c r="B34" s="89" t="s">
        <v>867</v>
      </c>
      <c r="C34" s="2523"/>
      <c r="D34" s="75"/>
      <c r="E34" s="75"/>
      <c r="F34" s="1829"/>
      <c r="G34" s="3157" t="s">
        <v>199</v>
      </c>
      <c r="H34" s="2628" t="s">
        <v>199</v>
      </c>
    </row>
    <row r="35" spans="2:8" ht="18" customHeight="1" x14ac:dyDescent="0.2">
      <c r="B35" s="170" t="s">
        <v>718</v>
      </c>
      <c r="C35" s="4254"/>
      <c r="D35" s="144" t="s">
        <v>868</v>
      </c>
      <c r="E35" s="2624" t="s">
        <v>199</v>
      </c>
      <c r="F35" s="2625" t="str">
        <f>IF(SUM(E35)=0,"NA",G35*1000/E35)</f>
        <v>NA</v>
      </c>
      <c r="G35" s="699" t="s">
        <v>199</v>
      </c>
      <c r="H35" s="2627" t="s">
        <v>199</v>
      </c>
    </row>
    <row r="36" spans="2:8" ht="18" customHeight="1" x14ac:dyDescent="0.2">
      <c r="B36" s="170" t="s">
        <v>719</v>
      </c>
      <c r="C36" s="4254"/>
      <c r="D36" s="144" t="s">
        <v>868</v>
      </c>
      <c r="E36" s="2624" t="s">
        <v>199</v>
      </c>
      <c r="F36" s="2625" t="str">
        <f>IF(SUM(E36)=0,"NA",G36*1000/E36)</f>
        <v>NA</v>
      </c>
      <c r="G36" s="699" t="s">
        <v>199</v>
      </c>
      <c r="H36" s="2627" t="s">
        <v>199</v>
      </c>
    </row>
    <row r="37" spans="2:8" ht="18" customHeight="1" x14ac:dyDescent="0.2">
      <c r="B37" s="170" t="s">
        <v>720</v>
      </c>
      <c r="C37" s="4254"/>
      <c r="D37" s="144" t="s">
        <v>868</v>
      </c>
      <c r="E37" s="2624" t="s">
        <v>199</v>
      </c>
      <c r="F37" s="2625" t="str">
        <f>IF(SUM(E37)=0,"NA",G37*1000/E37)</f>
        <v>NA</v>
      </c>
      <c r="G37" s="699" t="s">
        <v>199</v>
      </c>
      <c r="H37" s="2627" t="s">
        <v>199</v>
      </c>
    </row>
    <row r="38" spans="2:8" ht="18" customHeight="1" x14ac:dyDescent="0.2">
      <c r="B38" s="170" t="s">
        <v>721</v>
      </c>
      <c r="C38" s="4254"/>
      <c r="D38" s="144" t="s">
        <v>868</v>
      </c>
      <c r="E38" s="2624" t="s">
        <v>199</v>
      </c>
      <c r="F38" s="2625" t="str">
        <f>IF(SUM(E38)=0,"NA",G38*1000/E38)</f>
        <v>NA</v>
      </c>
      <c r="G38" s="699" t="s">
        <v>199</v>
      </c>
      <c r="H38" s="2627" t="s">
        <v>199</v>
      </c>
    </row>
    <row r="39" spans="2:8" ht="18" customHeight="1" x14ac:dyDescent="0.2">
      <c r="B39" s="170" t="s">
        <v>869</v>
      </c>
      <c r="C39" s="2523"/>
      <c r="D39" s="145"/>
      <c r="E39" s="107"/>
      <c r="F39" s="1838"/>
      <c r="G39" s="3157" t="s">
        <v>199</v>
      </c>
      <c r="H39" s="2628" t="s">
        <v>199</v>
      </c>
    </row>
    <row r="40" spans="2:8" ht="18" customHeight="1" x14ac:dyDescent="0.2">
      <c r="B40" s="1241" t="s">
        <v>327</v>
      </c>
      <c r="C40" s="2523"/>
      <c r="D40" s="2415"/>
      <c r="E40" s="2416"/>
      <c r="F40" s="2417"/>
      <c r="G40" s="3159"/>
      <c r="H40" s="2418"/>
    </row>
    <row r="41" spans="2:8" ht="18" customHeight="1" x14ac:dyDescent="0.2">
      <c r="B41" s="2444" t="s">
        <v>870</v>
      </c>
      <c r="C41" s="2523"/>
      <c r="D41" s="2414" t="s">
        <v>868</v>
      </c>
      <c r="E41" s="2624" t="s">
        <v>199</v>
      </c>
      <c r="F41" s="2625" t="str">
        <f>IF(SUM(E41)=0,"NA",G41*1000/E41)</f>
        <v>NA</v>
      </c>
      <c r="G41" s="699" t="s">
        <v>199</v>
      </c>
      <c r="H41" s="2627" t="s">
        <v>199</v>
      </c>
    </row>
    <row r="42" spans="2:8" ht="18" customHeight="1" x14ac:dyDescent="0.2">
      <c r="B42" s="2443" t="s">
        <v>871</v>
      </c>
      <c r="C42" s="2523"/>
      <c r="D42" s="145"/>
      <c r="E42" s="107"/>
      <c r="F42" s="1838"/>
      <c r="G42" s="3157" t="s">
        <v>199</v>
      </c>
      <c r="H42" s="2628" t="s">
        <v>199</v>
      </c>
    </row>
    <row r="43" spans="2:8" ht="18" customHeight="1" thickBot="1" x14ac:dyDescent="0.25">
      <c r="B43" s="2630" t="s">
        <v>205</v>
      </c>
      <c r="C43" s="2528"/>
      <c r="D43" s="146" t="s">
        <v>868</v>
      </c>
      <c r="E43" s="2631" t="s">
        <v>199</v>
      </c>
      <c r="F43" s="2632" t="str">
        <f>IF(SUM(E43)=0,"NA",G43*1000/E43)</f>
        <v>NA</v>
      </c>
      <c r="G43" s="1562" t="s">
        <v>199</v>
      </c>
      <c r="H43" s="2633"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48"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2460</v>
      </c>
    </row>
    <row r="2" spans="1:13" ht="15.75" x14ac:dyDescent="0.2">
      <c r="B2" s="3" t="s">
        <v>839</v>
      </c>
      <c r="C2" s="3"/>
      <c r="D2" s="3"/>
      <c r="H2" s="226"/>
      <c r="M2" s="14" t="s">
        <v>2461</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5"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4"/>
      <c r="D10" s="149"/>
      <c r="E10" s="149"/>
      <c r="F10" s="149"/>
      <c r="G10" s="149"/>
      <c r="H10" s="149"/>
      <c r="I10" s="149"/>
      <c r="J10" s="3191">
        <f>IF(SUM(J11,J90,J117,J130,J146,J159)=0,"NO",SUM(J11,J90,J117,J130,J146,J159))</f>
        <v>45.910496967430475</v>
      </c>
      <c r="K10" s="3191">
        <f>IF(SUM(K11,K90,K117,K130,K146,K159)=0,"NO",SUM(K11,K90,K117,K130,K146,K159))</f>
        <v>1708.9821767675071</v>
      </c>
      <c r="L10" s="3192">
        <f>IF(SUM(L11,L90,L117,L130,L146,L159)=0,"NO",SUM(L11,L90,L117,L130,L146,L159))</f>
        <v>468.59418930284744</v>
      </c>
      <c r="M10" s="3462">
        <f>IF(SUM(M11,M90,M117,M130,M146,M159)=0,"NO",SUM(M11,M90,M117,M130,M146,M159))</f>
        <v>-177.45877310256054</v>
      </c>
    </row>
    <row r="11" spans="1:13" ht="18" customHeight="1" x14ac:dyDescent="0.2">
      <c r="B11" s="147" t="s">
        <v>888</v>
      </c>
      <c r="C11" s="2524"/>
      <c r="D11" s="150"/>
      <c r="E11" s="150"/>
      <c r="F11" s="150"/>
      <c r="G11" s="150"/>
      <c r="H11" s="150"/>
      <c r="I11" s="150"/>
      <c r="J11" s="3081">
        <f>IF(SUM(J12,J25,J38,J51,J64,J77)=0,"NO",SUM(J12,J25,J38,J51,J64,J77))</f>
        <v>24.228751372089548</v>
      </c>
      <c r="K11" s="3081">
        <f t="shared" ref="K11:M11" si="0">IF(SUM(K12,K25,K38,K51,K64,K77)=0,"NO",SUM(K12,K25,K38,K51,K64,K77))</f>
        <v>1612.7587200567402</v>
      </c>
      <c r="L11" s="3081">
        <f t="shared" si="0"/>
        <v>451.50982595850883</v>
      </c>
      <c r="M11" s="3193">
        <f t="shared" si="0"/>
        <v>-172.71352915623396</v>
      </c>
    </row>
    <row r="12" spans="1:13" ht="18" customHeight="1" x14ac:dyDescent="0.2">
      <c r="B12" s="104" t="s">
        <v>889</v>
      </c>
      <c r="C12" s="2524"/>
      <c r="D12" s="150"/>
      <c r="E12" s="150"/>
      <c r="F12" s="150"/>
      <c r="G12" s="150"/>
      <c r="H12" s="150"/>
      <c r="I12" s="150"/>
      <c r="J12" s="3081">
        <f>IF(SUM(J13:J24)=0,"NO",SUM(J13:J24))</f>
        <v>18.080857899771047</v>
      </c>
      <c r="K12" s="3081">
        <f>IF(SUM(K13:K24)=0,"NO",SUM(K13:K24))</f>
        <v>901.96936635706538</v>
      </c>
      <c r="L12" s="3081">
        <f>IF(SUM(L13:L24)=0,"NO",SUM(L13:L24))</f>
        <v>122.96566074451778</v>
      </c>
      <c r="M12" s="3193">
        <f>IF(SUM(M13:M24)=0,"NO",SUM(M13:M24))</f>
        <v>-34.506290618033447</v>
      </c>
    </row>
    <row r="13" spans="1:13" ht="18" customHeight="1" x14ac:dyDescent="0.2">
      <c r="B13" s="2634" t="s">
        <v>671</v>
      </c>
      <c r="C13" s="2636" t="s">
        <v>671</v>
      </c>
      <c r="D13" s="3160">
        <v>17.264758037849383</v>
      </c>
      <c r="E13" s="3160">
        <v>108.12894024187294</v>
      </c>
      <c r="F13" s="3160">
        <v>2.6360327950177309</v>
      </c>
      <c r="G13" s="3668">
        <f>IF(SUM(D13)=0,"NA",J13/D13)</f>
        <v>1.7500000000000005E-2</v>
      </c>
      <c r="H13" s="3081">
        <f>IF(SUM(E13)=0,"NA",K13/E13)</f>
        <v>0.13938927304460103</v>
      </c>
      <c r="I13" s="3081">
        <f>IF(SUM(F13)=0,"NA",L13/F13)</f>
        <v>0.78037710669929128</v>
      </c>
      <c r="J13" s="3194">
        <v>0.30213326566236426</v>
      </c>
      <c r="K13" s="3194">
        <v>15.072014375397774</v>
      </c>
      <c r="L13" s="3194">
        <v>2.057099645740383</v>
      </c>
      <c r="M13" s="3460">
        <v>-0.5789331492773484</v>
      </c>
    </row>
    <row r="14" spans="1:13" ht="18" customHeight="1" x14ac:dyDescent="0.2">
      <c r="B14" s="2634" t="s">
        <v>672</v>
      </c>
      <c r="C14" s="2636" t="s">
        <v>672</v>
      </c>
      <c r="D14" s="3160">
        <v>38.52188616961466</v>
      </c>
      <c r="E14" s="3160">
        <v>241.26203903390217</v>
      </c>
      <c r="F14" s="3160">
        <v>5.8816321112886758</v>
      </c>
      <c r="G14" s="3668">
        <f t="shared" ref="G14:G24" si="1">IF(SUM(D14)=0,"NA",J14/D14)</f>
        <v>1.7500000000000002E-2</v>
      </c>
      <c r="H14" s="3081">
        <f t="shared" ref="H14:H24" si="2">IF(SUM(E14)=0,"NA",K14/E14)</f>
        <v>0.13938927304460108</v>
      </c>
      <c r="I14" s="3081">
        <f t="shared" ref="I14:I24" si="3">IF(SUM(F14)=0,"NA",L14/F14)</f>
        <v>0.78037710669928861</v>
      </c>
      <c r="J14" s="3194">
        <v>0.67413300796825659</v>
      </c>
      <c r="K14" s="3194">
        <v>33.629340234193791</v>
      </c>
      <c r="L14" s="3194">
        <v>4.5898910496770853</v>
      </c>
      <c r="M14" s="3460">
        <v>-1.2917410616115754</v>
      </c>
    </row>
    <row r="15" spans="1:13" ht="18" customHeight="1" x14ac:dyDescent="0.2">
      <c r="B15" s="2634" t="s">
        <v>674</v>
      </c>
      <c r="C15" s="2636" t="s">
        <v>674</v>
      </c>
      <c r="D15" s="3160" t="s">
        <v>199</v>
      </c>
      <c r="E15" s="3160" t="s">
        <v>199</v>
      </c>
      <c r="F15" s="3160" t="s">
        <v>199</v>
      </c>
      <c r="G15" s="3668" t="str">
        <f t="shared" ref="G15" si="4">IF(SUM(D15)=0,"NA",J15/D15)</f>
        <v>NA</v>
      </c>
      <c r="H15" s="3081" t="str">
        <f t="shared" ref="H15" si="5">IF(SUM(E15)=0,"NA",K15/E15)</f>
        <v>NA</v>
      </c>
      <c r="I15" s="3081" t="str">
        <f t="shared" ref="I15" si="6">IF(SUM(F15)=0,"NA",L15/F15)</f>
        <v>NA</v>
      </c>
      <c r="J15" s="3194" t="s">
        <v>199</v>
      </c>
      <c r="K15" s="3194" t="s">
        <v>199</v>
      </c>
      <c r="L15" s="3194" t="s">
        <v>199</v>
      </c>
      <c r="M15" s="3460" t="s">
        <v>199</v>
      </c>
    </row>
    <row r="16" spans="1:13" ht="18" customHeight="1" x14ac:dyDescent="0.2">
      <c r="B16" s="2634" t="s">
        <v>675</v>
      </c>
      <c r="C16" s="2636" t="s">
        <v>675</v>
      </c>
      <c r="D16" s="3160">
        <v>167.68977378912916</v>
      </c>
      <c r="E16" s="3160">
        <v>1050.2387284818615</v>
      </c>
      <c r="F16" s="3160">
        <v>25.603355814670437</v>
      </c>
      <c r="G16" s="3668">
        <f t="shared" si="1"/>
        <v>1.7500000000000002E-2</v>
      </c>
      <c r="H16" s="3081">
        <f t="shared" si="2"/>
        <v>0.13938927304460105</v>
      </c>
      <c r="I16" s="3081">
        <f t="shared" si="3"/>
        <v>0.78037710669929172</v>
      </c>
      <c r="J16" s="3194">
        <v>2.9345710413097605</v>
      </c>
      <c r="K16" s="3194">
        <v>146.39201288637281</v>
      </c>
      <c r="L16" s="3194">
        <v>19.980272732445002</v>
      </c>
      <c r="M16" s="3460">
        <v>-5.6230830822254481</v>
      </c>
    </row>
    <row r="17" spans="2:13" ht="18" customHeight="1" x14ac:dyDescent="0.2">
      <c r="B17" s="2634" t="s">
        <v>676</v>
      </c>
      <c r="C17" s="2636" t="s">
        <v>676</v>
      </c>
      <c r="D17" s="3160">
        <v>0.31189347261853789</v>
      </c>
      <c r="E17" s="3160">
        <v>1.9533844950891122</v>
      </c>
      <c r="F17" s="3160">
        <v>4.7620790315856899E-2</v>
      </c>
      <c r="G17" s="3668">
        <f t="shared" si="1"/>
        <v>1.7500000000000002E-2</v>
      </c>
      <c r="H17" s="3081">
        <f t="shared" si="2"/>
        <v>0.13938927304460105</v>
      </c>
      <c r="I17" s="3081">
        <f t="shared" si="3"/>
        <v>0.78037710669929006</v>
      </c>
      <c r="J17" s="3194">
        <v>5.4581357708244132E-3</v>
      </c>
      <c r="K17" s="3194">
        <v>0.27228084474706643</v>
      </c>
      <c r="L17" s="3194">
        <v>3.7162174565421979E-2</v>
      </c>
      <c r="M17" s="3460">
        <v>-1.0458615750434868E-2</v>
      </c>
    </row>
    <row r="18" spans="2:13" ht="18" customHeight="1" x14ac:dyDescent="0.2">
      <c r="B18" s="2634" t="s">
        <v>677</v>
      </c>
      <c r="C18" s="2636" t="s">
        <v>677</v>
      </c>
      <c r="D18" s="3160">
        <v>601.07265970340768</v>
      </c>
      <c r="E18" s="3160">
        <v>3764.509734779313</v>
      </c>
      <c r="F18" s="3160">
        <v>91.773498342296193</v>
      </c>
      <c r="G18" s="3668">
        <f t="shared" si="1"/>
        <v>1.7500000000000005E-2</v>
      </c>
      <c r="H18" s="3081">
        <f t="shared" si="2"/>
        <v>0.13938927304460105</v>
      </c>
      <c r="I18" s="3081">
        <f t="shared" si="3"/>
        <v>0.78037710669928984</v>
      </c>
      <c r="J18" s="3194">
        <v>10.518771544809637</v>
      </c>
      <c r="K18" s="3194">
        <v>524.73227530021234</v>
      </c>
      <c r="L18" s="3194">
        <v>71.617937108033175</v>
      </c>
      <c r="M18" s="3460">
        <v>-20.155561234262898</v>
      </c>
    </row>
    <row r="19" spans="2:13" ht="18" customHeight="1" x14ac:dyDescent="0.2">
      <c r="B19" s="2634" t="s">
        <v>679</v>
      </c>
      <c r="C19" s="2636" t="s">
        <v>679</v>
      </c>
      <c r="D19" s="3160">
        <v>158.82852746860902</v>
      </c>
      <c r="E19" s="3160">
        <v>994.74086562392426</v>
      </c>
      <c r="F19" s="3160">
        <v>24.250395300864653</v>
      </c>
      <c r="G19" s="3668">
        <f t="shared" si="1"/>
        <v>1.7500000000000005E-2</v>
      </c>
      <c r="H19" s="3081">
        <f t="shared" si="2"/>
        <v>0.13938927304460105</v>
      </c>
      <c r="I19" s="3081">
        <f t="shared" si="3"/>
        <v>0.78037710669929072</v>
      </c>
      <c r="J19" s="3194">
        <v>2.7794992307006585</v>
      </c>
      <c r="K19" s="3194">
        <v>138.65620612707599</v>
      </c>
      <c r="L19" s="3194">
        <v>18.924453321202833</v>
      </c>
      <c r="M19" s="3460">
        <v>-5.3259419796618079</v>
      </c>
    </row>
    <row r="20" spans="2:13" ht="18" customHeight="1" x14ac:dyDescent="0.2">
      <c r="B20" s="2634" t="s">
        <v>681</v>
      </c>
      <c r="C20" s="2636" t="s">
        <v>681</v>
      </c>
      <c r="D20" s="3160">
        <v>16.887659879535462</v>
      </c>
      <c r="E20" s="3160">
        <v>105.76717970423579</v>
      </c>
      <c r="F20" s="3160">
        <v>2.5784563661979902</v>
      </c>
      <c r="G20" s="3668">
        <f t="shared" si="1"/>
        <v>1.7500000000000002E-2</v>
      </c>
      <c r="H20" s="3081">
        <f t="shared" si="2"/>
        <v>0.13938927304460105</v>
      </c>
      <c r="I20" s="3081">
        <f t="shared" si="3"/>
        <v>0.75808868178045952</v>
      </c>
      <c r="J20" s="3194">
        <v>0.2955340478918706</v>
      </c>
      <c r="K20" s="3194">
        <v>14.742810290951109</v>
      </c>
      <c r="L20" s="3194">
        <v>1.9546985876794682</v>
      </c>
      <c r="M20" s="3460">
        <v>-0.50881831626954921</v>
      </c>
    </row>
    <row r="21" spans="2:13" ht="18" customHeight="1" x14ac:dyDescent="0.2">
      <c r="B21" s="2634" t="s">
        <v>683</v>
      </c>
      <c r="C21" s="2636" t="s">
        <v>683</v>
      </c>
      <c r="D21" s="3160">
        <v>6.4788336921234615</v>
      </c>
      <c r="E21" s="3160">
        <v>40.576845594756797</v>
      </c>
      <c r="F21" s="3160">
        <v>0.98920691784167381</v>
      </c>
      <c r="G21" s="3668">
        <f t="shared" si="1"/>
        <v>1.7500000000000005E-2</v>
      </c>
      <c r="H21" s="3081">
        <f t="shared" si="2"/>
        <v>0.13938927304460103</v>
      </c>
      <c r="I21" s="3081">
        <f t="shared" si="3"/>
        <v>0.78037710669929061</v>
      </c>
      <c r="J21" s="3194">
        <v>0.1133795896121606</v>
      </c>
      <c r="K21" s="3194">
        <v>5.6559770098961719</v>
      </c>
      <c r="L21" s="3194">
        <v>0.7719544324722083</v>
      </c>
      <c r="M21" s="3460">
        <v>-0.21725248536946498</v>
      </c>
    </row>
    <row r="22" spans="2:13" ht="18" customHeight="1" x14ac:dyDescent="0.2">
      <c r="B22" s="2634" t="s">
        <v>686</v>
      </c>
      <c r="C22" s="2636" t="s">
        <v>686</v>
      </c>
      <c r="D22" s="3160">
        <v>2.0678550941230336</v>
      </c>
      <c r="E22" s="3160">
        <v>10.708169139071156</v>
      </c>
      <c r="F22" s="3160">
        <v>0.31572604907075774</v>
      </c>
      <c r="G22" s="3668">
        <f t="shared" si="1"/>
        <v>1.7500000000000002E-2</v>
      </c>
      <c r="H22" s="3081">
        <f t="shared" si="2"/>
        <v>0.16858373955495787</v>
      </c>
      <c r="I22" s="3081">
        <f t="shared" si="3"/>
        <v>0.78037710669929139</v>
      </c>
      <c r="J22" s="3194">
        <v>3.6187464147153091E-2</v>
      </c>
      <c r="K22" s="3194">
        <v>1.8052231972516091</v>
      </c>
      <c r="L22" s="3194">
        <v>0.24638538068343641</v>
      </c>
      <c r="M22" s="3460">
        <v>-6.9340668387321377E-2</v>
      </c>
    </row>
    <row r="23" spans="2:13" ht="18" customHeight="1" x14ac:dyDescent="0.2">
      <c r="B23" s="2634" t="s">
        <v>688</v>
      </c>
      <c r="C23" s="2636" t="s">
        <v>688</v>
      </c>
      <c r="D23" s="3160">
        <v>12.741047366798828</v>
      </c>
      <c r="E23" s="3160">
        <v>79.797003023337808</v>
      </c>
      <c r="F23" s="3160">
        <v>1.9453396698711971</v>
      </c>
      <c r="G23" s="3668">
        <f t="shared" si="1"/>
        <v>1.7500000000000002E-2</v>
      </c>
      <c r="H23" s="3081">
        <f t="shared" si="2"/>
        <v>0.13938927304460105</v>
      </c>
      <c r="I23" s="3081">
        <f t="shared" si="3"/>
        <v>0.7580886817804604</v>
      </c>
      <c r="J23" s="3194">
        <v>0.22296832891897952</v>
      </c>
      <c r="K23" s="3194">
        <v>11.12284624256089</v>
      </c>
      <c r="L23" s="3194">
        <v>1.4747399859478918</v>
      </c>
      <c r="M23" s="3460">
        <v>-0.38388256957621059</v>
      </c>
    </row>
    <row r="24" spans="2:13" ht="18" customHeight="1" x14ac:dyDescent="0.2">
      <c r="B24" s="2634" t="s">
        <v>689</v>
      </c>
      <c r="C24" s="2636" t="s">
        <v>689</v>
      </c>
      <c r="D24" s="3160">
        <v>11.326985313107327</v>
      </c>
      <c r="E24" s="3160">
        <v>70.940751984852085</v>
      </c>
      <c r="F24" s="3160">
        <v>1.7294366181429819</v>
      </c>
      <c r="G24" s="3668">
        <f t="shared" si="1"/>
        <v>1.7500000000000005E-2</v>
      </c>
      <c r="H24" s="3081">
        <f t="shared" si="2"/>
        <v>0.13938927304460103</v>
      </c>
      <c r="I24" s="3081">
        <f t="shared" si="3"/>
        <v>0.75808868178046118</v>
      </c>
      <c r="J24" s="3194">
        <v>0.19822224297937829</v>
      </c>
      <c r="K24" s="3194">
        <v>9.8883798484058687</v>
      </c>
      <c r="L24" s="3194">
        <v>1.3110663260708719</v>
      </c>
      <c r="M24" s="3460">
        <v>-0.34127745564139811</v>
      </c>
    </row>
    <row r="25" spans="2:13" ht="18" customHeight="1" x14ac:dyDescent="0.2">
      <c r="B25" s="105" t="s">
        <v>890</v>
      </c>
      <c r="C25" s="2524"/>
      <c r="D25" s="150"/>
      <c r="E25" s="150"/>
      <c r="F25" s="150"/>
      <c r="G25" s="3669"/>
      <c r="H25" s="2135"/>
      <c r="I25" s="2135"/>
      <c r="J25" s="3081">
        <f>IF(SUM(J26:J37)=0,"NO",SUM(J26:J37))</f>
        <v>8.596084261596805E-2</v>
      </c>
      <c r="K25" s="3081">
        <f>IF(SUM(K26:K37)=0,"NO",SUM(K26:K37))</f>
        <v>10.244979041577119</v>
      </c>
      <c r="L25" s="3081">
        <f>IF(SUM(L26:L37)=0,"NO",SUM(L26:L37))</f>
        <v>19.133545128441597</v>
      </c>
      <c r="M25" s="3193">
        <f>IF(SUM(M26:M37)=0,"NO",SUM(M26:M37))</f>
        <v>-4.417774473967512</v>
      </c>
    </row>
    <row r="26" spans="2:13" ht="18" customHeight="1" x14ac:dyDescent="0.2">
      <c r="B26" s="2634" t="s">
        <v>671</v>
      </c>
      <c r="C26" s="2636" t="s">
        <v>671</v>
      </c>
      <c r="D26" s="3461">
        <v>0.2394026345672812</v>
      </c>
      <c r="E26" s="3461">
        <v>10.235883115452685</v>
      </c>
      <c r="F26" s="3461">
        <v>0.39354532520406704</v>
      </c>
      <c r="G26" s="3668">
        <f>IF(SUM(D26)=0,"NA",J26/D26)</f>
        <v>5.9999999999999993E-3</v>
      </c>
      <c r="H26" s="3081">
        <f>IF(SUM(E26)=0,"NA",K26/E26)</f>
        <v>1.6724966946561594E-2</v>
      </c>
      <c r="I26" s="3081">
        <f>IF(SUM(F26)=0,"NA",L26/F26)</f>
        <v>0.81241923813408679</v>
      </c>
      <c r="J26" s="3194">
        <v>1.436415807403687E-3</v>
      </c>
      <c r="K26" s="3194">
        <v>0.17119480677481408</v>
      </c>
      <c r="L26" s="3194">
        <v>0.31972379327351957</v>
      </c>
      <c r="M26" s="3460">
        <v>-7.3821531930547385E-2</v>
      </c>
    </row>
    <row r="27" spans="2:13" ht="18" customHeight="1" x14ac:dyDescent="0.2">
      <c r="B27" s="2634" t="s">
        <v>672</v>
      </c>
      <c r="C27" s="2636" t="s">
        <v>672</v>
      </c>
      <c r="D27" s="3461">
        <v>0.53416566958475864</v>
      </c>
      <c r="E27" s="3461">
        <v>22.838751829276507</v>
      </c>
      <c r="F27" s="3461">
        <v>0.87809560880376514</v>
      </c>
      <c r="G27" s="3668">
        <f t="shared" ref="G27:G37" si="7">IF(SUM(D27)=0,"NA",J27/D27)</f>
        <v>6.0000000000000001E-3</v>
      </c>
      <c r="H27" s="3081">
        <f t="shared" ref="H27:H37" si="8">IF(SUM(E27)=0,"NA",K27/E27)</f>
        <v>1.6724966946561594E-2</v>
      </c>
      <c r="I27" s="3081">
        <f t="shared" ref="I27:I37" si="9">IF(SUM(F27)=0,"NA",L27/F27)</f>
        <v>0.81241923813408701</v>
      </c>
      <c r="J27" s="3194">
        <v>3.204994017508552E-3</v>
      </c>
      <c r="K27" s="3194">
        <v>0.38197736944537275</v>
      </c>
      <c r="L27" s="3194">
        <v>0.71338176551324217</v>
      </c>
      <c r="M27" s="3460">
        <v>-0.16471384329052297</v>
      </c>
    </row>
    <row r="28" spans="2:13" ht="18" customHeight="1" x14ac:dyDescent="0.2">
      <c r="B28" s="2634" t="s">
        <v>674</v>
      </c>
      <c r="C28" s="2636" t="s">
        <v>674</v>
      </c>
      <c r="D28" s="3461" t="s">
        <v>199</v>
      </c>
      <c r="E28" s="3461" t="s">
        <v>199</v>
      </c>
      <c r="F28" s="3461" t="s">
        <v>199</v>
      </c>
      <c r="G28" s="3668" t="str">
        <f t="shared" si="7"/>
        <v>NA</v>
      </c>
      <c r="H28" s="3081" t="str">
        <f t="shared" si="8"/>
        <v>NA</v>
      </c>
      <c r="I28" s="3081" t="str">
        <f t="shared" si="9"/>
        <v>NA</v>
      </c>
      <c r="J28" s="3194" t="s">
        <v>199</v>
      </c>
      <c r="K28" s="3194" t="s">
        <v>199</v>
      </c>
      <c r="L28" s="3194" t="s">
        <v>199</v>
      </c>
      <c r="M28" s="3460" t="s">
        <v>199</v>
      </c>
    </row>
    <row r="29" spans="2:13" ht="18" customHeight="1" x14ac:dyDescent="0.2">
      <c r="B29" s="2634" t="s">
        <v>675</v>
      </c>
      <c r="C29" s="2636" t="s">
        <v>675</v>
      </c>
      <c r="D29" s="3461">
        <v>2.3252786715631095</v>
      </c>
      <c r="E29" s="3461">
        <v>99.419460174261445</v>
      </c>
      <c r="F29" s="3461">
        <v>3.8224414390611337</v>
      </c>
      <c r="G29" s="3668">
        <f t="shared" si="7"/>
        <v>5.9999999999999993E-3</v>
      </c>
      <c r="H29" s="3081">
        <f t="shared" si="8"/>
        <v>1.6724966946561597E-2</v>
      </c>
      <c r="I29" s="3081">
        <f t="shared" si="9"/>
        <v>0.81241923813408667</v>
      </c>
      <c r="J29" s="3194">
        <v>1.3951672029378656E-2</v>
      </c>
      <c r="K29" s="3194">
        <v>1.6627871852595197</v>
      </c>
      <c r="L29" s="3194">
        <v>3.105424961734208</v>
      </c>
      <c r="M29" s="3460">
        <v>-0.71701647732692431</v>
      </c>
    </row>
    <row r="30" spans="2:13" ht="18" customHeight="1" x14ac:dyDescent="0.2">
      <c r="B30" s="2634" t="s">
        <v>676</v>
      </c>
      <c r="C30" s="2636" t="s">
        <v>676</v>
      </c>
      <c r="D30" s="3461">
        <v>4.324886504955462E-3</v>
      </c>
      <c r="E30" s="3461">
        <v>0.18491455965945733</v>
      </c>
      <c r="F30" s="3461">
        <v>7.1095243757020596E-3</v>
      </c>
      <c r="G30" s="3668">
        <f t="shared" si="7"/>
        <v>5.9999999999999993E-3</v>
      </c>
      <c r="H30" s="3081">
        <f t="shared" si="8"/>
        <v>1.6724966946561594E-2</v>
      </c>
      <c r="I30" s="3081">
        <f t="shared" si="9"/>
        <v>0.81241923813408701</v>
      </c>
      <c r="J30" s="3194">
        <v>2.5949319029732768E-5</v>
      </c>
      <c r="K30" s="3194">
        <v>3.0926898982424158E-3</v>
      </c>
      <c r="L30" s="3194">
        <v>5.7759143768035875E-3</v>
      </c>
      <c r="M30" s="3460">
        <v>-1.3336099988984719E-3</v>
      </c>
    </row>
    <row r="31" spans="2:13" ht="18" customHeight="1" x14ac:dyDescent="0.2">
      <c r="B31" s="2634" t="s">
        <v>677</v>
      </c>
      <c r="C31" s="2636" t="s">
        <v>677</v>
      </c>
      <c r="D31" s="3461">
        <v>8.3348042285846962</v>
      </c>
      <c r="E31" s="3461">
        <v>356.36233506025695</v>
      </c>
      <c r="F31" s="3461">
        <v>13.701282972843638</v>
      </c>
      <c r="G31" s="3668">
        <f t="shared" si="7"/>
        <v>5.9999999999999993E-3</v>
      </c>
      <c r="H31" s="3081">
        <f t="shared" si="8"/>
        <v>1.6724966946561601E-2</v>
      </c>
      <c r="I31" s="3081">
        <f t="shared" si="9"/>
        <v>0.81241923813408701</v>
      </c>
      <c r="J31" s="3194">
        <v>5.0008825371508171E-2</v>
      </c>
      <c r="K31" s="3194">
        <v>5.9601482748823074</v>
      </c>
      <c r="L31" s="3194">
        <v>11.131185874257167</v>
      </c>
      <c r="M31" s="3460">
        <v>-2.5700970985864711</v>
      </c>
    </row>
    <row r="32" spans="2:13" ht="18" customHeight="1" x14ac:dyDescent="0.2">
      <c r="B32" s="2634" t="s">
        <v>679</v>
      </c>
      <c r="C32" s="2636" t="s">
        <v>679</v>
      </c>
      <c r="D32" s="3461">
        <v>2.2024037543455379</v>
      </c>
      <c r="E32" s="3461">
        <v>94.165828388908167</v>
      </c>
      <c r="F32" s="3461">
        <v>3.6204518104038859</v>
      </c>
      <c r="G32" s="3668">
        <f t="shared" si="7"/>
        <v>6.0000000000000001E-3</v>
      </c>
      <c r="H32" s="3081">
        <f t="shared" si="8"/>
        <v>1.6724966946561597E-2</v>
      </c>
      <c r="I32" s="3081">
        <f t="shared" si="9"/>
        <v>0.81241923813408679</v>
      </c>
      <c r="J32" s="3194">
        <v>1.3214422526073228E-2</v>
      </c>
      <c r="K32" s="3194">
        <v>1.5749203673000807</v>
      </c>
      <c r="L32" s="3194">
        <v>2.9413247015095001</v>
      </c>
      <c r="M32" s="3460">
        <v>-0.67912710889438488</v>
      </c>
    </row>
    <row r="33" spans="2:13" ht="18" customHeight="1" x14ac:dyDescent="0.2">
      <c r="B33" s="2634" t="s">
        <v>681</v>
      </c>
      <c r="C33" s="2636" t="s">
        <v>681</v>
      </c>
      <c r="D33" s="3461">
        <v>0.23417358401279864</v>
      </c>
      <c r="E33" s="3461">
        <v>10.012310177848132</v>
      </c>
      <c r="F33" s="3461">
        <v>0.38494947827576609</v>
      </c>
      <c r="G33" s="3668">
        <f t="shared" si="7"/>
        <v>6.0000000000000001E-3</v>
      </c>
      <c r="H33" s="3081">
        <f t="shared" si="8"/>
        <v>1.6724966946561597E-2</v>
      </c>
      <c r="I33" s="3081">
        <f t="shared" si="9"/>
        <v>0.81241923813408656</v>
      </c>
      <c r="J33" s="3194">
        <v>1.4050415040767919E-3</v>
      </c>
      <c r="K33" s="3194">
        <v>0.16745555678323226</v>
      </c>
      <c r="L33" s="3194">
        <v>0.31274036186091198</v>
      </c>
      <c r="M33" s="3460">
        <v>-7.2209116414853919E-2</v>
      </c>
    </row>
    <row r="34" spans="2:13" ht="18" customHeight="1" x14ac:dyDescent="0.2">
      <c r="B34" s="2634" t="s">
        <v>683</v>
      </c>
      <c r="C34" s="2636" t="s">
        <v>683</v>
      </c>
      <c r="D34" s="3461">
        <v>8.9839072833645769E-2</v>
      </c>
      <c r="E34" s="3461">
        <v>3.8411534208384048</v>
      </c>
      <c r="F34" s="3461">
        <v>0.14768319988731241</v>
      </c>
      <c r="G34" s="3668">
        <f t="shared" si="7"/>
        <v>6.0000000000000001E-3</v>
      </c>
      <c r="H34" s="3081">
        <f t="shared" si="8"/>
        <v>1.6724966946561594E-2</v>
      </c>
      <c r="I34" s="3081">
        <f t="shared" si="9"/>
        <v>0.8124192381340869</v>
      </c>
      <c r="J34" s="3194">
        <v>5.3903443700187466E-4</v>
      </c>
      <c r="K34" s="3194">
        <v>6.4243164000194322E-2</v>
      </c>
      <c r="L34" s="3194">
        <v>0.11998067273765441</v>
      </c>
      <c r="M34" s="3460">
        <v>-2.7702527149657982E-2</v>
      </c>
    </row>
    <row r="35" spans="2:13" ht="18" customHeight="1" x14ac:dyDescent="0.2">
      <c r="B35" s="2634" t="s">
        <v>686</v>
      </c>
      <c r="C35" s="2636" t="s">
        <v>686</v>
      </c>
      <c r="D35" s="3461">
        <v>2.8674016534209951E-2</v>
      </c>
      <c r="E35" s="3461">
        <v>1.2259843431766624</v>
      </c>
      <c r="F35" s="3461">
        <v>4.7136177854764059E-2</v>
      </c>
      <c r="G35" s="3668">
        <f t="shared" si="7"/>
        <v>6.000000000000001E-3</v>
      </c>
      <c r="H35" s="3081">
        <f t="shared" si="8"/>
        <v>1.6724966946561594E-2</v>
      </c>
      <c r="I35" s="3081">
        <f t="shared" si="9"/>
        <v>0.8124192381340869</v>
      </c>
      <c r="J35" s="3194">
        <v>1.7204409920525972E-4</v>
      </c>
      <c r="K35" s="3194">
        <v>2.0504547616631705E-2</v>
      </c>
      <c r="L35" s="3194">
        <v>3.8294337701320236E-2</v>
      </c>
      <c r="M35" s="3460">
        <v>-8.8418401534438185E-3</v>
      </c>
    </row>
    <row r="36" spans="2:13" ht="18" customHeight="1" x14ac:dyDescent="0.2">
      <c r="B36" s="2634" t="s">
        <v>688</v>
      </c>
      <c r="C36" s="2636" t="s">
        <v>688</v>
      </c>
      <c r="D36" s="3461">
        <v>0.17667437331418973</v>
      </c>
      <c r="E36" s="3461">
        <v>7.553877750796703</v>
      </c>
      <c r="F36" s="3461">
        <v>0.29042860713221252</v>
      </c>
      <c r="G36" s="3668">
        <f t="shared" si="7"/>
        <v>6.000000000000001E-3</v>
      </c>
      <c r="H36" s="3081">
        <f t="shared" si="8"/>
        <v>1.6724966946561597E-2</v>
      </c>
      <c r="I36" s="3081">
        <f t="shared" si="9"/>
        <v>0.8124192381340869</v>
      </c>
      <c r="J36" s="3194">
        <v>1.0600462398851385E-3</v>
      </c>
      <c r="K36" s="3194">
        <v>0.12633835570044191</v>
      </c>
      <c r="L36" s="3194">
        <v>0.23594978773869613</v>
      </c>
      <c r="M36" s="3460">
        <v>-5.4478819393516363E-2</v>
      </c>
    </row>
    <row r="37" spans="2:13" ht="18" customHeight="1" x14ac:dyDescent="0.2">
      <c r="B37" s="2634" t="s">
        <v>689</v>
      </c>
      <c r="C37" s="2636" t="s">
        <v>689</v>
      </c>
      <c r="D37" s="3461">
        <v>0.15706621081615713</v>
      </c>
      <c r="E37" s="3461">
        <v>6.7155124596150042</v>
      </c>
      <c r="F37" s="3461">
        <v>0.25819545856686643</v>
      </c>
      <c r="G37" s="3668">
        <f t="shared" si="7"/>
        <v>5.9999999999999993E-3</v>
      </c>
      <c r="H37" s="3081">
        <f t="shared" si="8"/>
        <v>1.6724966946561594E-2</v>
      </c>
      <c r="I37" s="3081">
        <f t="shared" si="9"/>
        <v>0.81241923813408679</v>
      </c>
      <c r="J37" s="3194">
        <v>9.4239726489694269E-4</v>
      </c>
      <c r="K37" s="3194">
        <v>0.1123167239162835</v>
      </c>
      <c r="L37" s="3194">
        <v>0.20976295773857478</v>
      </c>
      <c r="M37" s="3460">
        <v>-4.8432500828291578E-2</v>
      </c>
    </row>
    <row r="38" spans="2:13" ht="18" customHeight="1" x14ac:dyDescent="0.2">
      <c r="B38" s="104" t="s">
        <v>891</v>
      </c>
      <c r="C38" s="2524"/>
      <c r="D38" s="150"/>
      <c r="E38" s="150"/>
      <c r="F38" s="150"/>
      <c r="G38" s="3669"/>
      <c r="H38" s="3669"/>
      <c r="I38" s="3669"/>
      <c r="J38" s="3081" t="str">
        <f>IF(SUM(J39:J50)=0,"NO",SUM(J39:J50))</f>
        <v>NO</v>
      </c>
      <c r="K38" s="3081" t="str">
        <f>IF(SUM(K39:K50)=0,"NO",SUM(K39:K50))</f>
        <v>NO</v>
      </c>
      <c r="L38" s="3081" t="str">
        <f>IF(SUM(L39:L50)=0,"NO",SUM(L39:L50))</f>
        <v>NO</v>
      </c>
      <c r="M38" s="3193" t="str">
        <f>IF(SUM(M39:M50)=0,"NO",SUM(M39:M50))</f>
        <v>NO</v>
      </c>
    </row>
    <row r="39" spans="2:13" ht="18" customHeight="1" x14ac:dyDescent="0.2">
      <c r="B39" s="2634" t="s">
        <v>671</v>
      </c>
      <c r="C39" s="2636" t="s">
        <v>671</v>
      </c>
      <c r="D39" s="3461" t="str">
        <f>IF(D13="NO","NO","IE")</f>
        <v>IE</v>
      </c>
      <c r="E39" s="3461" t="str">
        <f t="shared" ref="E39:F39" si="10">IF(E13="NO","NO","IE")</f>
        <v>IE</v>
      </c>
      <c r="F39" s="3461" t="str">
        <f t="shared" si="10"/>
        <v>IE</v>
      </c>
      <c r="G39" s="3668" t="str">
        <f>IF(SUM(D39)=0,"NA",J39/D39)</f>
        <v>NA</v>
      </c>
      <c r="H39" s="3668" t="str">
        <f>IF(SUM(E39)=0,"NA",K39/E39)</f>
        <v>NA</v>
      </c>
      <c r="I39" s="3668" t="str">
        <f>IF(SUM(F39)=0,"NA",L39/F39)</f>
        <v>NA</v>
      </c>
      <c r="J39" s="3461" t="str">
        <f>IF(J13="NO","NO","IE")</f>
        <v>IE</v>
      </c>
      <c r="K39" s="3461" t="str">
        <f t="shared" ref="K39:L39" si="11">IF(K13="NO","NO","IE")</f>
        <v>IE</v>
      </c>
      <c r="L39" s="3461" t="str">
        <f t="shared" si="11"/>
        <v>IE</v>
      </c>
      <c r="M39" s="3460" t="str">
        <f t="shared" ref="M39" si="12">IF(M13="NO","NO","IE")</f>
        <v>IE</v>
      </c>
    </row>
    <row r="40" spans="2:13" ht="18" customHeight="1" x14ac:dyDescent="0.2">
      <c r="B40" s="2634" t="s">
        <v>672</v>
      </c>
      <c r="C40" s="2636" t="s">
        <v>672</v>
      </c>
      <c r="D40" s="3461" t="str">
        <f t="shared" ref="D40:F50" si="13">IF(D14="NO","NO","IE")</f>
        <v>IE</v>
      </c>
      <c r="E40" s="3461" t="str">
        <f t="shared" si="13"/>
        <v>IE</v>
      </c>
      <c r="F40" s="3461" t="str">
        <f t="shared" si="13"/>
        <v>IE</v>
      </c>
      <c r="G40" s="3668" t="str">
        <f t="shared" ref="G40:G50" si="14">IF(SUM(D40)=0,"NA",J40/D40)</f>
        <v>NA</v>
      </c>
      <c r="H40" s="3668" t="str">
        <f t="shared" ref="H40:H50" si="15">IF(SUM(E40)=0,"NA",K40/E40)</f>
        <v>NA</v>
      </c>
      <c r="I40" s="3668" t="str">
        <f t="shared" ref="I40:I50" si="16">IF(SUM(F40)=0,"NA",L40/F40)</f>
        <v>NA</v>
      </c>
      <c r="J40" s="3461" t="str">
        <f t="shared" ref="J40:L40" si="17">IF(J14="NO","NO","IE")</f>
        <v>IE</v>
      </c>
      <c r="K40" s="3461" t="str">
        <f t="shared" si="17"/>
        <v>IE</v>
      </c>
      <c r="L40" s="3461" t="str">
        <f t="shared" si="17"/>
        <v>IE</v>
      </c>
      <c r="M40" s="3460" t="str">
        <f t="shared" ref="M40" si="18">IF(M14="NO","NO","IE")</f>
        <v>IE</v>
      </c>
    </row>
    <row r="41" spans="2:13" ht="18" customHeight="1" x14ac:dyDescent="0.2">
      <c r="B41" s="2634" t="s">
        <v>674</v>
      </c>
      <c r="C41" s="2636" t="s">
        <v>674</v>
      </c>
      <c r="D41" s="3461" t="str">
        <f t="shared" si="13"/>
        <v>NO</v>
      </c>
      <c r="E41" s="3461" t="str">
        <f t="shared" si="13"/>
        <v>NO</v>
      </c>
      <c r="F41" s="3461" t="str">
        <f t="shared" si="13"/>
        <v>NO</v>
      </c>
      <c r="G41" s="3668" t="str">
        <f t="shared" si="14"/>
        <v>NA</v>
      </c>
      <c r="H41" s="3668" t="str">
        <f t="shared" si="15"/>
        <v>NA</v>
      </c>
      <c r="I41" s="3668" t="str">
        <f t="shared" si="16"/>
        <v>NA</v>
      </c>
      <c r="J41" s="3461" t="str">
        <f t="shared" ref="J41:L41" si="19">IF(J15="NO","NO","IE")</f>
        <v>NO</v>
      </c>
      <c r="K41" s="3461" t="str">
        <f t="shared" si="19"/>
        <v>NO</v>
      </c>
      <c r="L41" s="3461" t="str">
        <f t="shared" si="19"/>
        <v>NO</v>
      </c>
      <c r="M41" s="3460" t="str">
        <f t="shared" ref="M41" si="20">IF(M15="NO","NO","IE")</f>
        <v>NO</v>
      </c>
    </row>
    <row r="42" spans="2:13" ht="18" customHeight="1" x14ac:dyDescent="0.2">
      <c r="B42" s="2634" t="s">
        <v>675</v>
      </c>
      <c r="C42" s="2636" t="s">
        <v>675</v>
      </c>
      <c r="D42" s="3461" t="str">
        <f t="shared" si="13"/>
        <v>IE</v>
      </c>
      <c r="E42" s="3461" t="str">
        <f t="shared" si="13"/>
        <v>IE</v>
      </c>
      <c r="F42" s="3461" t="str">
        <f t="shared" si="13"/>
        <v>IE</v>
      </c>
      <c r="G42" s="3668" t="str">
        <f t="shared" si="14"/>
        <v>NA</v>
      </c>
      <c r="H42" s="3668" t="str">
        <f t="shared" si="15"/>
        <v>NA</v>
      </c>
      <c r="I42" s="3668" t="str">
        <f t="shared" si="16"/>
        <v>NA</v>
      </c>
      <c r="J42" s="3461" t="str">
        <f t="shared" ref="J42:L42" si="21">IF(J16="NO","NO","IE")</f>
        <v>IE</v>
      </c>
      <c r="K42" s="3461" t="str">
        <f t="shared" si="21"/>
        <v>IE</v>
      </c>
      <c r="L42" s="3461" t="str">
        <f t="shared" si="21"/>
        <v>IE</v>
      </c>
      <c r="M42" s="3460" t="str">
        <f t="shared" ref="M42" si="22">IF(M16="NO","NO","IE")</f>
        <v>IE</v>
      </c>
    </row>
    <row r="43" spans="2:13" ht="18" customHeight="1" x14ac:dyDescent="0.2">
      <c r="B43" s="2634" t="s">
        <v>676</v>
      </c>
      <c r="C43" s="2636" t="s">
        <v>676</v>
      </c>
      <c r="D43" s="3461" t="str">
        <f t="shared" si="13"/>
        <v>IE</v>
      </c>
      <c r="E43" s="3461" t="str">
        <f t="shared" si="13"/>
        <v>IE</v>
      </c>
      <c r="F43" s="3461" t="str">
        <f t="shared" si="13"/>
        <v>IE</v>
      </c>
      <c r="G43" s="3668" t="str">
        <f t="shared" si="14"/>
        <v>NA</v>
      </c>
      <c r="H43" s="3668" t="str">
        <f t="shared" si="15"/>
        <v>NA</v>
      </c>
      <c r="I43" s="3668" t="str">
        <f t="shared" si="16"/>
        <v>NA</v>
      </c>
      <c r="J43" s="3461" t="str">
        <f t="shared" ref="J43:L43" si="23">IF(J17="NO","NO","IE")</f>
        <v>IE</v>
      </c>
      <c r="K43" s="3461" t="str">
        <f t="shared" si="23"/>
        <v>IE</v>
      </c>
      <c r="L43" s="3461" t="str">
        <f t="shared" si="23"/>
        <v>IE</v>
      </c>
      <c r="M43" s="3460" t="str">
        <f t="shared" ref="M43" si="24">IF(M17="NO","NO","IE")</f>
        <v>IE</v>
      </c>
    </row>
    <row r="44" spans="2:13" ht="18" customHeight="1" x14ac:dyDescent="0.2">
      <c r="B44" s="2634" t="s">
        <v>677</v>
      </c>
      <c r="C44" s="2636" t="s">
        <v>677</v>
      </c>
      <c r="D44" s="3461" t="str">
        <f t="shared" si="13"/>
        <v>IE</v>
      </c>
      <c r="E44" s="3461" t="str">
        <f t="shared" si="13"/>
        <v>IE</v>
      </c>
      <c r="F44" s="3461" t="str">
        <f t="shared" si="13"/>
        <v>IE</v>
      </c>
      <c r="G44" s="3668" t="str">
        <f t="shared" si="14"/>
        <v>NA</v>
      </c>
      <c r="H44" s="3668" t="str">
        <f t="shared" si="15"/>
        <v>NA</v>
      </c>
      <c r="I44" s="3668" t="str">
        <f t="shared" si="16"/>
        <v>NA</v>
      </c>
      <c r="J44" s="3461" t="str">
        <f t="shared" ref="J44:L44" si="25">IF(J18="NO","NO","IE")</f>
        <v>IE</v>
      </c>
      <c r="K44" s="3461" t="str">
        <f t="shared" si="25"/>
        <v>IE</v>
      </c>
      <c r="L44" s="3461" t="str">
        <f t="shared" si="25"/>
        <v>IE</v>
      </c>
      <c r="M44" s="3460" t="str">
        <f t="shared" ref="M44" si="26">IF(M18="NO","NO","IE")</f>
        <v>IE</v>
      </c>
    </row>
    <row r="45" spans="2:13" ht="18" customHeight="1" x14ac:dyDescent="0.2">
      <c r="B45" s="2634" t="s">
        <v>679</v>
      </c>
      <c r="C45" s="2636" t="s">
        <v>679</v>
      </c>
      <c r="D45" s="3461" t="str">
        <f t="shared" si="13"/>
        <v>IE</v>
      </c>
      <c r="E45" s="3461" t="str">
        <f t="shared" si="13"/>
        <v>IE</v>
      </c>
      <c r="F45" s="3461" t="str">
        <f t="shared" si="13"/>
        <v>IE</v>
      </c>
      <c r="G45" s="3668" t="str">
        <f t="shared" si="14"/>
        <v>NA</v>
      </c>
      <c r="H45" s="3668" t="str">
        <f t="shared" si="15"/>
        <v>NA</v>
      </c>
      <c r="I45" s="3668" t="str">
        <f t="shared" si="16"/>
        <v>NA</v>
      </c>
      <c r="J45" s="3461" t="str">
        <f t="shared" ref="J45:L45" si="27">IF(J19="NO","NO","IE")</f>
        <v>IE</v>
      </c>
      <c r="K45" s="3461" t="str">
        <f t="shared" si="27"/>
        <v>IE</v>
      </c>
      <c r="L45" s="3461" t="str">
        <f t="shared" si="27"/>
        <v>IE</v>
      </c>
      <c r="M45" s="3460" t="str">
        <f t="shared" ref="M45" si="28">IF(M19="NO","NO","IE")</f>
        <v>IE</v>
      </c>
    </row>
    <row r="46" spans="2:13" ht="18" customHeight="1" x14ac:dyDescent="0.2">
      <c r="B46" s="2634" t="s">
        <v>681</v>
      </c>
      <c r="C46" s="2636" t="s">
        <v>681</v>
      </c>
      <c r="D46" s="3461" t="str">
        <f t="shared" si="13"/>
        <v>IE</v>
      </c>
      <c r="E46" s="3461" t="str">
        <f t="shared" si="13"/>
        <v>IE</v>
      </c>
      <c r="F46" s="3461" t="str">
        <f t="shared" si="13"/>
        <v>IE</v>
      </c>
      <c r="G46" s="3668" t="str">
        <f t="shared" si="14"/>
        <v>NA</v>
      </c>
      <c r="H46" s="3668" t="str">
        <f t="shared" si="15"/>
        <v>NA</v>
      </c>
      <c r="I46" s="3668" t="str">
        <f t="shared" si="16"/>
        <v>NA</v>
      </c>
      <c r="J46" s="3461" t="str">
        <f t="shared" ref="J46:L46" si="29">IF(J20="NO","NO","IE")</f>
        <v>IE</v>
      </c>
      <c r="K46" s="3461" t="str">
        <f t="shared" si="29"/>
        <v>IE</v>
      </c>
      <c r="L46" s="3461" t="str">
        <f t="shared" si="29"/>
        <v>IE</v>
      </c>
      <c r="M46" s="3460" t="str">
        <f t="shared" ref="M46" si="30">IF(M20="NO","NO","IE")</f>
        <v>IE</v>
      </c>
    </row>
    <row r="47" spans="2:13" ht="18" customHeight="1" x14ac:dyDescent="0.2">
      <c r="B47" s="2634" t="s">
        <v>683</v>
      </c>
      <c r="C47" s="2636" t="s">
        <v>683</v>
      </c>
      <c r="D47" s="3461" t="str">
        <f t="shared" si="13"/>
        <v>IE</v>
      </c>
      <c r="E47" s="3461" t="str">
        <f t="shared" si="13"/>
        <v>IE</v>
      </c>
      <c r="F47" s="3461" t="str">
        <f t="shared" si="13"/>
        <v>IE</v>
      </c>
      <c r="G47" s="3668" t="str">
        <f t="shared" si="14"/>
        <v>NA</v>
      </c>
      <c r="H47" s="3668" t="str">
        <f t="shared" si="15"/>
        <v>NA</v>
      </c>
      <c r="I47" s="3668" t="str">
        <f t="shared" si="16"/>
        <v>NA</v>
      </c>
      <c r="J47" s="3461" t="str">
        <f t="shared" ref="J47:L47" si="31">IF(J21="NO","NO","IE")</f>
        <v>IE</v>
      </c>
      <c r="K47" s="3461" t="str">
        <f t="shared" si="31"/>
        <v>IE</v>
      </c>
      <c r="L47" s="3461" t="str">
        <f t="shared" si="31"/>
        <v>IE</v>
      </c>
      <c r="M47" s="3460" t="str">
        <f t="shared" ref="M47" si="32">IF(M21="NO","NO","IE")</f>
        <v>IE</v>
      </c>
    </row>
    <row r="48" spans="2:13" ht="18" customHeight="1" x14ac:dyDescent="0.2">
      <c r="B48" s="2634" t="s">
        <v>686</v>
      </c>
      <c r="C48" s="2636" t="s">
        <v>686</v>
      </c>
      <c r="D48" s="3461" t="str">
        <f t="shared" si="13"/>
        <v>IE</v>
      </c>
      <c r="E48" s="3461" t="str">
        <f t="shared" si="13"/>
        <v>IE</v>
      </c>
      <c r="F48" s="3461" t="str">
        <f t="shared" si="13"/>
        <v>IE</v>
      </c>
      <c r="G48" s="3668" t="str">
        <f t="shared" si="14"/>
        <v>NA</v>
      </c>
      <c r="H48" s="3668" t="str">
        <f t="shared" si="15"/>
        <v>NA</v>
      </c>
      <c r="I48" s="3668" t="str">
        <f t="shared" si="16"/>
        <v>NA</v>
      </c>
      <c r="J48" s="3461" t="str">
        <f t="shared" ref="J48:L48" si="33">IF(J22="NO","NO","IE")</f>
        <v>IE</v>
      </c>
      <c r="K48" s="3461" t="str">
        <f t="shared" si="33"/>
        <v>IE</v>
      </c>
      <c r="L48" s="3461" t="str">
        <f t="shared" si="33"/>
        <v>IE</v>
      </c>
      <c r="M48" s="3460" t="str">
        <f t="shared" ref="M48" si="34">IF(M22="NO","NO","IE")</f>
        <v>IE</v>
      </c>
    </row>
    <row r="49" spans="2:13" ht="18" customHeight="1" x14ac:dyDescent="0.2">
      <c r="B49" s="2634" t="s">
        <v>688</v>
      </c>
      <c r="C49" s="2636" t="s">
        <v>688</v>
      </c>
      <c r="D49" s="3461" t="str">
        <f t="shared" si="13"/>
        <v>IE</v>
      </c>
      <c r="E49" s="3461" t="str">
        <f t="shared" si="13"/>
        <v>IE</v>
      </c>
      <c r="F49" s="3461" t="str">
        <f t="shared" si="13"/>
        <v>IE</v>
      </c>
      <c r="G49" s="3668" t="str">
        <f t="shared" si="14"/>
        <v>NA</v>
      </c>
      <c r="H49" s="3668" t="str">
        <f t="shared" si="15"/>
        <v>NA</v>
      </c>
      <c r="I49" s="3668" t="str">
        <f t="shared" si="16"/>
        <v>NA</v>
      </c>
      <c r="J49" s="3461" t="str">
        <f t="shared" ref="J49:L49" si="35">IF(J23="NO","NO","IE")</f>
        <v>IE</v>
      </c>
      <c r="K49" s="3461" t="str">
        <f t="shared" si="35"/>
        <v>IE</v>
      </c>
      <c r="L49" s="3461" t="str">
        <f t="shared" si="35"/>
        <v>IE</v>
      </c>
      <c r="M49" s="3460" t="str">
        <f t="shared" ref="M49" si="36">IF(M23="NO","NO","IE")</f>
        <v>IE</v>
      </c>
    </row>
    <row r="50" spans="2:13" ht="18" customHeight="1" x14ac:dyDescent="0.2">
      <c r="B50" s="2634" t="s">
        <v>689</v>
      </c>
      <c r="C50" s="2636" t="s">
        <v>689</v>
      </c>
      <c r="D50" s="3461" t="str">
        <f t="shared" si="13"/>
        <v>IE</v>
      </c>
      <c r="E50" s="3461" t="str">
        <f t="shared" si="13"/>
        <v>IE</v>
      </c>
      <c r="F50" s="3461" t="str">
        <f t="shared" si="13"/>
        <v>IE</v>
      </c>
      <c r="G50" s="3668" t="str">
        <f t="shared" si="14"/>
        <v>NA</v>
      </c>
      <c r="H50" s="3668" t="str">
        <f t="shared" si="15"/>
        <v>NA</v>
      </c>
      <c r="I50" s="3668" t="str">
        <f t="shared" si="16"/>
        <v>NA</v>
      </c>
      <c r="J50" s="3461" t="str">
        <f t="shared" ref="J50:L50" si="37">IF(J24="NO","NO","IE")</f>
        <v>IE</v>
      </c>
      <c r="K50" s="3461" t="str">
        <f t="shared" si="37"/>
        <v>IE</v>
      </c>
      <c r="L50" s="3461" t="str">
        <f t="shared" si="37"/>
        <v>IE</v>
      </c>
      <c r="M50" s="3460" t="str">
        <f t="shared" ref="M50" si="38">IF(M24="NO","NO","IE")</f>
        <v>IE</v>
      </c>
    </row>
    <row r="51" spans="2:13" ht="18" customHeight="1" x14ac:dyDescent="0.2">
      <c r="B51" s="104" t="s">
        <v>892</v>
      </c>
      <c r="C51" s="2524"/>
      <c r="D51" s="150"/>
      <c r="E51" s="150"/>
      <c r="F51" s="150"/>
      <c r="G51" s="3669"/>
      <c r="H51" s="3669"/>
      <c r="I51" s="3669"/>
      <c r="J51" s="3081">
        <f>IF(SUM(J52:J63)=0,"NO",SUM(J52:J63))</f>
        <v>4.359566189405105</v>
      </c>
      <c r="K51" s="3081">
        <f>IF(SUM(K52:K63)=0,"NO",SUM(K52:K63))</f>
        <v>87.638960115105988</v>
      </c>
      <c r="L51" s="3081">
        <f>IF(SUM(L52:L63)=0,"NO",SUM(L52:L63))</f>
        <v>28.374268046800974</v>
      </c>
      <c r="M51" s="3193">
        <f>IF(SUM(M52:M63)=0,"NO",SUM(M52:M63))</f>
        <v>-7.6432761917389804</v>
      </c>
    </row>
    <row r="52" spans="2:13" ht="18" customHeight="1" x14ac:dyDescent="0.2">
      <c r="B52" s="2634" t="s">
        <v>671</v>
      </c>
      <c r="C52" s="2636" t="s">
        <v>671</v>
      </c>
      <c r="D52" s="3461">
        <v>1.4284091105456147</v>
      </c>
      <c r="E52" s="3461">
        <v>6.6607607183361504</v>
      </c>
      <c r="F52" s="3461">
        <v>0.6018574075551224</v>
      </c>
      <c r="G52" s="3081">
        <f>IF(SUM(D52)=0,"NA",J52/D52)</f>
        <v>5.0999999999999997E-2</v>
      </c>
      <c r="H52" s="3081">
        <f>IF(SUM(E52)=0,"NA",K52/E52)</f>
        <v>0.21986337753983867</v>
      </c>
      <c r="I52" s="3081">
        <f>IF(SUM(F52)=0,"NA",L52/F52)</f>
        <v>0.78779019077151824</v>
      </c>
      <c r="J52" s="3194">
        <v>7.2848864637826347E-2</v>
      </c>
      <c r="K52" s="3194">
        <v>1.4644573485180681</v>
      </c>
      <c r="L52" s="3194">
        <v>0.47413736191510125</v>
      </c>
      <c r="M52" s="3460">
        <v>-0.12772004564002129</v>
      </c>
    </row>
    <row r="53" spans="2:13" ht="18" customHeight="1" x14ac:dyDescent="0.2">
      <c r="B53" s="2634" t="s">
        <v>672</v>
      </c>
      <c r="C53" s="2636" t="s">
        <v>672</v>
      </c>
      <c r="D53" s="3461">
        <v>3.1871291239325688</v>
      </c>
      <c r="E53" s="3461">
        <v>14.861781765622005</v>
      </c>
      <c r="F53" s="3461">
        <v>1.3428906732055101</v>
      </c>
      <c r="G53" s="3081">
        <f t="shared" ref="G53:G63" si="39">IF(SUM(D53)=0,"NA",J53/D53)</f>
        <v>5.1000000000000004E-2</v>
      </c>
      <c r="H53" s="3081">
        <f t="shared" ref="H53:H63" si="40">IF(SUM(E53)=0,"NA",K53/E53)</f>
        <v>0.21986337753983867</v>
      </c>
      <c r="I53" s="3081">
        <f t="shared" ref="I53:I63" si="41">IF(SUM(F53)=0,"NA",L53/F53)</f>
        <v>0.78779019077151757</v>
      </c>
      <c r="J53" s="3194">
        <v>0.16254358532056101</v>
      </c>
      <c r="K53" s="3194">
        <v>3.2675615352496412</v>
      </c>
      <c r="L53" s="3194">
        <v>1.0579160996298604</v>
      </c>
      <c r="M53" s="3460">
        <v>-0.28497457357564909</v>
      </c>
    </row>
    <row r="54" spans="2:13" ht="18" customHeight="1" x14ac:dyDescent="0.2">
      <c r="B54" s="2634" t="s">
        <v>674</v>
      </c>
      <c r="C54" s="2636" t="s">
        <v>674</v>
      </c>
      <c r="D54" s="3461" t="s">
        <v>199</v>
      </c>
      <c r="E54" s="3461" t="s">
        <v>199</v>
      </c>
      <c r="F54" s="3461" t="s">
        <v>199</v>
      </c>
      <c r="G54" s="3081" t="str">
        <f t="shared" si="39"/>
        <v>NA</v>
      </c>
      <c r="H54" s="3081" t="str">
        <f t="shared" si="40"/>
        <v>NA</v>
      </c>
      <c r="I54" s="3081" t="str">
        <f t="shared" si="41"/>
        <v>NA</v>
      </c>
      <c r="J54" s="3194" t="s">
        <v>199</v>
      </c>
      <c r="K54" s="3194" t="s">
        <v>199</v>
      </c>
      <c r="L54" s="3194" t="s">
        <v>199</v>
      </c>
      <c r="M54" s="3460" t="s">
        <v>199</v>
      </c>
    </row>
    <row r="55" spans="2:13" ht="18" customHeight="1" x14ac:dyDescent="0.2">
      <c r="B55" s="2634" t="s">
        <v>675</v>
      </c>
      <c r="C55" s="2636" t="s">
        <v>675</v>
      </c>
      <c r="D55" s="3461">
        <v>13.873904291077034</v>
      </c>
      <c r="E55" s="3461">
        <v>64.694880500071022</v>
      </c>
      <c r="F55" s="3461">
        <v>5.8457426570921207</v>
      </c>
      <c r="G55" s="3081">
        <f t="shared" si="39"/>
        <v>5.0999999999999997E-2</v>
      </c>
      <c r="H55" s="3081">
        <f t="shared" si="40"/>
        <v>0.21986337753983864</v>
      </c>
      <c r="I55" s="3081">
        <f t="shared" si="41"/>
        <v>0.78779019077151824</v>
      </c>
      <c r="J55" s="3194">
        <v>0.70756911884492868</v>
      </c>
      <c r="K55" s="3194">
        <v>14.224034936281861</v>
      </c>
      <c r="L55" s="3194">
        <v>4.605218723031804</v>
      </c>
      <c r="M55" s="3460">
        <v>-1.2405239340603185</v>
      </c>
    </row>
    <row r="56" spans="2:13" ht="18" customHeight="1" x14ac:dyDescent="0.2">
      <c r="B56" s="2634" t="s">
        <v>676</v>
      </c>
      <c r="C56" s="2636" t="s">
        <v>676</v>
      </c>
      <c r="D56" s="3461">
        <v>2.5804675445282095E-2</v>
      </c>
      <c r="E56" s="3461">
        <v>0.12032881006317245</v>
      </c>
      <c r="F56" s="3461">
        <v>1.0872749936722593E-2</v>
      </c>
      <c r="G56" s="3081">
        <f t="shared" si="39"/>
        <v>5.1000000000000004E-2</v>
      </c>
      <c r="H56" s="3081">
        <f t="shared" si="40"/>
        <v>0.21986337753983873</v>
      </c>
      <c r="I56" s="3081">
        <f t="shared" si="41"/>
        <v>0.78779019077151802</v>
      </c>
      <c r="J56" s="3194">
        <v>1.316038447709387E-3</v>
      </c>
      <c r="K56" s="3194">
        <v>2.6455898595838828E-2</v>
      </c>
      <c r="L56" s="3194">
        <v>8.5654457468617023E-3</v>
      </c>
      <c r="M56" s="3460">
        <v>-2.3073041898608914E-3</v>
      </c>
    </row>
    <row r="57" spans="2:13" ht="18" customHeight="1" x14ac:dyDescent="0.2">
      <c r="B57" s="2634" t="s">
        <v>677</v>
      </c>
      <c r="C57" s="2636" t="s">
        <v>677</v>
      </c>
      <c r="D57" s="3461">
        <v>49.730072170022822</v>
      </c>
      <c r="E57" s="3461">
        <v>231.8944263129103</v>
      </c>
      <c r="F57" s="3461">
        <v>20.953669430424206</v>
      </c>
      <c r="G57" s="3081">
        <f t="shared" si="39"/>
        <v>5.0999999999999997E-2</v>
      </c>
      <c r="H57" s="3081">
        <f t="shared" si="40"/>
        <v>0.21986337753983873</v>
      </c>
      <c r="I57" s="3081">
        <f t="shared" si="41"/>
        <v>0.78779019077151724</v>
      </c>
      <c r="J57" s="3194">
        <v>2.5362336806711636</v>
      </c>
      <c r="K57" s="3194">
        <v>50.985091801819706</v>
      </c>
      <c r="L57" s="3194">
        <v>16.507095237957195</v>
      </c>
      <c r="M57" s="3460">
        <v>-4.446574192466997</v>
      </c>
    </row>
    <row r="58" spans="2:13" ht="18" customHeight="1" x14ac:dyDescent="0.2">
      <c r="B58" s="2634" t="s">
        <v>679</v>
      </c>
      <c r="C58" s="2636" t="s">
        <v>679</v>
      </c>
      <c r="D58" s="3461">
        <v>13.140764275603267</v>
      </c>
      <c r="E58" s="3461">
        <v>61.27620290969724</v>
      </c>
      <c r="F58" s="3461">
        <v>5.5368355338944673</v>
      </c>
      <c r="G58" s="3081">
        <f t="shared" si="39"/>
        <v>5.1000000000000011E-2</v>
      </c>
      <c r="H58" s="3081">
        <f t="shared" si="40"/>
        <v>0.2198633775398387</v>
      </c>
      <c r="I58" s="3081">
        <f t="shared" si="41"/>
        <v>0.78779019077151757</v>
      </c>
      <c r="J58" s="3194">
        <v>0.67017897805576676</v>
      </c>
      <c r="K58" s="3194">
        <v>13.472392934542526</v>
      </c>
      <c r="L58" s="3194">
        <v>4.3618647215172395</v>
      </c>
      <c r="M58" s="3460">
        <v>-1.1749708123772253</v>
      </c>
    </row>
    <row r="59" spans="2:13" ht="18" customHeight="1" x14ac:dyDescent="0.2">
      <c r="B59" s="2634" t="s">
        <v>681</v>
      </c>
      <c r="C59" s="2636" t="s">
        <v>681</v>
      </c>
      <c r="D59" s="3461">
        <v>1.3972096901005264</v>
      </c>
      <c r="E59" s="3461">
        <v>6.5152758760726339</v>
      </c>
      <c r="F59" s="3461">
        <v>0.58871159227876191</v>
      </c>
      <c r="G59" s="3081">
        <f t="shared" si="39"/>
        <v>5.0999999999999997E-2</v>
      </c>
      <c r="H59" s="3081">
        <f t="shared" si="40"/>
        <v>0.21986337753983867</v>
      </c>
      <c r="I59" s="3081">
        <f t="shared" si="41"/>
        <v>0.78779019077151757</v>
      </c>
      <c r="J59" s="3194">
        <v>7.1257694195126842E-2</v>
      </c>
      <c r="K59" s="3194">
        <v>1.4324705597171608</v>
      </c>
      <c r="L59" s="3194">
        <v>0.46378121759068969</v>
      </c>
      <c r="M59" s="3460">
        <v>-0.12493037468807196</v>
      </c>
    </row>
    <row r="60" spans="2:13" ht="18" customHeight="1" x14ac:dyDescent="0.2">
      <c r="B60" s="2634" t="s">
        <v>683</v>
      </c>
      <c r="C60" s="2636" t="s">
        <v>683</v>
      </c>
      <c r="D60" s="3461">
        <v>0.53602981583933218</v>
      </c>
      <c r="E60" s="3461">
        <v>2.4995404431688328</v>
      </c>
      <c r="F60" s="3461">
        <v>0.22585512298369498</v>
      </c>
      <c r="G60" s="3081">
        <f t="shared" si="39"/>
        <v>5.0999999999999997E-2</v>
      </c>
      <c r="H60" s="3081">
        <f t="shared" si="40"/>
        <v>0.2198633775398387</v>
      </c>
      <c r="I60" s="3081">
        <f t="shared" si="41"/>
        <v>0.7877901907715178</v>
      </c>
      <c r="J60" s="3194">
        <v>2.7337520607805938E-2</v>
      </c>
      <c r="K60" s="3194">
        <v>0.54955740413252485</v>
      </c>
      <c r="L60" s="3194">
        <v>0.17792645042204969</v>
      </c>
      <c r="M60" s="3460">
        <v>-4.7928672561645257E-2</v>
      </c>
    </row>
    <row r="61" spans="2:13" ht="18" customHeight="1" x14ac:dyDescent="0.2">
      <c r="B61" s="2634" t="s">
        <v>686</v>
      </c>
      <c r="C61" s="2636" t="s">
        <v>686</v>
      </c>
      <c r="D61" s="3461">
        <v>0.17108511160469406</v>
      </c>
      <c r="E61" s="3461">
        <v>0.79778053952163719</v>
      </c>
      <c r="F61" s="3461">
        <v>7.2086379862383101E-2</v>
      </c>
      <c r="G61" s="3081">
        <f t="shared" si="39"/>
        <v>5.0999999999999997E-2</v>
      </c>
      <c r="H61" s="3081">
        <f t="shared" si="40"/>
        <v>0.21986337753983867</v>
      </c>
      <c r="I61" s="3081">
        <f t="shared" si="41"/>
        <v>0.78779019077151835</v>
      </c>
      <c r="J61" s="3194">
        <v>8.7253406918393964E-3</v>
      </c>
      <c r="K61" s="3194">
        <v>0.1754027239547819</v>
      </c>
      <c r="L61" s="3194">
        <v>5.6788942943814924E-2</v>
      </c>
      <c r="M61" s="3460">
        <v>-1.5297436918568209E-2</v>
      </c>
    </row>
    <row r="62" spans="2:13" ht="18" customHeight="1" x14ac:dyDescent="0.2">
      <c r="B62" s="2634" t="s">
        <v>688</v>
      </c>
      <c r="C62" s="2636" t="s">
        <v>688</v>
      </c>
      <c r="D62" s="3461">
        <v>1.0541374571673816</v>
      </c>
      <c r="E62" s="3461">
        <v>4.9155086694632448</v>
      </c>
      <c r="F62" s="3461">
        <v>0.44415877250682728</v>
      </c>
      <c r="G62" s="3081">
        <f t="shared" si="39"/>
        <v>5.0999999999999997E-2</v>
      </c>
      <c r="H62" s="3081">
        <f t="shared" si="40"/>
        <v>0.21986337753983864</v>
      </c>
      <c r="I62" s="3081">
        <f t="shared" si="41"/>
        <v>0.78779019077151791</v>
      </c>
      <c r="J62" s="3194">
        <v>5.3761010315536456E-2</v>
      </c>
      <c r="K62" s="3194">
        <v>1.0807403383945473</v>
      </c>
      <c r="L62" s="3194">
        <v>0.34990392412599669</v>
      </c>
      <c r="M62" s="3460">
        <v>-9.4254848380830564E-2</v>
      </c>
    </row>
    <row r="63" spans="2:13" ht="18" customHeight="1" x14ac:dyDescent="0.2">
      <c r="B63" s="2634" t="s">
        <v>689</v>
      </c>
      <c r="C63" s="2636" t="s">
        <v>689</v>
      </c>
      <c r="D63" s="3461">
        <v>0.93714426699688147</v>
      </c>
      <c r="E63" s="3461">
        <v>4.3699621312569459</v>
      </c>
      <c r="F63" s="3461">
        <v>0.39486391880015731</v>
      </c>
      <c r="G63" s="3081">
        <f t="shared" si="39"/>
        <v>5.1000000000000004E-2</v>
      </c>
      <c r="H63" s="3081">
        <f t="shared" si="40"/>
        <v>0.2198633775398387</v>
      </c>
      <c r="I63" s="3081">
        <f t="shared" si="41"/>
        <v>0.78779019077151791</v>
      </c>
      <c r="J63" s="3194">
        <v>4.7794357616840956E-2</v>
      </c>
      <c r="K63" s="3194">
        <v>0.96079463389934405</v>
      </c>
      <c r="L63" s="3194">
        <v>0.31106992192036509</v>
      </c>
      <c r="M63" s="3460">
        <v>-8.3793996879792207E-2</v>
      </c>
    </row>
    <row r="64" spans="2:13" ht="18" customHeight="1" x14ac:dyDescent="0.2">
      <c r="B64" s="104" t="s">
        <v>893</v>
      </c>
      <c r="C64" s="2524"/>
      <c r="D64" s="150"/>
      <c r="E64" s="150"/>
      <c r="F64" s="150"/>
      <c r="G64" s="2135"/>
      <c r="H64" s="2135"/>
      <c r="I64" s="2135"/>
      <c r="J64" s="3081">
        <f>IF(SUM(J65:J76)=0,"NO",SUM(J65:J76))</f>
        <v>0.57247175932826966</v>
      </c>
      <c r="K64" s="3081">
        <f>IF(SUM(K65:K76)=0,"NO",SUM(K65:K76))</f>
        <v>347.24735466187229</v>
      </c>
      <c r="L64" s="3081">
        <f>IF(SUM(L65:L76)=0,"NO",SUM(L65:L76))</f>
        <v>41.799865217922921</v>
      </c>
      <c r="M64" s="3193">
        <f>IF(SUM(M65:M76)=0,"NO",SUM(M65:M76))</f>
        <v>-18.391033257366647</v>
      </c>
    </row>
    <row r="65" spans="2:13" ht="18" customHeight="1" x14ac:dyDescent="0.2">
      <c r="B65" s="2634" t="s">
        <v>671</v>
      </c>
      <c r="C65" s="2636" t="s">
        <v>671</v>
      </c>
      <c r="D65" s="3461">
        <v>2.733163012256647</v>
      </c>
      <c r="E65" s="3461">
        <v>55.35570334734907</v>
      </c>
      <c r="F65" s="3461">
        <v>1.0668145465362788</v>
      </c>
      <c r="G65" s="3081">
        <f>IF(SUM(D65)=0,"NA",J65/D65)</f>
        <v>3.5000000000000005E-3</v>
      </c>
      <c r="H65" s="3081">
        <f>IF(SUM(E65)=0,"NA",K65/E65)</f>
        <v>0.10482287922865399</v>
      </c>
      <c r="I65" s="3081">
        <f>IF(SUM(F65)=0,"NA",L65/F65)</f>
        <v>0.65473485960617817</v>
      </c>
      <c r="J65" s="3194">
        <v>9.5660705428982657E-3</v>
      </c>
      <c r="K65" s="3194">
        <v>5.8025442065963695</v>
      </c>
      <c r="L65" s="3194">
        <v>0.69848067235225919</v>
      </c>
      <c r="M65" s="3460">
        <v>-0.30731633243042622</v>
      </c>
    </row>
    <row r="66" spans="2:13" ht="18" customHeight="1" x14ac:dyDescent="0.2">
      <c r="B66" s="2634" t="s">
        <v>672</v>
      </c>
      <c r="C66" s="2636" t="s">
        <v>672</v>
      </c>
      <c r="D66" s="3461">
        <v>6.098353316642652</v>
      </c>
      <c r="E66" s="3461">
        <v>123.51207578528944</v>
      </c>
      <c r="F66" s="3461">
        <v>2.3803234563534472</v>
      </c>
      <c r="G66" s="3081">
        <f t="shared" ref="G66:G76" si="42">IF(SUM(D66)=0,"NA",J66/D66)</f>
        <v>3.5000000000000001E-3</v>
      </c>
      <c r="H66" s="3081">
        <f t="shared" ref="H66:H76" si="43">IF(SUM(E66)=0,"NA",K66/E66)</f>
        <v>0.10482287922865401</v>
      </c>
      <c r="I66" s="3081">
        <f t="shared" ref="I66:I76" si="44">IF(SUM(F66)=0,"NA",L66/F66)</f>
        <v>0.65473485960617728</v>
      </c>
      <c r="J66" s="3194">
        <v>2.1344236608249283E-2</v>
      </c>
      <c r="K66" s="3194">
        <v>12.946891403321755</v>
      </c>
      <c r="L66" s="3194">
        <v>1.558480744012865</v>
      </c>
      <c r="M66" s="3460">
        <v>-0.6856976941116173</v>
      </c>
    </row>
    <row r="67" spans="2:13" ht="18" customHeight="1" x14ac:dyDescent="0.2">
      <c r="B67" s="2634" t="s">
        <v>674</v>
      </c>
      <c r="C67" s="2636" t="s">
        <v>674</v>
      </c>
      <c r="D67" s="3461" t="s">
        <v>199</v>
      </c>
      <c r="E67" s="3461" t="s">
        <v>199</v>
      </c>
      <c r="F67" s="3461" t="s">
        <v>199</v>
      </c>
      <c r="G67" s="3081" t="str">
        <f t="shared" si="42"/>
        <v>NA</v>
      </c>
      <c r="H67" s="3081" t="str">
        <f t="shared" si="43"/>
        <v>NA</v>
      </c>
      <c r="I67" s="3081" t="str">
        <f t="shared" si="44"/>
        <v>NA</v>
      </c>
      <c r="J67" s="3194" t="s">
        <v>199</v>
      </c>
      <c r="K67" s="3194" t="s">
        <v>199</v>
      </c>
      <c r="L67" s="3194" t="s">
        <v>199</v>
      </c>
      <c r="M67" s="3460" t="s">
        <v>199</v>
      </c>
    </row>
    <row r="68" spans="2:13" ht="18" customHeight="1" x14ac:dyDescent="0.2">
      <c r="B68" s="2634" t="s">
        <v>675</v>
      </c>
      <c r="C68" s="2636" t="s">
        <v>675</v>
      </c>
      <c r="D68" s="3461">
        <v>26.546765743797465</v>
      </c>
      <c r="E68" s="3461">
        <v>537.66090158373333</v>
      </c>
      <c r="F68" s="3461">
        <v>10.361795374799543</v>
      </c>
      <c r="G68" s="3081">
        <f t="shared" si="42"/>
        <v>3.5000000000000005E-3</v>
      </c>
      <c r="H68" s="3081">
        <f t="shared" si="43"/>
        <v>0.10482287922865398</v>
      </c>
      <c r="I68" s="3081">
        <f t="shared" si="44"/>
        <v>0.65473485960617683</v>
      </c>
      <c r="J68" s="3194">
        <v>9.2913680103291138E-2</v>
      </c>
      <c r="K68" s="3194">
        <v>56.359163752680892</v>
      </c>
      <c r="L68" s="3194">
        <v>6.7842286399873117</v>
      </c>
      <c r="M68" s="3460">
        <v>-2.9849133219235306</v>
      </c>
    </row>
    <row r="69" spans="2:13" ht="18" customHeight="1" x14ac:dyDescent="0.2">
      <c r="B69" s="2634" t="s">
        <v>676</v>
      </c>
      <c r="C69" s="2636" t="s">
        <v>676</v>
      </c>
      <c r="D69" s="3461">
        <v>4.9375479300459213E-2</v>
      </c>
      <c r="E69" s="3461">
        <v>1.0000187960002815</v>
      </c>
      <c r="F69" s="3461">
        <v>1.9272351968659167E-2</v>
      </c>
      <c r="G69" s="3081">
        <f t="shared" si="42"/>
        <v>3.5000000000000005E-3</v>
      </c>
      <c r="H69" s="3081">
        <f t="shared" si="43"/>
        <v>0.10482287922865399</v>
      </c>
      <c r="I69" s="3081">
        <f t="shared" si="44"/>
        <v>0.65473485960617772</v>
      </c>
      <c r="J69" s="3194">
        <v>1.7281417755160726E-4</v>
      </c>
      <c r="K69" s="3194">
        <v>0.10482484947952149</v>
      </c>
      <c r="L69" s="3194">
        <v>1.2618280660480902E-2</v>
      </c>
      <c r="M69" s="3460">
        <v>-5.5517695587732853E-3</v>
      </c>
    </row>
    <row r="70" spans="2:13" ht="18" customHeight="1" x14ac:dyDescent="0.2">
      <c r="B70" s="2634" t="s">
        <v>677</v>
      </c>
      <c r="C70" s="2636" t="s">
        <v>677</v>
      </c>
      <c r="D70" s="3461">
        <v>95.155087466532635</v>
      </c>
      <c r="E70" s="3461">
        <v>1927.2091602905907</v>
      </c>
      <c r="F70" s="3461">
        <v>37.141155149181706</v>
      </c>
      <c r="G70" s="3081">
        <f t="shared" si="42"/>
        <v>3.5000000000000001E-3</v>
      </c>
      <c r="H70" s="3081">
        <f t="shared" si="43"/>
        <v>0.10482287922865399</v>
      </c>
      <c r="I70" s="3081">
        <f t="shared" si="44"/>
        <v>0.65473485960617794</v>
      </c>
      <c r="J70" s="3194">
        <v>0.33304280613286424</v>
      </c>
      <c r="K70" s="3194">
        <v>202.01561305749627</v>
      </c>
      <c r="L70" s="3194">
        <v>24.317609002210759</v>
      </c>
      <c r="M70" s="3460">
        <v>-10.69922004694731</v>
      </c>
    </row>
    <row r="71" spans="2:13" ht="18" customHeight="1" x14ac:dyDescent="0.2">
      <c r="B71" s="2634" t="s">
        <v>679</v>
      </c>
      <c r="C71" s="2636" t="s">
        <v>679</v>
      </c>
      <c r="D71" s="3461">
        <v>25.143952531318888</v>
      </c>
      <c r="E71" s="3461">
        <v>509.24923652992044</v>
      </c>
      <c r="F71" s="3461">
        <v>9.8142460576039277</v>
      </c>
      <c r="G71" s="3081">
        <f t="shared" si="42"/>
        <v>3.4999999999999996E-3</v>
      </c>
      <c r="H71" s="3081">
        <f t="shared" si="43"/>
        <v>0.10482287922865399</v>
      </c>
      <c r="I71" s="3081">
        <f t="shared" si="44"/>
        <v>0.65473485960617772</v>
      </c>
      <c r="J71" s="3194">
        <v>8.8003833859616104E-2</v>
      </c>
      <c r="K71" s="3194">
        <v>53.380971218060104</v>
      </c>
      <c r="L71" s="3194">
        <v>6.4257290146657908</v>
      </c>
      <c r="M71" s="3460">
        <v>-2.8271812694954117</v>
      </c>
    </row>
    <row r="72" spans="2:13" ht="18" customHeight="1" x14ac:dyDescent="0.2">
      <c r="B72" s="2634" t="s">
        <v>681</v>
      </c>
      <c r="C72" s="2636" t="s">
        <v>681</v>
      </c>
      <c r="D72" s="3461">
        <v>2.6734650578437225</v>
      </c>
      <c r="E72" s="3461">
        <v>54.146619864180991</v>
      </c>
      <c r="F72" s="3461">
        <v>1.0435131020631281</v>
      </c>
      <c r="G72" s="3081">
        <f t="shared" si="42"/>
        <v>3.4999999999999996E-3</v>
      </c>
      <c r="H72" s="3081">
        <f t="shared" si="43"/>
        <v>0.10482287922865399</v>
      </c>
      <c r="I72" s="3081">
        <f t="shared" si="44"/>
        <v>0.65473485960617694</v>
      </c>
      <c r="J72" s="3194">
        <v>9.3571277024530278E-3</v>
      </c>
      <c r="K72" s="3194">
        <v>5.675804594662881</v>
      </c>
      <c r="L72" s="3194">
        <v>0.68322440437650833</v>
      </c>
      <c r="M72" s="3460">
        <v>-0.30060390572133228</v>
      </c>
    </row>
    <row r="73" spans="2:13" ht="18" customHeight="1" x14ac:dyDescent="0.2">
      <c r="B73" s="2634" t="s">
        <v>683</v>
      </c>
      <c r="C73" s="2636" t="s">
        <v>683</v>
      </c>
      <c r="D73" s="3461">
        <v>1.0256563440422133</v>
      </c>
      <c r="E73" s="3461">
        <v>20.772975509517849</v>
      </c>
      <c r="F73" s="3461">
        <v>0.40033657072946882</v>
      </c>
      <c r="G73" s="3081">
        <f t="shared" si="42"/>
        <v>3.5000000000000005E-3</v>
      </c>
      <c r="H73" s="3081">
        <f t="shared" si="43"/>
        <v>0.10482287922865399</v>
      </c>
      <c r="I73" s="3081">
        <f t="shared" si="44"/>
        <v>0.65473485960617772</v>
      </c>
      <c r="J73" s="3194">
        <v>3.5897972041477469E-3</v>
      </c>
      <c r="K73" s="3194">
        <v>2.1774831030539765</v>
      </c>
      <c r="L73" s="3194">
        <v>0.26211430843177741</v>
      </c>
      <c r="M73" s="3460">
        <v>-0.11532460543756788</v>
      </c>
    </row>
    <row r="74" spans="2:13" ht="18" customHeight="1" x14ac:dyDescent="0.2">
      <c r="B74" s="2634" t="s">
        <v>686</v>
      </c>
      <c r="C74" s="2636" t="s">
        <v>686</v>
      </c>
      <c r="D74" s="3461">
        <v>0.32735964474991208</v>
      </c>
      <c r="E74" s="3461">
        <v>6.6301290122127945</v>
      </c>
      <c r="F74" s="3461">
        <v>0.12777577824741962</v>
      </c>
      <c r="G74" s="3081">
        <f t="shared" si="42"/>
        <v>3.5000000000000001E-3</v>
      </c>
      <c r="H74" s="3081">
        <f t="shared" si="43"/>
        <v>0.10482287922865401</v>
      </c>
      <c r="I74" s="3081">
        <f t="shared" si="44"/>
        <v>0.65473485960617617</v>
      </c>
      <c r="J74" s="3194">
        <v>1.1457587566246923E-3</v>
      </c>
      <c r="K74" s="3194">
        <v>0.69498921271757685</v>
      </c>
      <c r="L74" s="3194">
        <v>8.3659256231894186E-2</v>
      </c>
      <c r="M74" s="3460">
        <v>-3.6808256572741685E-2</v>
      </c>
    </row>
    <row r="75" spans="2:13" ht="18" customHeight="1" x14ac:dyDescent="0.2">
      <c r="B75" s="2634" t="s">
        <v>688</v>
      </c>
      <c r="C75" s="2636" t="s">
        <v>688</v>
      </c>
      <c r="D75" s="3461">
        <v>2.0170198345092096</v>
      </c>
      <c r="E75" s="3461">
        <v>40.851405900090718</v>
      </c>
      <c r="F75" s="3461">
        <v>0.78728787505798692</v>
      </c>
      <c r="G75" s="3081">
        <f t="shared" si="42"/>
        <v>3.4999999999999996E-3</v>
      </c>
      <c r="H75" s="3081">
        <f t="shared" si="43"/>
        <v>0.10482287922865401</v>
      </c>
      <c r="I75" s="3081">
        <f t="shared" si="44"/>
        <v>0.65473485960617706</v>
      </c>
      <c r="J75" s="3194">
        <v>7.0595694207822328E-3</v>
      </c>
      <c r="K75" s="3194">
        <v>4.2821619869859333</v>
      </c>
      <c r="L75" s="3194">
        <v>0.51546481634573649</v>
      </c>
      <c r="M75" s="3460">
        <v>-0.22679332890174117</v>
      </c>
    </row>
    <row r="76" spans="2:13" ht="18" customHeight="1" x14ac:dyDescent="0.2">
      <c r="B76" s="2634" t="s">
        <v>689</v>
      </c>
      <c r="C76" s="2636" t="s">
        <v>689</v>
      </c>
      <c r="D76" s="3461">
        <v>1.7931613770832566</v>
      </c>
      <c r="E76" s="3461">
        <v>36.317522518274124</v>
      </c>
      <c r="F76" s="3461">
        <v>0.69991092107601438</v>
      </c>
      <c r="G76" s="3081">
        <f t="shared" si="42"/>
        <v>3.5000000000000001E-3</v>
      </c>
      <c r="H76" s="3081">
        <f t="shared" si="43"/>
        <v>0.10482287922865398</v>
      </c>
      <c r="I76" s="3081">
        <f t="shared" si="44"/>
        <v>0.65473485960617761</v>
      </c>
      <c r="J76" s="3194">
        <v>6.2760648197913984E-3</v>
      </c>
      <c r="K76" s="3194">
        <v>3.8069072768169701</v>
      </c>
      <c r="L76" s="3194">
        <v>0.4582560786475347</v>
      </c>
      <c r="M76" s="3460">
        <v>-0.20162272626619793</v>
      </c>
    </row>
    <row r="77" spans="2:13" ht="18" customHeight="1" x14ac:dyDescent="0.2">
      <c r="B77" s="104" t="s">
        <v>894</v>
      </c>
      <c r="C77" s="2524"/>
      <c r="D77" s="150"/>
      <c r="E77" s="150"/>
      <c r="F77" s="150"/>
      <c r="G77" s="2135"/>
      <c r="H77" s="2135"/>
      <c r="I77" s="2135"/>
      <c r="J77" s="3081">
        <f>IF(SUM(J78:J89)=0,"NO",SUM(J78:J89))</f>
        <v>1.1298946809691588</v>
      </c>
      <c r="K77" s="3081">
        <f>IF(SUM(K78:K89)=0,"NO",SUM(K78:K89))</f>
        <v>265.65805988111953</v>
      </c>
      <c r="L77" s="3081">
        <f>IF(SUM(L78:L89)=0,"NO",SUM(L78:L89))</f>
        <v>239.23648682082558</v>
      </c>
      <c r="M77" s="3193">
        <f>IF(SUM(M78:M89)=0,"NO",SUM(M78:M89))</f>
        <v>-107.7551546151274</v>
      </c>
    </row>
    <row r="78" spans="2:13" ht="18" customHeight="1" x14ac:dyDescent="0.2">
      <c r="B78" s="2634" t="s">
        <v>671</v>
      </c>
      <c r="C78" s="2636" t="s">
        <v>671</v>
      </c>
      <c r="D78" s="3461">
        <v>2.0517743991800481</v>
      </c>
      <c r="E78" s="3461">
        <v>111.30281448668293</v>
      </c>
      <c r="F78" s="3461">
        <v>2.9496852229362522</v>
      </c>
      <c r="G78" s="3081">
        <f>IF(SUM(D78)=0,"NA",J78/D78)</f>
        <v>9.2021195130611889E-3</v>
      </c>
      <c r="H78" s="3081">
        <f>IF(SUM(E78)=0,"NA",K78/E78)</f>
        <v>3.9883784601643865E-2</v>
      </c>
      <c r="I78" s="3081">
        <f>IF(SUM(F78)=0,"NA",L78/F78)</f>
        <v>0.87092466656292278</v>
      </c>
      <c r="J78" s="3194">
        <v>1.8880673235094118E-2</v>
      </c>
      <c r="K78" s="3194">
        <v>4.4391774785435887</v>
      </c>
      <c r="L78" s="3194">
        <v>2.568953619251336</v>
      </c>
      <c r="M78" s="3460">
        <v>-0.37188506790517395</v>
      </c>
    </row>
    <row r="79" spans="2:13" ht="18" customHeight="1" x14ac:dyDescent="0.2">
      <c r="B79" s="2634" t="s">
        <v>672</v>
      </c>
      <c r="C79" s="2636" t="s">
        <v>672</v>
      </c>
      <c r="D79" s="3461">
        <v>4.5780091257385989</v>
      </c>
      <c r="E79" s="3461">
        <v>248.34372660271751</v>
      </c>
      <c r="F79" s="3461">
        <v>6.5814671798492776</v>
      </c>
      <c r="G79" s="3081">
        <f t="shared" ref="G79:G89" si="45">IF(SUM(D79)=0,"NA",J79/D79)</f>
        <v>9.2021195130611889E-3</v>
      </c>
      <c r="H79" s="3081">
        <f t="shared" ref="H79:H89" si="46">IF(SUM(E79)=0,"NA",K79/E79)</f>
        <v>3.9883784601643858E-2</v>
      </c>
      <c r="I79" s="3081">
        <f t="shared" ref="I79:I89" si="47">IF(SUM(F79)=0,"NA",L79/F79)</f>
        <v>12.188286866826353</v>
      </c>
      <c r="J79" s="3194">
        <v>4.2127387106931355E-2</v>
      </c>
      <c r="K79" s="3194">
        <v>9.9048876989923169</v>
      </c>
      <c r="L79" s="3194">
        <v>80.216809992605619</v>
      </c>
      <c r="M79" s="3460">
        <v>-75.314614175192375</v>
      </c>
    </row>
    <row r="80" spans="2:13" ht="18" customHeight="1" x14ac:dyDescent="0.2">
      <c r="B80" s="2634" t="s">
        <v>674</v>
      </c>
      <c r="C80" s="2636" t="s">
        <v>674</v>
      </c>
      <c r="D80" s="3461" t="s">
        <v>199</v>
      </c>
      <c r="E80" s="3461" t="s">
        <v>199</v>
      </c>
      <c r="F80" s="3461" t="s">
        <v>199</v>
      </c>
      <c r="G80" s="3081" t="str">
        <f t="shared" si="45"/>
        <v>NA</v>
      </c>
      <c r="H80" s="3081" t="str">
        <f t="shared" si="46"/>
        <v>NA</v>
      </c>
      <c r="I80" s="3081" t="str">
        <f t="shared" si="47"/>
        <v>NA</v>
      </c>
      <c r="J80" s="3194" t="s">
        <v>199</v>
      </c>
      <c r="K80" s="3194" t="s">
        <v>199</v>
      </c>
      <c r="L80" s="3194" t="s">
        <v>199</v>
      </c>
      <c r="M80" s="3460" t="s">
        <v>199</v>
      </c>
    </row>
    <row r="81" spans="2:13" ht="18" customHeight="1" x14ac:dyDescent="0.2">
      <c r="B81" s="2634" t="s">
        <v>675</v>
      </c>
      <c r="C81" s="2636" t="s">
        <v>675</v>
      </c>
      <c r="D81" s="3461">
        <v>19.928549482740813</v>
      </c>
      <c r="E81" s="3461">
        <v>1081.0660504159737</v>
      </c>
      <c r="F81" s="3461">
        <v>28.64981059676246</v>
      </c>
      <c r="G81" s="3081">
        <f t="shared" si="45"/>
        <v>9.2021195130611889E-3</v>
      </c>
      <c r="H81" s="3081">
        <f t="shared" si="46"/>
        <v>3.9883784601643858E-2</v>
      </c>
      <c r="I81" s="3081">
        <f t="shared" si="47"/>
        <v>0.87092466656292256</v>
      </c>
      <c r="J81" s="3194">
        <v>0.18338489406213471</v>
      </c>
      <c r="K81" s="3194">
        <v>43.117005494940557</v>
      </c>
      <c r="L81" s="3194">
        <v>24.951826741076232</v>
      </c>
      <c r="M81" s="3460">
        <v>-3.6120588991666924</v>
      </c>
    </row>
    <row r="82" spans="2:13" ht="18" customHeight="1" x14ac:dyDescent="0.2">
      <c r="B82" s="2634" t="s">
        <v>676</v>
      </c>
      <c r="C82" s="2636" t="s">
        <v>676</v>
      </c>
      <c r="D82" s="3461">
        <v>3.7065972253254587E-2</v>
      </c>
      <c r="E82" s="3461">
        <v>2.010721566231271</v>
      </c>
      <c r="F82" s="3461">
        <v>5.3287023501649593E-2</v>
      </c>
      <c r="G82" s="3081">
        <f t="shared" si="45"/>
        <v>9.2021195130611872E-3</v>
      </c>
      <c r="H82" s="3081">
        <f t="shared" si="46"/>
        <v>3.9883784601643872E-2</v>
      </c>
      <c r="I82" s="3081">
        <f t="shared" si="47"/>
        <v>1.5073721766420187</v>
      </c>
      <c r="J82" s="3194">
        <v>3.4108550654225858E-4</v>
      </c>
      <c r="K82" s="3194">
        <v>8.0195185841448011E-2</v>
      </c>
      <c r="L82" s="3194">
        <v>8.0323376602455948E-2</v>
      </c>
      <c r="M82" s="3460">
        <v>-4.0632618205607041E-2</v>
      </c>
    </row>
    <row r="83" spans="2:13" ht="18" customHeight="1" x14ac:dyDescent="0.2">
      <c r="B83" s="2634" t="s">
        <v>677</v>
      </c>
      <c r="C83" s="2636" t="s">
        <v>677</v>
      </c>
      <c r="D83" s="3461">
        <v>71.432538615533176</v>
      </c>
      <c r="E83" s="3461">
        <v>3875.0081865797833</v>
      </c>
      <c r="F83" s="3461">
        <v>102.69330959352304</v>
      </c>
      <c r="G83" s="3081">
        <f t="shared" si="45"/>
        <v>9.2021195130611872E-3</v>
      </c>
      <c r="H83" s="3081">
        <f t="shared" si="46"/>
        <v>3.9883784601643865E-2</v>
      </c>
      <c r="I83" s="3081">
        <f t="shared" si="47"/>
        <v>0.92058710338754779</v>
      </c>
      <c r="J83" s="3194">
        <v>0.65733075746149461</v>
      </c>
      <c r="K83" s="3194">
        <v>154.54999184315469</v>
      </c>
      <c r="L83" s="3194">
        <v>94.538136415982052</v>
      </c>
      <c r="M83" s="3460">
        <v>-18.04718097871412</v>
      </c>
    </row>
    <row r="84" spans="2:13" ht="18" customHeight="1" x14ac:dyDescent="0.2">
      <c r="B84" s="2634" t="s">
        <v>679</v>
      </c>
      <c r="C84" s="2636" t="s">
        <v>679</v>
      </c>
      <c r="D84" s="3461">
        <v>18.875463287995839</v>
      </c>
      <c r="E84" s="3461">
        <v>1023.9391765164706</v>
      </c>
      <c r="F84" s="3461">
        <v>27.135865989422204</v>
      </c>
      <c r="G84" s="3081">
        <f t="shared" si="45"/>
        <v>9.2021195130611872E-3</v>
      </c>
      <c r="H84" s="3081">
        <f t="shared" si="46"/>
        <v>3.9883784601643858E-2</v>
      </c>
      <c r="I84" s="3081">
        <f t="shared" si="47"/>
        <v>1.0828706636040779</v>
      </c>
      <c r="J84" s="3194">
        <v>0.17369426904053659</v>
      </c>
      <c r="K84" s="3194">
        <v>40.838569561367507</v>
      </c>
      <c r="L84" s="3194">
        <v>29.384633211436949</v>
      </c>
      <c r="M84" s="3460">
        <v>-9.1725247073452465</v>
      </c>
    </row>
    <row r="85" spans="2:13" ht="18" customHeight="1" x14ac:dyDescent="0.2">
      <c r="B85" s="2634" t="s">
        <v>681</v>
      </c>
      <c r="C85" s="2636" t="s">
        <v>681</v>
      </c>
      <c r="D85" s="3461" t="s">
        <v>199</v>
      </c>
      <c r="E85" s="3461">
        <v>105.39832223449531</v>
      </c>
      <c r="F85" s="3461">
        <v>2.8513435805006573</v>
      </c>
      <c r="G85" s="3081" t="str">
        <f t="shared" si="45"/>
        <v>NA</v>
      </c>
      <c r="H85" s="3081">
        <f t="shared" si="46"/>
        <v>4.1198156994648627E-2</v>
      </c>
      <c r="I85" s="3081">
        <f t="shared" si="47"/>
        <v>0.89025727252506837</v>
      </c>
      <c r="J85" s="3194">
        <v>1.8468280134126693E-2</v>
      </c>
      <c r="K85" s="3194">
        <v>4.3422166263893027</v>
      </c>
      <c r="L85" s="3194">
        <v>2.538429359008378</v>
      </c>
      <c r="M85" s="3460">
        <v>-0.38934934608167965</v>
      </c>
    </row>
    <row r="86" spans="2:13" ht="18" customHeight="1" x14ac:dyDescent="0.2">
      <c r="B86" s="2634" t="s">
        <v>683</v>
      </c>
      <c r="C86" s="2636" t="s">
        <v>683</v>
      </c>
      <c r="D86" s="3461">
        <v>0.76995606175897202</v>
      </c>
      <c r="E86" s="3461">
        <v>41.767884782607446</v>
      </c>
      <c r="F86" s="3461">
        <v>1.1069092287086946</v>
      </c>
      <c r="G86" s="3081">
        <f t="shared" si="45"/>
        <v>9.2021195130611889E-3</v>
      </c>
      <c r="H86" s="3081">
        <f t="shared" si="46"/>
        <v>3.9883784601643851E-2</v>
      </c>
      <c r="I86" s="3081">
        <f t="shared" si="47"/>
        <v>0.88672267085834289</v>
      </c>
      <c r="J86" s="3194">
        <v>7.0852277001119818E-3</v>
      </c>
      <c r="K86" s="3194">
        <v>1.6658613199357934</v>
      </c>
      <c r="L86" s="3194">
        <v>0.98152150767832191</v>
      </c>
      <c r="M86" s="3460">
        <v>-0.15704185246622082</v>
      </c>
    </row>
    <row r="87" spans="2:13" ht="18" customHeight="1" x14ac:dyDescent="0.2">
      <c r="B87" s="2634" t="s">
        <v>686</v>
      </c>
      <c r="C87" s="2636" t="s">
        <v>686</v>
      </c>
      <c r="D87" s="3461">
        <v>0.24574755893099082</v>
      </c>
      <c r="E87" s="3461">
        <v>13.331092820527495</v>
      </c>
      <c r="F87" s="3461">
        <v>0.35329319999366543</v>
      </c>
      <c r="G87" s="3081">
        <f t="shared" si="45"/>
        <v>9.2021195130611889E-3</v>
      </c>
      <c r="H87" s="3081">
        <f t="shared" si="46"/>
        <v>3.9883784601643865E-2</v>
      </c>
      <c r="I87" s="3081">
        <f t="shared" si="47"/>
        <v>1.0525001871469539</v>
      </c>
      <c r="J87" s="3194">
        <v>2.2613984073260249E-3</v>
      </c>
      <c r="K87" s="3194">
        <v>0.53169443455843957</v>
      </c>
      <c r="L87" s="3194">
        <v>0.37184115911107907</v>
      </c>
      <c r="M87" s="3460">
        <v>-0.1086912565130457</v>
      </c>
    </row>
    <row r="88" spans="2:13" ht="18" customHeight="1" x14ac:dyDescent="0.2">
      <c r="B88" s="2634" t="s">
        <v>688</v>
      </c>
      <c r="C88" s="2636" t="s">
        <v>688</v>
      </c>
      <c r="D88" s="3461" t="s">
        <v>199</v>
      </c>
      <c r="E88" s="3461">
        <v>79.518715177236885</v>
      </c>
      <c r="F88" s="3461">
        <v>2.15122189085537</v>
      </c>
      <c r="G88" s="3081" t="str">
        <f t="shared" si="45"/>
        <v>NA</v>
      </c>
      <c r="H88" s="3081">
        <f t="shared" si="46"/>
        <v>4.1198156994648627E-2</v>
      </c>
      <c r="I88" s="3081">
        <f t="shared" si="47"/>
        <v>0.89185770840627776</v>
      </c>
      <c r="J88" s="3194">
        <v>1.3933560579187286E-2</v>
      </c>
      <c r="K88" s="3194">
        <v>3.2760245118845535</v>
      </c>
      <c r="L88" s="3194">
        <v>1.9185838258516901</v>
      </c>
      <c r="M88" s="3460">
        <v>-0.29719101979922019</v>
      </c>
    </row>
    <row r="89" spans="2:13" ht="18" customHeight="1" x14ac:dyDescent="0.2">
      <c r="B89" s="2634" t="s">
        <v>689</v>
      </c>
      <c r="C89" s="2636" t="s">
        <v>689</v>
      </c>
      <c r="D89" s="3461" t="s">
        <v>199</v>
      </c>
      <c r="E89" s="3461">
        <v>70.693349847896258</v>
      </c>
      <c r="F89" s="3461">
        <v>1.9124690507351825</v>
      </c>
      <c r="G89" s="3081" t="str">
        <f t="shared" si="45"/>
        <v>NA</v>
      </c>
      <c r="H89" s="3081">
        <f t="shared" si="46"/>
        <v>4.119815699464862E-2</v>
      </c>
      <c r="I89" s="3081">
        <f t="shared" si="47"/>
        <v>0.88128360120314608</v>
      </c>
      <c r="J89" s="3194">
        <v>1.2387147735673084E-2</v>
      </c>
      <c r="K89" s="3194">
        <v>2.9124357255112492</v>
      </c>
      <c r="L89" s="3194">
        <v>1.685427612221464</v>
      </c>
      <c r="M89" s="3460">
        <v>-0.24398469373802728</v>
      </c>
    </row>
    <row r="90" spans="2:13" ht="18" customHeight="1" x14ac:dyDescent="0.2">
      <c r="B90" s="88" t="s">
        <v>657</v>
      </c>
      <c r="C90" s="2524" t="s">
        <v>895</v>
      </c>
      <c r="D90" s="150"/>
      <c r="E90" s="150"/>
      <c r="F90" s="150"/>
      <c r="G90" s="2135"/>
      <c r="H90" s="2135"/>
      <c r="I90" s="2135"/>
      <c r="J90" s="3081">
        <f>IF(SUM(J91,J104)=0,"NO",SUM(J91,J104))</f>
        <v>21.559250778238457</v>
      </c>
      <c r="K90" s="3081">
        <f t="shared" ref="K90:M90" si="48">IF(SUM(K91,K104)=0,"NO",SUM(K91,K104))</f>
        <v>2.0875446841264664</v>
      </c>
      <c r="L90" s="3081">
        <f t="shared" si="48"/>
        <v>1.0179323456978169</v>
      </c>
      <c r="M90" s="3193" t="str">
        <f t="shared" si="48"/>
        <v>NO</v>
      </c>
    </row>
    <row r="91" spans="2:13" ht="18" customHeight="1" x14ac:dyDescent="0.2">
      <c r="B91" s="104" t="s">
        <v>896</v>
      </c>
      <c r="C91" s="2524"/>
      <c r="D91" s="150"/>
      <c r="E91" s="150"/>
      <c r="F91" s="150"/>
      <c r="G91" s="2135"/>
      <c r="H91" s="2135"/>
      <c r="I91" s="2135"/>
      <c r="J91" s="3081">
        <f>IF(SUM(J92:J103)=0,"NO",SUM(J92:J103))</f>
        <v>21.559250778238457</v>
      </c>
      <c r="K91" s="3081">
        <f>IF(SUM(K92:K103)=0,"NO",SUM(K92:K103))</f>
        <v>2.0875446841264664</v>
      </c>
      <c r="L91" s="3081">
        <f>IF(SUM(L92:L103)=0,"NO",SUM(L92:L103))</f>
        <v>1.0179323456978169</v>
      </c>
      <c r="M91" s="3193" t="str">
        <f>IF(SUM(M92:M103)=0,"NO",SUM(M92:M103))</f>
        <v>NO</v>
      </c>
    </row>
    <row r="92" spans="2:13" ht="18" customHeight="1" x14ac:dyDescent="0.2">
      <c r="B92" s="2634" t="s">
        <v>671</v>
      </c>
      <c r="C92" s="2636" t="s">
        <v>671</v>
      </c>
      <c r="D92" s="3461">
        <v>0.60042936743482145</v>
      </c>
      <c r="E92" s="3461">
        <v>1.4384249589483264</v>
      </c>
      <c r="F92" s="3461">
        <v>1.7009769422109466E-2</v>
      </c>
      <c r="G92" s="3081">
        <f>IF(SUM(D92)=0,"NA",J92/D92)</f>
        <v>0.6</v>
      </c>
      <c r="H92" s="3081">
        <f>IF(SUM(E92)=0,"NA",K92/E92)</f>
        <v>2.4250912356819674E-2</v>
      </c>
      <c r="I92" s="3081">
        <f>IF(SUM(F92)=0,"NA",L92/F92)</f>
        <v>1.0000000000000033</v>
      </c>
      <c r="J92" s="3194">
        <v>0.36025762046089288</v>
      </c>
      <c r="K92" s="3194">
        <v>3.48831176113178E-2</v>
      </c>
      <c r="L92" s="3194">
        <v>1.7009769422109522E-2</v>
      </c>
      <c r="M92" s="3460" t="s">
        <v>199</v>
      </c>
    </row>
    <row r="93" spans="2:13" ht="18" customHeight="1" x14ac:dyDescent="0.2">
      <c r="B93" s="2634" t="s">
        <v>672</v>
      </c>
      <c r="C93" s="2636" t="s">
        <v>672</v>
      </c>
      <c r="D93" s="3461">
        <v>1.3397043673888125</v>
      </c>
      <c r="E93" s="3461">
        <v>3.209476924649818</v>
      </c>
      <c r="F93" s="3461">
        <v>3.7952944374511209E-2</v>
      </c>
      <c r="G93" s="3081">
        <f t="shared" ref="G93:G103" si="49">IF(SUM(D93)=0,"NA",J93/D93)</f>
        <v>0.6</v>
      </c>
      <c r="H93" s="3081">
        <f t="shared" ref="H93:H103" si="50">IF(SUM(E93)=0,"NA",K93/E93)</f>
        <v>2.4250912356819671E-2</v>
      </c>
      <c r="I93" s="3081">
        <f t="shared" ref="I93:I103" si="51">IF(SUM(F93)=0,"NA",L93/F93)</f>
        <v>1.0000000000000009</v>
      </c>
      <c r="J93" s="3194">
        <v>0.80382262043328745</v>
      </c>
      <c r="K93" s="3194">
        <v>7.7832743610917868E-2</v>
      </c>
      <c r="L93" s="3194">
        <v>3.7952944374511244E-2</v>
      </c>
      <c r="M93" s="3460" t="s">
        <v>199</v>
      </c>
    </row>
    <row r="94" spans="2:13" ht="18" customHeight="1" x14ac:dyDescent="0.2">
      <c r="B94" s="2634" t="s">
        <v>674</v>
      </c>
      <c r="C94" s="2636" t="s">
        <v>674</v>
      </c>
      <c r="D94" s="3461" t="s">
        <v>199</v>
      </c>
      <c r="E94" s="3461" t="s">
        <v>199</v>
      </c>
      <c r="F94" s="3461" t="s">
        <v>199</v>
      </c>
      <c r="G94" s="3081" t="str">
        <f t="shared" si="49"/>
        <v>NA</v>
      </c>
      <c r="H94" s="3081" t="str">
        <f t="shared" si="50"/>
        <v>NA</v>
      </c>
      <c r="I94" s="3081" t="str">
        <f t="shared" si="51"/>
        <v>NA</v>
      </c>
      <c r="J94" s="3194" t="s">
        <v>199</v>
      </c>
      <c r="K94" s="3194" t="s">
        <v>199</v>
      </c>
      <c r="L94" s="3194" t="s">
        <v>199</v>
      </c>
      <c r="M94" s="3460" t="s">
        <v>199</v>
      </c>
    </row>
    <row r="95" spans="2:13" ht="18" customHeight="1" x14ac:dyDescent="0.2">
      <c r="B95" s="2634" t="s">
        <v>675</v>
      </c>
      <c r="C95" s="2636" t="s">
        <v>675</v>
      </c>
      <c r="D95" s="3461">
        <v>5.8318723367429977</v>
      </c>
      <c r="E95" s="3461">
        <v>13.971186590039746</v>
      </c>
      <c r="F95" s="3461">
        <v>0.16521311102915939</v>
      </c>
      <c r="G95" s="3081">
        <f t="shared" si="49"/>
        <v>0.59999999999999987</v>
      </c>
      <c r="H95" s="3081">
        <f t="shared" si="50"/>
        <v>2.4250912356819677E-2</v>
      </c>
      <c r="I95" s="3081">
        <f t="shared" si="51"/>
        <v>1.0000000000000044</v>
      </c>
      <c r="J95" s="3194">
        <v>3.499123402045798</v>
      </c>
      <c r="K95" s="3194">
        <v>0.33881402151582823</v>
      </c>
      <c r="L95" s="3194">
        <v>0.16521311102916014</v>
      </c>
      <c r="M95" s="3460" t="s">
        <v>199</v>
      </c>
    </row>
    <row r="96" spans="2:13" ht="18" customHeight="1" x14ac:dyDescent="0.2">
      <c r="B96" s="2634" t="s">
        <v>676</v>
      </c>
      <c r="C96" s="2636" t="s">
        <v>676</v>
      </c>
      <c r="D96" s="3461">
        <v>1.0846951927206165E-2</v>
      </c>
      <c r="E96" s="3461">
        <v>2.598561500624751E-2</v>
      </c>
      <c r="F96" s="3461">
        <v>3.0728702029137719E-4</v>
      </c>
      <c r="G96" s="3081">
        <f t="shared" si="49"/>
        <v>0.59999999999999987</v>
      </c>
      <c r="H96" s="3081">
        <f t="shared" si="50"/>
        <v>2.4250912356819677E-2</v>
      </c>
      <c r="I96" s="3081">
        <f t="shared" si="51"/>
        <v>1.000000000000002</v>
      </c>
      <c r="J96" s="3194">
        <v>6.508171156323698E-3</v>
      </c>
      <c r="K96" s="3194">
        <v>6.3017487205456653E-4</v>
      </c>
      <c r="L96" s="3194">
        <v>3.0728702029137779E-4</v>
      </c>
      <c r="M96" s="3460" t="s">
        <v>199</v>
      </c>
    </row>
    <row r="97" spans="2:13" ht="18" customHeight="1" x14ac:dyDescent="0.2">
      <c r="B97" s="2634" t="s">
        <v>677</v>
      </c>
      <c r="C97" s="2636" t="s">
        <v>677</v>
      </c>
      <c r="D97" s="3461">
        <v>20.903952204651873</v>
      </c>
      <c r="E97" s="3461">
        <v>50.078773995174721</v>
      </c>
      <c r="F97" s="3461">
        <v>0.59219522944224334</v>
      </c>
      <c r="G97" s="3081">
        <f t="shared" si="49"/>
        <v>0.60000000000000009</v>
      </c>
      <c r="H97" s="3081">
        <f t="shared" si="50"/>
        <v>2.4250912356819677E-2</v>
      </c>
      <c r="I97" s="3081">
        <f t="shared" si="51"/>
        <v>0.99999999999999978</v>
      </c>
      <c r="J97" s="3194">
        <v>12.542371322791125</v>
      </c>
      <c r="K97" s="3194">
        <v>1.2144559590939625</v>
      </c>
      <c r="L97" s="3194">
        <v>0.59219522944224323</v>
      </c>
      <c r="M97" s="3460" t="s">
        <v>199</v>
      </c>
    </row>
    <row r="98" spans="2:13" ht="18" customHeight="1" x14ac:dyDescent="0.2">
      <c r="B98" s="2634" t="s">
        <v>679</v>
      </c>
      <c r="C98" s="2636" t="s">
        <v>679</v>
      </c>
      <c r="D98" s="3461">
        <v>5.5236981641742391</v>
      </c>
      <c r="E98" s="3461">
        <v>13.232905876989399</v>
      </c>
      <c r="F98" s="3461">
        <v>0.1564827392293274</v>
      </c>
      <c r="G98" s="3081">
        <f t="shared" si="49"/>
        <v>0.60000000000000009</v>
      </c>
      <c r="H98" s="3081">
        <f t="shared" si="50"/>
        <v>2.4250912356819677E-2</v>
      </c>
      <c r="I98" s="3081">
        <f t="shared" si="51"/>
        <v>1.0000000000000009</v>
      </c>
      <c r="J98" s="3194">
        <v>3.314218898504544</v>
      </c>
      <c r="K98" s="3194">
        <v>0.32091004064891393</v>
      </c>
      <c r="L98" s="3194">
        <v>0.15648273922932754</v>
      </c>
      <c r="M98" s="3460" t="s">
        <v>199</v>
      </c>
    </row>
    <row r="99" spans="2:13" ht="18" customHeight="1" x14ac:dyDescent="0.2">
      <c r="B99" s="2634" t="s">
        <v>681</v>
      </c>
      <c r="C99" s="2636" t="s">
        <v>681</v>
      </c>
      <c r="D99" s="3461">
        <v>0.58731474351939306</v>
      </c>
      <c r="E99" s="3461">
        <v>1.4070067715805663</v>
      </c>
      <c r="F99" s="3461">
        <v>1.6638240744536351E-2</v>
      </c>
      <c r="G99" s="3081">
        <f t="shared" si="49"/>
        <v>0.6</v>
      </c>
      <c r="H99" s="3081">
        <f t="shared" si="50"/>
        <v>2.4250912356819674E-2</v>
      </c>
      <c r="I99" s="3081">
        <f t="shared" si="51"/>
        <v>1.0000000000000031</v>
      </c>
      <c r="J99" s="3194">
        <v>0.35238884611163579</v>
      </c>
      <c r="K99" s="3194">
        <v>3.4121197903052111E-2</v>
      </c>
      <c r="L99" s="3194">
        <v>1.6638240744536403E-2</v>
      </c>
      <c r="M99" s="3460" t="s">
        <v>199</v>
      </c>
    </row>
    <row r="100" spans="2:13" ht="18" customHeight="1" x14ac:dyDescent="0.2">
      <c r="B100" s="2634" t="s">
        <v>683</v>
      </c>
      <c r="C100" s="2636" t="s">
        <v>683</v>
      </c>
      <c r="D100" s="3461">
        <v>0.22531923163642981</v>
      </c>
      <c r="E100" s="3461">
        <v>0.53978839826165337</v>
      </c>
      <c r="F100" s="3461">
        <v>6.3831457692958161E-3</v>
      </c>
      <c r="G100" s="3081">
        <f t="shared" si="49"/>
        <v>0.60000000000000009</v>
      </c>
      <c r="H100" s="3081">
        <f t="shared" si="50"/>
        <v>2.4250912356819674E-2</v>
      </c>
      <c r="I100" s="3081">
        <f t="shared" si="51"/>
        <v>0.99999999999999756</v>
      </c>
      <c r="J100" s="3194">
        <v>0.1351915389818579</v>
      </c>
      <c r="K100" s="3194">
        <v>1.3090361137471428E-2</v>
      </c>
      <c r="L100" s="3194">
        <v>6.3831457692958005E-3</v>
      </c>
      <c r="M100" s="3460" t="s">
        <v>199</v>
      </c>
    </row>
    <row r="101" spans="2:13" ht="18" customHeight="1" x14ac:dyDescent="0.2">
      <c r="B101" s="2634" t="s">
        <v>686</v>
      </c>
      <c r="C101" s="2636" t="s">
        <v>686</v>
      </c>
      <c r="D101" s="3461">
        <v>7.1915338945916008E-2</v>
      </c>
      <c r="E101" s="3461">
        <v>0.17228474168906049</v>
      </c>
      <c r="F101" s="3461">
        <v>2.0373142949502202E-3</v>
      </c>
      <c r="G101" s="3081">
        <f t="shared" si="49"/>
        <v>0.6</v>
      </c>
      <c r="H101" s="3081">
        <f t="shared" si="50"/>
        <v>2.4250912356819677E-2</v>
      </c>
      <c r="I101" s="3081">
        <f t="shared" si="51"/>
        <v>1.0000000000000011</v>
      </c>
      <c r="J101" s="3194">
        <v>4.3149203367549606E-2</v>
      </c>
      <c r="K101" s="3194">
        <v>4.1780621711187231E-3</v>
      </c>
      <c r="L101" s="3194">
        <v>2.0373142949502224E-3</v>
      </c>
      <c r="M101" s="3460" t="s">
        <v>199</v>
      </c>
    </row>
    <row r="102" spans="2:13" ht="18" customHeight="1" x14ac:dyDescent="0.2">
      <c r="B102" s="2634" t="s">
        <v>688</v>
      </c>
      <c r="C102" s="2636" t="s">
        <v>688</v>
      </c>
      <c r="D102" s="3461">
        <v>0.44310490735710689</v>
      </c>
      <c r="E102" s="3461">
        <v>1.0615289536851933</v>
      </c>
      <c r="F102" s="3461">
        <v>1.2552870849988433E-2</v>
      </c>
      <c r="G102" s="3081">
        <f t="shared" si="49"/>
        <v>0.6</v>
      </c>
      <c r="H102" s="3081">
        <f t="shared" si="50"/>
        <v>2.4250912356819674E-2</v>
      </c>
      <c r="I102" s="3081">
        <f t="shared" si="51"/>
        <v>1.0000000000000067</v>
      </c>
      <c r="J102" s="3194">
        <v>0.26586294441426411</v>
      </c>
      <c r="K102" s="3194">
        <v>2.5743045620046114E-2</v>
      </c>
      <c r="L102" s="3194">
        <v>1.2552870849988518E-2</v>
      </c>
      <c r="M102" s="3460" t="s">
        <v>199</v>
      </c>
    </row>
    <row r="103" spans="2:13" ht="18" customHeight="1" x14ac:dyDescent="0.2">
      <c r="B103" s="2634" t="s">
        <v>689</v>
      </c>
      <c r="C103" s="2636" t="s">
        <v>689</v>
      </c>
      <c r="D103" s="3461">
        <v>0.3939270166186315</v>
      </c>
      <c r="E103" s="3461">
        <v>0.94371542006529463</v>
      </c>
      <c r="F103" s="3461">
        <v>1.1159693521402879E-2</v>
      </c>
      <c r="G103" s="3081">
        <f t="shared" si="49"/>
        <v>0.6</v>
      </c>
      <c r="H103" s="3081">
        <f t="shared" si="50"/>
        <v>2.4250912356819677E-2</v>
      </c>
      <c r="I103" s="3081">
        <f t="shared" si="51"/>
        <v>1.0000000000000011</v>
      </c>
      <c r="J103" s="3194">
        <v>0.2363562099711789</v>
      </c>
      <c r="K103" s="3194">
        <v>2.2885959941782726E-2</v>
      </c>
      <c r="L103" s="3194">
        <v>1.1159693521402891E-2</v>
      </c>
      <c r="M103" s="3460" t="s">
        <v>199</v>
      </c>
    </row>
    <row r="104" spans="2:13" ht="18" customHeight="1" x14ac:dyDescent="0.2">
      <c r="B104" s="104" t="s">
        <v>897</v>
      </c>
      <c r="C104" s="2524"/>
      <c r="D104" s="150"/>
      <c r="E104" s="150"/>
      <c r="F104" s="150"/>
      <c r="G104" s="3669"/>
      <c r="H104" s="3669"/>
      <c r="I104" s="3669"/>
      <c r="J104" s="3081" t="str">
        <f>IF(SUM(J105:J116)=0,"NO",SUM(J105:J116))</f>
        <v>NO</v>
      </c>
      <c r="K104" s="3081" t="str">
        <f>IF(SUM(K105:K116)=0,"NO",SUM(K105:K116))</f>
        <v>NO</v>
      </c>
      <c r="L104" s="3195"/>
      <c r="M104" s="3193" t="str">
        <f>IF(SUM(M105:M116)=0,"NO",SUM(M105:M116))</f>
        <v>NO</v>
      </c>
    </row>
    <row r="105" spans="2:13" ht="18" customHeight="1" x14ac:dyDescent="0.2">
      <c r="B105" s="2634" t="s">
        <v>671</v>
      </c>
      <c r="C105" s="2636" t="s">
        <v>671</v>
      </c>
      <c r="D105" s="70" t="str">
        <f>IF(D92="NO","NO","IE")</f>
        <v>IE</v>
      </c>
      <c r="E105" s="70" t="str">
        <f>IF(E92="NO","NO","IE")</f>
        <v>IE</v>
      </c>
      <c r="F105" s="150"/>
      <c r="G105" s="3668" t="str">
        <f>IF(SUM(D105)=0,"NA",J105/D105)</f>
        <v>NA</v>
      </c>
      <c r="H105" s="3668" t="str">
        <f>IF(SUM(E105)=0,"NA",K105/E105)</f>
        <v>NA</v>
      </c>
      <c r="I105" s="3669"/>
      <c r="J105" s="70" t="str">
        <f>IF(J92="NO","NO","IE")</f>
        <v>IE</v>
      </c>
      <c r="K105" s="70" t="str">
        <f>IF(K92="NO","NO","IE")</f>
        <v>IE</v>
      </c>
      <c r="L105" s="3195"/>
      <c r="M105" s="3460" t="str">
        <f>IF(M92="NO","NO","IE")</f>
        <v>NO</v>
      </c>
    </row>
    <row r="106" spans="2:13" ht="18" customHeight="1" x14ac:dyDescent="0.2">
      <c r="B106" s="2634" t="s">
        <v>672</v>
      </c>
      <c r="C106" s="2636" t="s">
        <v>672</v>
      </c>
      <c r="D106" s="70" t="str">
        <f t="shared" ref="D106:E116" si="52">IF(D93="NO","NO","IE")</f>
        <v>IE</v>
      </c>
      <c r="E106" s="70" t="str">
        <f t="shared" si="52"/>
        <v>IE</v>
      </c>
      <c r="F106" s="150"/>
      <c r="G106" s="3668" t="str">
        <f t="shared" ref="G106:G116" si="53">IF(SUM(D106)=0,"NA",J106/D106)</f>
        <v>NA</v>
      </c>
      <c r="H106" s="3668" t="str">
        <f t="shared" ref="H106:H116" si="54">IF(SUM(E106)=0,"NA",K106/E106)</f>
        <v>NA</v>
      </c>
      <c r="I106" s="3669"/>
      <c r="J106" s="70" t="str">
        <f t="shared" ref="J106:K106" si="55">IF(J93="NO","NO","IE")</f>
        <v>IE</v>
      </c>
      <c r="K106" s="70" t="str">
        <f t="shared" si="55"/>
        <v>IE</v>
      </c>
      <c r="L106" s="3195"/>
      <c r="M106" s="3460" t="str">
        <f t="shared" ref="M106" si="56">IF(M93="NO","NO","IE")</f>
        <v>NO</v>
      </c>
    </row>
    <row r="107" spans="2:13" ht="18" customHeight="1" x14ac:dyDescent="0.2">
      <c r="B107" s="2634" t="s">
        <v>674</v>
      </c>
      <c r="C107" s="2636" t="s">
        <v>674</v>
      </c>
      <c r="D107" s="70" t="str">
        <f t="shared" si="52"/>
        <v>NO</v>
      </c>
      <c r="E107" s="70" t="str">
        <f t="shared" si="52"/>
        <v>NO</v>
      </c>
      <c r="F107" s="150"/>
      <c r="G107" s="3668" t="str">
        <f t="shared" si="53"/>
        <v>NA</v>
      </c>
      <c r="H107" s="3668" t="str">
        <f t="shared" si="54"/>
        <v>NA</v>
      </c>
      <c r="I107" s="3669"/>
      <c r="J107" s="70" t="str">
        <f t="shared" ref="J107:K107" si="57">IF(J94="NO","NO","IE")</f>
        <v>NO</v>
      </c>
      <c r="K107" s="70" t="str">
        <f t="shared" si="57"/>
        <v>NO</v>
      </c>
      <c r="L107" s="3195"/>
      <c r="M107" s="3460" t="str">
        <f t="shared" ref="M107" si="58">IF(M94="NO","NO","IE")</f>
        <v>NO</v>
      </c>
    </row>
    <row r="108" spans="2:13" ht="18" customHeight="1" x14ac:dyDescent="0.2">
      <c r="B108" s="2634" t="s">
        <v>675</v>
      </c>
      <c r="C108" s="2636" t="s">
        <v>675</v>
      </c>
      <c r="D108" s="70" t="str">
        <f t="shared" si="52"/>
        <v>IE</v>
      </c>
      <c r="E108" s="70" t="str">
        <f t="shared" si="52"/>
        <v>IE</v>
      </c>
      <c r="F108" s="150"/>
      <c r="G108" s="3668" t="str">
        <f t="shared" si="53"/>
        <v>NA</v>
      </c>
      <c r="H108" s="3668" t="str">
        <f t="shared" si="54"/>
        <v>NA</v>
      </c>
      <c r="I108" s="3669"/>
      <c r="J108" s="70" t="str">
        <f t="shared" ref="J108:K108" si="59">IF(J95="NO","NO","IE")</f>
        <v>IE</v>
      </c>
      <c r="K108" s="70" t="str">
        <f t="shared" si="59"/>
        <v>IE</v>
      </c>
      <c r="L108" s="3195"/>
      <c r="M108" s="3460" t="str">
        <f t="shared" ref="M108" si="60">IF(M95="NO","NO","IE")</f>
        <v>NO</v>
      </c>
    </row>
    <row r="109" spans="2:13" ht="18" customHeight="1" x14ac:dyDescent="0.2">
      <c r="B109" s="2634" t="s">
        <v>676</v>
      </c>
      <c r="C109" s="2636" t="s">
        <v>676</v>
      </c>
      <c r="D109" s="70" t="str">
        <f t="shared" si="52"/>
        <v>IE</v>
      </c>
      <c r="E109" s="70" t="str">
        <f t="shared" si="52"/>
        <v>IE</v>
      </c>
      <c r="F109" s="150"/>
      <c r="G109" s="3668" t="str">
        <f t="shared" si="53"/>
        <v>NA</v>
      </c>
      <c r="H109" s="3668" t="str">
        <f t="shared" si="54"/>
        <v>NA</v>
      </c>
      <c r="I109" s="3669"/>
      <c r="J109" s="70" t="str">
        <f t="shared" ref="J109:K109" si="61">IF(J96="NO","NO","IE")</f>
        <v>IE</v>
      </c>
      <c r="K109" s="70" t="str">
        <f t="shared" si="61"/>
        <v>IE</v>
      </c>
      <c r="L109" s="3195"/>
      <c r="M109" s="3460" t="str">
        <f t="shared" ref="M109" si="62">IF(M96="NO","NO","IE")</f>
        <v>NO</v>
      </c>
    </row>
    <row r="110" spans="2:13" ht="18" customHeight="1" x14ac:dyDescent="0.2">
      <c r="B110" s="2634" t="s">
        <v>677</v>
      </c>
      <c r="C110" s="2636" t="s">
        <v>677</v>
      </c>
      <c r="D110" s="70" t="str">
        <f t="shared" si="52"/>
        <v>IE</v>
      </c>
      <c r="E110" s="70" t="str">
        <f t="shared" si="52"/>
        <v>IE</v>
      </c>
      <c r="F110" s="150"/>
      <c r="G110" s="3668" t="str">
        <f t="shared" si="53"/>
        <v>NA</v>
      </c>
      <c r="H110" s="3668" t="str">
        <f t="shared" si="54"/>
        <v>NA</v>
      </c>
      <c r="I110" s="3669"/>
      <c r="J110" s="70" t="str">
        <f t="shared" ref="J110:K110" si="63">IF(J97="NO","NO","IE")</f>
        <v>IE</v>
      </c>
      <c r="K110" s="70" t="str">
        <f t="shared" si="63"/>
        <v>IE</v>
      </c>
      <c r="L110" s="3195"/>
      <c r="M110" s="3460" t="str">
        <f t="shared" ref="M110" si="64">IF(M97="NO","NO","IE")</f>
        <v>NO</v>
      </c>
    </row>
    <row r="111" spans="2:13" ht="18" customHeight="1" x14ac:dyDescent="0.2">
      <c r="B111" s="2634" t="s">
        <v>679</v>
      </c>
      <c r="C111" s="2636" t="s">
        <v>679</v>
      </c>
      <c r="D111" s="70" t="str">
        <f t="shared" si="52"/>
        <v>IE</v>
      </c>
      <c r="E111" s="70" t="str">
        <f t="shared" si="52"/>
        <v>IE</v>
      </c>
      <c r="F111" s="150"/>
      <c r="G111" s="3668" t="str">
        <f t="shared" si="53"/>
        <v>NA</v>
      </c>
      <c r="H111" s="3668" t="str">
        <f t="shared" si="54"/>
        <v>NA</v>
      </c>
      <c r="I111" s="3669"/>
      <c r="J111" s="70" t="str">
        <f t="shared" ref="J111:K111" si="65">IF(J98="NO","NO","IE")</f>
        <v>IE</v>
      </c>
      <c r="K111" s="70" t="str">
        <f t="shared" si="65"/>
        <v>IE</v>
      </c>
      <c r="L111" s="3195"/>
      <c r="M111" s="3460" t="str">
        <f t="shared" ref="M111" si="66">IF(M98="NO","NO","IE")</f>
        <v>NO</v>
      </c>
    </row>
    <row r="112" spans="2:13" ht="18" customHeight="1" x14ac:dyDescent="0.2">
      <c r="B112" s="2634" t="s">
        <v>681</v>
      </c>
      <c r="C112" s="2636" t="s">
        <v>681</v>
      </c>
      <c r="D112" s="70" t="str">
        <f t="shared" si="52"/>
        <v>IE</v>
      </c>
      <c r="E112" s="70" t="str">
        <f t="shared" si="52"/>
        <v>IE</v>
      </c>
      <c r="F112" s="150"/>
      <c r="G112" s="3668" t="str">
        <f t="shared" si="53"/>
        <v>NA</v>
      </c>
      <c r="H112" s="3668" t="str">
        <f t="shared" si="54"/>
        <v>NA</v>
      </c>
      <c r="I112" s="3669"/>
      <c r="J112" s="70" t="str">
        <f t="shared" ref="J112:K112" si="67">IF(J99="NO","NO","IE")</f>
        <v>IE</v>
      </c>
      <c r="K112" s="70" t="str">
        <f t="shared" si="67"/>
        <v>IE</v>
      </c>
      <c r="L112" s="3195"/>
      <c r="M112" s="3460" t="str">
        <f t="shared" ref="M112" si="68">IF(M99="NO","NO","IE")</f>
        <v>NO</v>
      </c>
    </row>
    <row r="113" spans="2:13" ht="18" customHeight="1" x14ac:dyDescent="0.2">
      <c r="B113" s="2634" t="s">
        <v>683</v>
      </c>
      <c r="C113" s="2636" t="s">
        <v>683</v>
      </c>
      <c r="D113" s="70" t="str">
        <f t="shared" si="52"/>
        <v>IE</v>
      </c>
      <c r="E113" s="70" t="str">
        <f t="shared" si="52"/>
        <v>IE</v>
      </c>
      <c r="F113" s="150"/>
      <c r="G113" s="3668" t="str">
        <f t="shared" si="53"/>
        <v>NA</v>
      </c>
      <c r="H113" s="3668" t="str">
        <f t="shared" si="54"/>
        <v>NA</v>
      </c>
      <c r="I113" s="3669"/>
      <c r="J113" s="70" t="str">
        <f t="shared" ref="J113:K113" si="69">IF(J100="NO","NO","IE")</f>
        <v>IE</v>
      </c>
      <c r="K113" s="70" t="str">
        <f t="shared" si="69"/>
        <v>IE</v>
      </c>
      <c r="L113" s="3195"/>
      <c r="M113" s="3460" t="str">
        <f t="shared" ref="M113" si="70">IF(M100="NO","NO","IE")</f>
        <v>NO</v>
      </c>
    </row>
    <row r="114" spans="2:13" ht="18" customHeight="1" x14ac:dyDescent="0.2">
      <c r="B114" s="2634" t="s">
        <v>686</v>
      </c>
      <c r="C114" s="2636" t="s">
        <v>686</v>
      </c>
      <c r="D114" s="70" t="str">
        <f t="shared" si="52"/>
        <v>IE</v>
      </c>
      <c r="E114" s="70" t="str">
        <f t="shared" si="52"/>
        <v>IE</v>
      </c>
      <c r="F114" s="150"/>
      <c r="G114" s="3668" t="str">
        <f t="shared" si="53"/>
        <v>NA</v>
      </c>
      <c r="H114" s="3668" t="str">
        <f t="shared" si="54"/>
        <v>NA</v>
      </c>
      <c r="I114" s="3669"/>
      <c r="J114" s="70" t="str">
        <f t="shared" ref="J114:K114" si="71">IF(J101="NO","NO","IE")</f>
        <v>IE</v>
      </c>
      <c r="K114" s="70" t="str">
        <f t="shared" si="71"/>
        <v>IE</v>
      </c>
      <c r="L114" s="3195"/>
      <c r="M114" s="3460" t="str">
        <f t="shared" ref="M114" si="72">IF(M101="NO","NO","IE")</f>
        <v>NO</v>
      </c>
    </row>
    <row r="115" spans="2:13" ht="18" customHeight="1" x14ac:dyDescent="0.2">
      <c r="B115" s="2634" t="s">
        <v>688</v>
      </c>
      <c r="C115" s="2636" t="s">
        <v>688</v>
      </c>
      <c r="D115" s="70" t="str">
        <f t="shared" si="52"/>
        <v>IE</v>
      </c>
      <c r="E115" s="70" t="str">
        <f t="shared" si="52"/>
        <v>IE</v>
      </c>
      <c r="F115" s="150"/>
      <c r="G115" s="3668" t="str">
        <f t="shared" si="53"/>
        <v>NA</v>
      </c>
      <c r="H115" s="3668" t="str">
        <f t="shared" si="54"/>
        <v>NA</v>
      </c>
      <c r="I115" s="3669"/>
      <c r="J115" s="70" t="str">
        <f t="shared" ref="J115:K115" si="73">IF(J102="NO","NO","IE")</f>
        <v>IE</v>
      </c>
      <c r="K115" s="70" t="str">
        <f t="shared" si="73"/>
        <v>IE</v>
      </c>
      <c r="L115" s="3195"/>
      <c r="M115" s="3460" t="str">
        <f t="shared" ref="M115" si="74">IF(M102="NO","NO","IE")</f>
        <v>NO</v>
      </c>
    </row>
    <row r="116" spans="2:13" ht="18" customHeight="1" x14ac:dyDescent="0.2">
      <c r="B116" s="2634" t="s">
        <v>689</v>
      </c>
      <c r="C116" s="2636" t="s">
        <v>689</v>
      </c>
      <c r="D116" s="70" t="str">
        <f t="shared" si="52"/>
        <v>IE</v>
      </c>
      <c r="E116" s="70" t="str">
        <f t="shared" si="52"/>
        <v>IE</v>
      </c>
      <c r="F116" s="150"/>
      <c r="G116" s="3668" t="str">
        <f t="shared" si="53"/>
        <v>NA</v>
      </c>
      <c r="H116" s="3668" t="str">
        <f t="shared" si="54"/>
        <v>NA</v>
      </c>
      <c r="I116" s="3669"/>
      <c r="J116" s="70" t="str">
        <f t="shared" ref="J116:K116" si="75">IF(J103="NO","NO","IE")</f>
        <v>IE</v>
      </c>
      <c r="K116" s="70" t="str">
        <f t="shared" si="75"/>
        <v>IE</v>
      </c>
      <c r="L116" s="3195"/>
      <c r="M116" s="3460" t="str">
        <f t="shared" ref="M116" si="76">IF(M103="NO","NO","IE")</f>
        <v>NO</v>
      </c>
    </row>
    <row r="117" spans="2:13" ht="18" customHeight="1" x14ac:dyDescent="0.2">
      <c r="B117" s="147" t="s">
        <v>898</v>
      </c>
      <c r="C117" s="2524"/>
      <c r="D117" s="150"/>
      <c r="E117" s="150"/>
      <c r="F117" s="150"/>
      <c r="G117" s="3669"/>
      <c r="H117" s="3669"/>
      <c r="I117" s="3669"/>
      <c r="J117" s="3081">
        <f>IF(SUM(J118:J129)=0,"NO",SUM(J118:J129))</f>
        <v>0.12249481710246829</v>
      </c>
      <c r="K117" s="3081">
        <f>IF(SUM(K118:K129)=0,"NO",SUM(K118:K129))</f>
        <v>10.228613540434008</v>
      </c>
      <c r="L117" s="3081">
        <f>IF(SUM(L118:L129)=0,"NO",SUM(L118:L129))</f>
        <v>7.2535861980108551</v>
      </c>
      <c r="M117" s="3193">
        <f>IF(SUM(M118:M129)=0,"NO",SUM(M118:M129))</f>
        <v>-4.7452439463265685</v>
      </c>
    </row>
    <row r="118" spans="2:13" ht="18" customHeight="1" x14ac:dyDescent="0.2">
      <c r="B118" s="2634" t="s">
        <v>671</v>
      </c>
      <c r="C118" s="2636" t="s">
        <v>671</v>
      </c>
      <c r="D118" s="3461">
        <v>0.58482937864123985</v>
      </c>
      <c r="E118" s="3461">
        <v>3.5528407819348651</v>
      </c>
      <c r="F118" s="3461">
        <v>0.20050186532811534</v>
      </c>
      <c r="G118" s="4443">
        <f>IF(SUM(D118)=0,"NA",J118/D118)</f>
        <v>3.4999999999999996E-3</v>
      </c>
      <c r="H118" s="3081">
        <f>IF(SUM(E118)=0,"NA",K118/E118)</f>
        <v>4.8108358300695743E-2</v>
      </c>
      <c r="I118" s="3081">
        <f>IF(SUM(F118)=0,"NA",L118/F118)</f>
        <v>0.60452445036352331</v>
      </c>
      <c r="J118" s="3194">
        <v>2.0469028252443392E-3</v>
      </c>
      <c r="K118" s="3194">
        <v>0.17092133732264653</v>
      </c>
      <c r="L118" s="3194">
        <v>0.12120827993434009</v>
      </c>
      <c r="M118" s="3460">
        <v>-7.9293585393775248E-2</v>
      </c>
    </row>
    <row r="119" spans="2:13" ht="18" customHeight="1" x14ac:dyDescent="0.2">
      <c r="B119" s="2634" t="s">
        <v>672</v>
      </c>
      <c r="C119" s="2636" t="s">
        <v>672</v>
      </c>
      <c r="D119" s="3461">
        <v>1.3048969874512437</v>
      </c>
      <c r="E119" s="3461">
        <v>7.9272543455528242</v>
      </c>
      <c r="F119" s="3461">
        <v>0.44736856526065655</v>
      </c>
      <c r="G119" s="4443">
        <f t="shared" ref="G119:G129" si="77">IF(SUM(D119)=0,"NA",J119/D119)</f>
        <v>3.5000000000000005E-3</v>
      </c>
      <c r="H119" s="3081">
        <f t="shared" ref="H119:H129" si="78">IF(SUM(E119)=0,"NA",K119/E119)</f>
        <v>4.810835830069575E-2</v>
      </c>
      <c r="I119" s="3081">
        <f t="shared" ref="I119:I129" si="79">IF(SUM(F119)=0,"NA",L119/F119)</f>
        <v>0.60452445036352309</v>
      </c>
      <c r="J119" s="3194">
        <v>4.5671394560793535E-3</v>
      </c>
      <c r="K119" s="3194">
        <v>0.38136719239660266</v>
      </c>
      <c r="L119" s="3194">
        <v>0.2704452360241163</v>
      </c>
      <c r="M119" s="3460">
        <v>-0.17692332923654014</v>
      </c>
    </row>
    <row r="120" spans="2:13" ht="18" customHeight="1" x14ac:dyDescent="0.2">
      <c r="B120" s="2634" t="s">
        <v>674</v>
      </c>
      <c r="C120" s="2636" t="s">
        <v>674</v>
      </c>
      <c r="D120" s="3461" t="s">
        <v>199</v>
      </c>
      <c r="E120" s="3461" t="s">
        <v>199</v>
      </c>
      <c r="F120" s="3461" t="s">
        <v>199</v>
      </c>
      <c r="G120" s="4443" t="str">
        <f t="shared" si="77"/>
        <v>NA</v>
      </c>
      <c r="H120" s="3081" t="str">
        <f t="shared" si="78"/>
        <v>NA</v>
      </c>
      <c r="I120" s="3081" t="str">
        <f t="shared" si="79"/>
        <v>NA</v>
      </c>
      <c r="J120" s="3194" t="s">
        <v>199</v>
      </c>
      <c r="K120" s="3194" t="s">
        <v>199</v>
      </c>
      <c r="L120" s="3194" t="s">
        <v>199</v>
      </c>
      <c r="M120" s="3460" t="s">
        <v>199</v>
      </c>
    </row>
    <row r="121" spans="2:13" ht="18" customHeight="1" x14ac:dyDescent="0.2">
      <c r="B121" s="2634" t="s">
        <v>675</v>
      </c>
      <c r="C121" s="2636" t="s">
        <v>675</v>
      </c>
      <c r="D121" s="3461">
        <v>5.6803521946029383</v>
      </c>
      <c r="E121" s="3461">
        <v>34.508161986709432</v>
      </c>
      <c r="F121" s="3461">
        <v>1.9474418562635296</v>
      </c>
      <c r="G121" s="4443">
        <f t="shared" si="77"/>
        <v>3.4999999999999996E-3</v>
      </c>
      <c r="H121" s="3081">
        <f t="shared" si="78"/>
        <v>4.810835830069575E-2</v>
      </c>
      <c r="I121" s="3081">
        <f t="shared" si="79"/>
        <v>0.6045244503635232</v>
      </c>
      <c r="J121" s="3194">
        <v>1.9881232681110281E-2</v>
      </c>
      <c r="K121" s="3194">
        <v>1.6601310211550662</v>
      </c>
      <c r="L121" s="3194">
        <v>1.1772762177726297</v>
      </c>
      <c r="M121" s="3460">
        <v>-0.77016563849089992</v>
      </c>
    </row>
    <row r="122" spans="2:13" ht="18" customHeight="1" x14ac:dyDescent="0.2">
      <c r="B122" s="2634" t="s">
        <v>676</v>
      </c>
      <c r="C122" s="2636" t="s">
        <v>676</v>
      </c>
      <c r="D122" s="3461">
        <v>1.056513305276994E-2</v>
      </c>
      <c r="E122" s="3461">
        <v>6.4183224966670879E-2</v>
      </c>
      <c r="F122" s="3461">
        <v>3.6221314487341711E-3</v>
      </c>
      <c r="G122" s="4443">
        <f t="shared" si="77"/>
        <v>3.5000000000000005E-3</v>
      </c>
      <c r="H122" s="3081">
        <f t="shared" si="78"/>
        <v>4.810835830069575E-2</v>
      </c>
      <c r="I122" s="3081">
        <f t="shared" si="79"/>
        <v>0.6045244503635232</v>
      </c>
      <c r="J122" s="3194">
        <v>3.6977965684694795E-5</v>
      </c>
      <c r="K122" s="3194">
        <v>3.0877495835907637E-3</v>
      </c>
      <c r="L122" s="3194">
        <v>2.1896670231904567E-3</v>
      </c>
      <c r="M122" s="3460">
        <v>-1.4324644255437138E-3</v>
      </c>
    </row>
    <row r="123" spans="2:13" ht="18" customHeight="1" x14ac:dyDescent="0.2">
      <c r="B123" s="2634" t="s">
        <v>677</v>
      </c>
      <c r="C123" s="2636" t="s">
        <v>677</v>
      </c>
      <c r="D123" s="3461">
        <v>20.360838496661003</v>
      </c>
      <c r="E123" s="3461">
        <v>123.69217417461927</v>
      </c>
      <c r="F123" s="3461">
        <v>6.9804737027914392</v>
      </c>
      <c r="G123" s="4443">
        <f t="shared" si="77"/>
        <v>3.5000000000000005E-3</v>
      </c>
      <c r="H123" s="3081">
        <f t="shared" si="78"/>
        <v>4.810835830069575E-2</v>
      </c>
      <c r="I123" s="3081">
        <f t="shared" si="79"/>
        <v>0.6045244503635232</v>
      </c>
      <c r="J123" s="3194">
        <v>7.1262934738313521E-2</v>
      </c>
      <c r="K123" s="3194">
        <v>5.950627434184649</v>
      </c>
      <c r="L123" s="3194">
        <v>4.2198670284570223</v>
      </c>
      <c r="M123" s="3460">
        <v>-2.760606674334416</v>
      </c>
    </row>
    <row r="124" spans="2:13" ht="18" customHeight="1" x14ac:dyDescent="0.2">
      <c r="B124" s="2634" t="s">
        <v>679</v>
      </c>
      <c r="C124" s="2636" t="s">
        <v>679</v>
      </c>
      <c r="D124" s="3461">
        <v>5.3801848150048226</v>
      </c>
      <c r="E124" s="3461">
        <v>32.684643971727979</v>
      </c>
      <c r="F124" s="3461">
        <v>1.8445330050360091</v>
      </c>
      <c r="G124" s="4443">
        <f t="shared" si="77"/>
        <v>3.4999999999999996E-3</v>
      </c>
      <c r="H124" s="3081">
        <f t="shared" si="78"/>
        <v>4.8108358300695757E-2</v>
      </c>
      <c r="I124" s="3081">
        <f t="shared" si="79"/>
        <v>0.60452445036352309</v>
      </c>
      <c r="J124" s="3194">
        <v>1.8830646852516876E-2</v>
      </c>
      <c r="K124" s="3194">
        <v>1.5724045631225652</v>
      </c>
      <c r="L124" s="3194">
        <v>1.115065301046771</v>
      </c>
      <c r="M124" s="3460">
        <v>-0.72946770398923777</v>
      </c>
    </row>
    <row r="125" spans="2:13" ht="18" customHeight="1" x14ac:dyDescent="0.2">
      <c r="B125" s="2634" t="s">
        <v>681</v>
      </c>
      <c r="C125" s="2636" t="s">
        <v>681</v>
      </c>
      <c r="D125" s="3461">
        <v>0.57205549086766061</v>
      </c>
      <c r="E125" s="3461">
        <v>3.4752393633274874</v>
      </c>
      <c r="F125" s="3461">
        <v>0.19612248833435839</v>
      </c>
      <c r="G125" s="4443">
        <f t="shared" si="77"/>
        <v>3.5000000000000001E-3</v>
      </c>
      <c r="H125" s="3081">
        <f t="shared" si="78"/>
        <v>4.810835830069575E-2</v>
      </c>
      <c r="I125" s="3081">
        <f t="shared" si="79"/>
        <v>0.60452445036352298</v>
      </c>
      <c r="J125" s="3194">
        <v>2.0021942180368122E-3</v>
      </c>
      <c r="K125" s="3194">
        <v>0.16718806047164053</v>
      </c>
      <c r="L125" s="3194">
        <v>0.11856083946425446</v>
      </c>
      <c r="M125" s="3460">
        <v>-7.7561648870103875E-2</v>
      </c>
    </row>
    <row r="126" spans="2:13" ht="18" customHeight="1" x14ac:dyDescent="0.2">
      <c r="B126" s="2634" t="s">
        <v>683</v>
      </c>
      <c r="C126" s="2636" t="s">
        <v>683</v>
      </c>
      <c r="D126" s="3461">
        <v>0.21946512509343449</v>
      </c>
      <c r="E126" s="3461">
        <v>1.3332515005589489</v>
      </c>
      <c r="F126" s="3461">
        <v>7.5241033646319733E-2</v>
      </c>
      <c r="G126" s="4443">
        <f t="shared" si="77"/>
        <v>3.4999999999999996E-3</v>
      </c>
      <c r="H126" s="3081">
        <f t="shared" si="78"/>
        <v>4.810835830069575E-2</v>
      </c>
      <c r="I126" s="3081">
        <f t="shared" si="79"/>
        <v>0.6045244503635232</v>
      </c>
      <c r="J126" s="3194">
        <v>7.6812793782702064E-4</v>
      </c>
      <c r="K126" s="3194">
        <v>6.4140540893830172E-2</v>
      </c>
      <c r="L126" s="3194">
        <v>4.5485044509824796E-2</v>
      </c>
      <c r="M126" s="3460">
        <v>-2.9755989136494933E-2</v>
      </c>
    </row>
    <row r="127" spans="2:13" ht="18" customHeight="1" x14ac:dyDescent="0.2">
      <c r="B127" s="2634" t="s">
        <v>686</v>
      </c>
      <c r="C127" s="2636" t="s">
        <v>686</v>
      </c>
      <c r="D127" s="3461">
        <v>7.0046878569909002E-2</v>
      </c>
      <c r="E127" s="3461">
        <v>0.42553506359173021</v>
      </c>
      <c r="F127" s="3461">
        <v>2.4014747423101463E-2</v>
      </c>
      <c r="G127" s="4443">
        <f t="shared" si="77"/>
        <v>3.5000000000000001E-3</v>
      </c>
      <c r="H127" s="3081">
        <f t="shared" si="78"/>
        <v>4.8108358300695743E-2</v>
      </c>
      <c r="I127" s="3081">
        <f t="shared" si="79"/>
        <v>0.60452445036352309</v>
      </c>
      <c r="J127" s="3194">
        <v>2.451640749946815E-4</v>
      </c>
      <c r="K127" s="3194">
        <v>2.0471793308780305E-2</v>
      </c>
      <c r="L127" s="3194">
        <v>1.4517501986569245E-2</v>
      </c>
      <c r="M127" s="3460">
        <v>-9.4972454365322145E-3</v>
      </c>
    </row>
    <row r="128" spans="2:13" ht="18" customHeight="1" x14ac:dyDescent="0.2">
      <c r="B128" s="2634" t="s">
        <v>688</v>
      </c>
      <c r="C128" s="2636" t="s">
        <v>688</v>
      </c>
      <c r="D128" s="3461">
        <v>0.43159242651579915</v>
      </c>
      <c r="E128" s="3461">
        <v>2.6219256933742381</v>
      </c>
      <c r="F128" s="3461">
        <v>0.14796638085958697</v>
      </c>
      <c r="G128" s="4443">
        <f t="shared" si="77"/>
        <v>3.5000000000000001E-3</v>
      </c>
      <c r="H128" s="3081">
        <f t="shared" si="78"/>
        <v>4.8108358300695743E-2</v>
      </c>
      <c r="I128" s="3081">
        <f t="shared" si="79"/>
        <v>0.60452445036352342</v>
      </c>
      <c r="J128" s="3194">
        <v>1.5105734928052971E-3</v>
      </c>
      <c r="K128" s="3194">
        <v>0.12613654069464797</v>
      </c>
      <c r="L128" s="3194">
        <v>8.9449295061421588E-2</v>
      </c>
      <c r="M128" s="3460">
        <v>-5.8517085798165405E-2</v>
      </c>
    </row>
    <row r="129" spans="2:13" ht="18" customHeight="1" x14ac:dyDescent="0.2">
      <c r="B129" s="2634" t="s">
        <v>689</v>
      </c>
      <c r="C129" s="2636" t="s">
        <v>689</v>
      </c>
      <c r="D129" s="3461">
        <v>0.38369224567297683</v>
      </c>
      <c r="E129" s="3461">
        <v>2.3309319058257656</v>
      </c>
      <c r="F129" s="3461">
        <v>0.13154436794557517</v>
      </c>
      <c r="G129" s="4443">
        <f t="shared" si="77"/>
        <v>3.5000000000000001E-3</v>
      </c>
      <c r="H129" s="3081">
        <f t="shared" si="78"/>
        <v>4.8108358300695743E-2</v>
      </c>
      <c r="I129" s="3081">
        <f t="shared" si="79"/>
        <v>0.60452445036352298</v>
      </c>
      <c r="J129" s="3194">
        <v>1.3429228598554189E-3</v>
      </c>
      <c r="K129" s="3194">
        <v>0.11213730729998952</v>
      </c>
      <c r="L129" s="3194">
        <v>7.952178673071586E-2</v>
      </c>
      <c r="M129" s="3460">
        <v>-5.2022581214859268E-2</v>
      </c>
    </row>
    <row r="130" spans="2:13" ht="18" customHeight="1" x14ac:dyDescent="0.2">
      <c r="B130" s="147" t="s">
        <v>659</v>
      </c>
      <c r="C130" s="2524"/>
      <c r="D130" s="2053"/>
      <c r="E130" s="2053"/>
      <c r="F130" s="2053"/>
      <c r="G130" s="3670"/>
      <c r="H130" s="3670"/>
      <c r="I130" s="3670"/>
      <c r="J130" s="3081" t="str">
        <f>IF(SUM(J131,J144)=0,"NO",SUM(J131,J144))</f>
        <v>NO</v>
      </c>
      <c r="K130" s="3081">
        <f>IF(SUM(K131,K144)=0,"NO",SUM(K131,K144))</f>
        <v>60.245459894405464</v>
      </c>
      <c r="L130" s="3196"/>
      <c r="M130" s="3193" t="str">
        <f>IF(SUM(M131,M144)=0,"NO",SUM(M131,M144))</f>
        <v>NO</v>
      </c>
    </row>
    <row r="131" spans="2:13" ht="18" customHeight="1" x14ac:dyDescent="0.2">
      <c r="B131" s="99" t="s">
        <v>899</v>
      </c>
      <c r="C131" s="2524"/>
      <c r="D131" s="150"/>
      <c r="E131" s="150"/>
      <c r="F131" s="150"/>
      <c r="G131" s="3669"/>
      <c r="H131" s="3669"/>
      <c r="I131" s="3669"/>
      <c r="J131" s="3081" t="str">
        <f>IF(SUM(J132:J143)=0,"NO",SUM(J132:J143))</f>
        <v>NO</v>
      </c>
      <c r="K131" s="3081">
        <f>IF(SUM(K132:K143)=0,"NO",SUM(K132:K143))</f>
        <v>60.245459894405464</v>
      </c>
      <c r="L131" s="3196"/>
      <c r="M131" s="3193" t="str">
        <f>IF(SUM(M132:M143)=0,"NO",SUM(M132:M143))</f>
        <v>NO</v>
      </c>
    </row>
    <row r="132" spans="2:13" ht="18" customHeight="1" x14ac:dyDescent="0.2">
      <c r="B132" s="2634" t="s">
        <v>671</v>
      </c>
      <c r="C132" s="2636" t="s">
        <v>671</v>
      </c>
      <c r="D132" s="3461" t="s">
        <v>199</v>
      </c>
      <c r="E132" s="3461">
        <v>1.4174091841966905</v>
      </c>
      <c r="F132" s="346"/>
      <c r="G132" s="3668" t="str">
        <f>IF(SUM(D132)=0,"NA",J132/D132)</f>
        <v>NA</v>
      </c>
      <c r="H132" s="3081">
        <f>IF(SUM(E132)=0,"NA",K132/E132)</f>
        <v>0.71024566776367692</v>
      </c>
      <c r="I132" s="4253"/>
      <c r="J132" s="3194" t="s">
        <v>199</v>
      </c>
      <c r="K132" s="3194">
        <v>1.0067087325241471</v>
      </c>
      <c r="L132" s="3196"/>
      <c r="M132" s="3460" t="s">
        <v>199</v>
      </c>
    </row>
    <row r="133" spans="2:13" ht="18" customHeight="1" x14ac:dyDescent="0.2">
      <c r="B133" s="2634" t="s">
        <v>672</v>
      </c>
      <c r="C133" s="2636" t="s">
        <v>672</v>
      </c>
      <c r="D133" s="3461" t="s">
        <v>199</v>
      </c>
      <c r="E133" s="3461">
        <v>3.1625856052942858</v>
      </c>
      <c r="F133" s="346"/>
      <c r="G133" s="3668" t="str">
        <f t="shared" ref="G133:G143" si="80">IF(SUM(D133)=0,"NA",J133/D133)</f>
        <v>NA</v>
      </c>
      <c r="H133" s="3081">
        <f t="shared" ref="H133:H143" si="81">IF(SUM(E133)=0,"NA",K133/E133)</f>
        <v>0.71024566776367692</v>
      </c>
      <c r="I133" s="4253"/>
      <c r="J133" s="3194" t="s">
        <v>199</v>
      </c>
      <c r="K133" s="3194">
        <v>2.2462127250920325</v>
      </c>
      <c r="L133" s="3196"/>
      <c r="M133" s="3460" t="s">
        <v>199</v>
      </c>
    </row>
    <row r="134" spans="2:13" ht="18" customHeight="1" x14ac:dyDescent="0.2">
      <c r="B134" s="2634" t="s">
        <v>674</v>
      </c>
      <c r="C134" s="2636" t="s">
        <v>674</v>
      </c>
      <c r="D134" s="3461" t="s">
        <v>199</v>
      </c>
      <c r="E134" s="3461" t="s">
        <v>199</v>
      </c>
      <c r="F134" s="346"/>
      <c r="G134" s="3668" t="str">
        <f t="shared" si="80"/>
        <v>NA</v>
      </c>
      <c r="H134" s="3081" t="str">
        <f t="shared" si="81"/>
        <v>NA</v>
      </c>
      <c r="I134" s="4253"/>
      <c r="J134" s="3194" t="s">
        <v>199</v>
      </c>
      <c r="K134" s="3194" t="s">
        <v>199</v>
      </c>
      <c r="L134" s="3196"/>
      <c r="M134" s="3460" t="s">
        <v>199</v>
      </c>
    </row>
    <row r="135" spans="2:13" ht="18" customHeight="1" x14ac:dyDescent="0.2">
      <c r="B135" s="2634" t="s">
        <v>675</v>
      </c>
      <c r="C135" s="2636" t="s">
        <v>675</v>
      </c>
      <c r="D135" s="3461" t="s">
        <v>199</v>
      </c>
      <c r="E135" s="3461">
        <v>13.767063803819449</v>
      </c>
      <c r="F135" s="346"/>
      <c r="G135" s="3668" t="str">
        <f t="shared" si="80"/>
        <v>NA</v>
      </c>
      <c r="H135" s="3081">
        <f t="shared" si="81"/>
        <v>0.71024566776367681</v>
      </c>
      <c r="I135" s="4253"/>
      <c r="J135" s="3194" t="s">
        <v>199</v>
      </c>
      <c r="K135" s="3194">
        <v>9.7779974244888894</v>
      </c>
      <c r="L135" s="3196"/>
      <c r="M135" s="3460" t="s">
        <v>199</v>
      </c>
    </row>
    <row r="136" spans="2:13" ht="18" customHeight="1" x14ac:dyDescent="0.2">
      <c r="B136" s="2634" t="s">
        <v>676</v>
      </c>
      <c r="C136" s="2636" t="s">
        <v>676</v>
      </c>
      <c r="D136" s="3461" t="s">
        <v>199</v>
      </c>
      <c r="E136" s="3461">
        <v>2.5605958195958775E-2</v>
      </c>
      <c r="F136" s="346"/>
      <c r="G136" s="3668" t="str">
        <f t="shared" si="80"/>
        <v>NA</v>
      </c>
      <c r="H136" s="3081">
        <f t="shared" si="81"/>
        <v>0.71024566776367692</v>
      </c>
      <c r="I136" s="4253"/>
      <c r="J136" s="3194" t="s">
        <v>199</v>
      </c>
      <c r="K136" s="3194">
        <v>1.8186520877617535E-2</v>
      </c>
      <c r="L136" s="3196"/>
      <c r="M136" s="3460" t="s">
        <v>199</v>
      </c>
    </row>
    <row r="137" spans="2:13" ht="18" customHeight="1" x14ac:dyDescent="0.2">
      <c r="B137" s="2634" t="s">
        <v>677</v>
      </c>
      <c r="C137" s="2636" t="s">
        <v>677</v>
      </c>
      <c r="D137" s="3461" t="s">
        <v>199</v>
      </c>
      <c r="E137" s="3461">
        <v>49.347109664982526</v>
      </c>
      <c r="F137" s="346"/>
      <c r="G137" s="3668" t="str">
        <f t="shared" si="80"/>
        <v>NA</v>
      </c>
      <c r="H137" s="3081">
        <f t="shared" si="81"/>
        <v>0.71024566776367681</v>
      </c>
      <c r="I137" s="4253"/>
      <c r="J137" s="3194" t="s">
        <v>199</v>
      </c>
      <c r="K137" s="3194">
        <v>35.048570856212905</v>
      </c>
      <c r="L137" s="3196"/>
      <c r="M137" s="3460" t="s">
        <v>199</v>
      </c>
    </row>
    <row r="138" spans="2:13" ht="18" customHeight="1" x14ac:dyDescent="0.2">
      <c r="B138" s="2634" t="s">
        <v>679</v>
      </c>
      <c r="C138" s="2636" t="s">
        <v>679</v>
      </c>
      <c r="D138" s="3461" t="s">
        <v>199</v>
      </c>
      <c r="E138" s="3461">
        <v>13.039569570155756</v>
      </c>
      <c r="F138" s="346"/>
      <c r="G138" s="3668" t="str">
        <f t="shared" si="80"/>
        <v>NA</v>
      </c>
      <c r="H138" s="3081">
        <f t="shared" si="81"/>
        <v>0.7102456677636767</v>
      </c>
      <c r="I138" s="4253"/>
      <c r="J138" s="3194" t="s">
        <v>199</v>
      </c>
      <c r="K138" s="3194">
        <v>9.2612977967061934</v>
      </c>
      <c r="L138" s="3196"/>
      <c r="M138" s="3460" t="s">
        <v>199</v>
      </c>
    </row>
    <row r="139" spans="2:13" ht="18" customHeight="1" x14ac:dyDescent="0.2">
      <c r="B139" s="2634" t="s">
        <v>681</v>
      </c>
      <c r="C139" s="2636" t="s">
        <v>681</v>
      </c>
      <c r="D139" s="3461" t="s">
        <v>199</v>
      </c>
      <c r="E139" s="3461">
        <v>1.3864500249796294</v>
      </c>
      <c r="F139" s="346"/>
      <c r="G139" s="3668" t="str">
        <f t="shared" si="80"/>
        <v>NA</v>
      </c>
      <c r="H139" s="3081">
        <f t="shared" si="81"/>
        <v>0.71024566776367692</v>
      </c>
      <c r="I139" s="4253"/>
      <c r="J139" s="3194" t="s">
        <v>199</v>
      </c>
      <c r="K139" s="3194">
        <v>0.98472012381262342</v>
      </c>
      <c r="L139" s="3196"/>
      <c r="M139" s="3460" t="s">
        <v>199</v>
      </c>
    </row>
    <row r="140" spans="2:13" ht="18" customHeight="1" x14ac:dyDescent="0.2">
      <c r="B140" s="2634" t="s">
        <v>683</v>
      </c>
      <c r="C140" s="2636" t="s">
        <v>683</v>
      </c>
      <c r="D140" s="3461" t="s">
        <v>199</v>
      </c>
      <c r="E140" s="3461">
        <v>0.53190194487328391</v>
      </c>
      <c r="F140" s="346"/>
      <c r="G140" s="3668" t="str">
        <f t="shared" si="80"/>
        <v>NA</v>
      </c>
      <c r="H140" s="3081">
        <f t="shared" si="81"/>
        <v>0.71024566776367681</v>
      </c>
      <c r="I140" s="4253"/>
      <c r="J140" s="3194" t="s">
        <v>199</v>
      </c>
      <c r="K140" s="3194">
        <v>0.37778105202132395</v>
      </c>
      <c r="L140" s="3196"/>
      <c r="M140" s="3460" t="s">
        <v>199</v>
      </c>
    </row>
    <row r="141" spans="2:13" ht="18" customHeight="1" x14ac:dyDescent="0.2">
      <c r="B141" s="2634" t="s">
        <v>686</v>
      </c>
      <c r="C141" s="2636" t="s">
        <v>686</v>
      </c>
      <c r="D141" s="3461" t="s">
        <v>199</v>
      </c>
      <c r="E141" s="3461">
        <v>0.16976761536838803</v>
      </c>
      <c r="F141" s="346"/>
      <c r="G141" s="3668" t="str">
        <f t="shared" si="80"/>
        <v>NA</v>
      </c>
      <c r="H141" s="3081">
        <f t="shared" si="81"/>
        <v>0.71024566776367681</v>
      </c>
      <c r="I141" s="4253"/>
      <c r="J141" s="3194" t="s">
        <v>199</v>
      </c>
      <c r="K141" s="3194">
        <v>0.1205767133419678</v>
      </c>
      <c r="L141" s="3196"/>
      <c r="M141" s="3460" t="s">
        <v>199</v>
      </c>
    </row>
    <row r="142" spans="2:13" ht="18" customHeight="1" x14ac:dyDescent="0.2">
      <c r="B142" s="2634" t="s">
        <v>688</v>
      </c>
      <c r="C142" s="2636" t="s">
        <v>688</v>
      </c>
      <c r="D142" s="3461" t="s">
        <v>199</v>
      </c>
      <c r="E142" s="3461">
        <v>1.0460197307367132</v>
      </c>
      <c r="F142" s="346"/>
      <c r="G142" s="3668" t="str">
        <f t="shared" si="80"/>
        <v>NA</v>
      </c>
      <c r="H142" s="3081">
        <f t="shared" si="81"/>
        <v>0.71024566776367704</v>
      </c>
      <c r="I142" s="4253"/>
      <c r="J142" s="3194" t="s">
        <v>199</v>
      </c>
      <c r="K142" s="3194">
        <v>0.74293098215107845</v>
      </c>
      <c r="L142" s="3196"/>
      <c r="M142" s="3460" t="s">
        <v>199</v>
      </c>
    </row>
    <row r="143" spans="2:13" ht="18" customHeight="1" x14ac:dyDescent="0.2">
      <c r="B143" s="2634" t="s">
        <v>689</v>
      </c>
      <c r="C143" s="2636" t="s">
        <v>689</v>
      </c>
      <c r="D143" s="3461" t="s">
        <v>199</v>
      </c>
      <c r="E143" s="3461">
        <v>0.92992748446645879</v>
      </c>
      <c r="F143" s="346"/>
      <c r="G143" s="3668" t="str">
        <f t="shared" si="80"/>
        <v>NA</v>
      </c>
      <c r="H143" s="3081">
        <f t="shared" si="81"/>
        <v>0.71024566776367681</v>
      </c>
      <c r="I143" s="4253"/>
      <c r="J143" s="3194" t="s">
        <v>199</v>
      </c>
      <c r="K143" s="3194">
        <v>0.66047696717667626</v>
      </c>
      <c r="L143" s="3196"/>
      <c r="M143" s="3460" t="s">
        <v>199</v>
      </c>
    </row>
    <row r="144" spans="2:13" ht="18" customHeight="1" x14ac:dyDescent="0.2">
      <c r="B144" s="104" t="s">
        <v>900</v>
      </c>
      <c r="C144" s="2524"/>
      <c r="D144" s="2053"/>
      <c r="E144" s="2053"/>
      <c r="F144" s="2053"/>
      <c r="G144" s="3670"/>
      <c r="H144" s="4253"/>
      <c r="I144" s="4253"/>
      <c r="J144" s="3081" t="s">
        <v>205</v>
      </c>
      <c r="K144" s="3081" t="s">
        <v>205</v>
      </c>
      <c r="L144" s="3196"/>
      <c r="M144" s="3193" t="s">
        <v>205</v>
      </c>
    </row>
    <row r="145" spans="2:13" ht="18" customHeight="1" x14ac:dyDescent="0.2">
      <c r="B145" s="2634" t="s">
        <v>205</v>
      </c>
      <c r="C145" s="2524"/>
      <c r="D145" s="2053"/>
      <c r="E145" s="2053"/>
      <c r="F145" s="346"/>
      <c r="G145" s="3668" t="s">
        <v>205</v>
      </c>
      <c r="H145" s="3081" t="s">
        <v>205</v>
      </c>
      <c r="I145" s="4253"/>
      <c r="J145" s="3194" t="s">
        <v>205</v>
      </c>
      <c r="K145" s="3194" t="s">
        <v>205</v>
      </c>
      <c r="L145" s="3196"/>
      <c r="M145" s="3460" t="s">
        <v>205</v>
      </c>
    </row>
    <row r="146" spans="2:13" ht="18" customHeight="1" x14ac:dyDescent="0.2">
      <c r="B146" s="147" t="s">
        <v>660</v>
      </c>
      <c r="C146" s="2524"/>
      <c r="D146" s="150"/>
      <c r="E146" s="150"/>
      <c r="F146" s="150"/>
      <c r="G146" s="3669"/>
      <c r="H146" s="2135"/>
      <c r="I146" s="2135"/>
      <c r="J146" s="3081" t="str">
        <f>IF(SUM(J147:J158)=0,"NO",SUM(J147:J158))</f>
        <v>NO</v>
      </c>
      <c r="K146" s="3081">
        <f>IF(SUM(K147:K158)=0,"NO",SUM(K147:K158))</f>
        <v>23.661838591800951</v>
      </c>
      <c r="L146" s="3081">
        <f>IF(SUM(L147:L158)=0,"NO",SUM(L147:L158))</f>
        <v>8.8128448006299092</v>
      </c>
      <c r="M146" s="3193" t="str">
        <f>IF(SUM(M147:M158)=0,"NO",SUM(M147:M158))</f>
        <v>NO</v>
      </c>
    </row>
    <row r="147" spans="2:13" ht="18" customHeight="1" x14ac:dyDescent="0.2">
      <c r="B147" s="2634" t="s">
        <v>671</v>
      </c>
      <c r="C147" s="2636" t="s">
        <v>671</v>
      </c>
      <c r="D147" s="3461">
        <v>0.69406440541862435</v>
      </c>
      <c r="E147" s="3461">
        <v>1.1378164237840329</v>
      </c>
      <c r="F147" s="3461">
        <v>0.14726367488478617</v>
      </c>
      <c r="G147" s="3668" t="str">
        <f>IFERROR(J147/D147,"NA")</f>
        <v>NA</v>
      </c>
      <c r="H147" s="3081">
        <f>IF(SUM(E147)=0,"NA",K147/E147)</f>
        <v>0.34750079386480121</v>
      </c>
      <c r="I147" s="3081">
        <f>IF(SUM(F147)=0,"NA",L147/F147)</f>
        <v>1.0000000000000007</v>
      </c>
      <c r="J147" s="3194" t="s">
        <v>199</v>
      </c>
      <c r="K147" s="3194">
        <v>0.39539211053736051</v>
      </c>
      <c r="L147" s="3194">
        <v>0.14726367488478626</v>
      </c>
      <c r="M147" s="3460" t="s">
        <v>199</v>
      </c>
    </row>
    <row r="148" spans="2:13" ht="18" customHeight="1" x14ac:dyDescent="0.2">
      <c r="B148" s="2634" t="s">
        <v>672</v>
      </c>
      <c r="C148" s="2636" t="s">
        <v>672</v>
      </c>
      <c r="D148" s="3461">
        <v>1.5486269753275976</v>
      </c>
      <c r="E148" s="3461">
        <v>2.5387459623144779</v>
      </c>
      <c r="F148" s="3461">
        <v>0.32858117723945385</v>
      </c>
      <c r="G148" s="3668" t="str">
        <f t="shared" ref="G148:G158" si="82">IFERROR(J148/D148,"NA")</f>
        <v>NA</v>
      </c>
      <c r="H148" s="3081">
        <f t="shared" ref="H148:H158" si="83">IF(SUM(E148)=0,"NA",K148/E148)</f>
        <v>0.34750079386480115</v>
      </c>
      <c r="I148" s="3081">
        <f t="shared" ref="I148:I158" si="84">IF(SUM(F148)=0,"NA",L148/F148)</f>
        <v>1.0000000000000002</v>
      </c>
      <c r="J148" s="3194" t="s">
        <v>199</v>
      </c>
      <c r="K148" s="3194">
        <v>0.8822162373253396</v>
      </c>
      <c r="L148" s="3194">
        <v>0.3285811772394539</v>
      </c>
      <c r="M148" s="3460" t="s">
        <v>199</v>
      </c>
    </row>
    <row r="149" spans="2:13" ht="18" customHeight="1" x14ac:dyDescent="0.2">
      <c r="B149" s="2634" t="s">
        <v>674</v>
      </c>
      <c r="C149" s="2636" t="s">
        <v>674</v>
      </c>
      <c r="D149" s="3461" t="s">
        <v>199</v>
      </c>
      <c r="E149" s="3461" t="s">
        <v>199</v>
      </c>
      <c r="F149" s="3461" t="s">
        <v>199</v>
      </c>
      <c r="G149" s="3668" t="str">
        <f t="shared" si="82"/>
        <v>NA</v>
      </c>
      <c r="H149" s="3081" t="str">
        <f t="shared" si="83"/>
        <v>NA</v>
      </c>
      <c r="I149" s="3081" t="str">
        <f t="shared" si="84"/>
        <v>NA</v>
      </c>
      <c r="J149" s="3194" t="s">
        <v>199</v>
      </c>
      <c r="K149" s="3194" t="s">
        <v>199</v>
      </c>
      <c r="L149" s="3194" t="s">
        <v>199</v>
      </c>
      <c r="M149" s="3460" t="s">
        <v>199</v>
      </c>
    </row>
    <row r="150" spans="2:13" ht="18" customHeight="1" x14ac:dyDescent="0.2">
      <c r="B150" s="2634" t="s">
        <v>675</v>
      </c>
      <c r="C150" s="2636" t="s">
        <v>675</v>
      </c>
      <c r="D150" s="3461">
        <v>6.7413341608715394</v>
      </c>
      <c r="E150" s="3461">
        <v>11.051425006919343</v>
      </c>
      <c r="F150" s="3461">
        <v>1.4303480115184855</v>
      </c>
      <c r="G150" s="3668" t="str">
        <f t="shared" si="82"/>
        <v>NA</v>
      </c>
      <c r="H150" s="3081">
        <f t="shared" si="83"/>
        <v>0.34750079386480115</v>
      </c>
      <c r="I150" s="3081">
        <f t="shared" si="84"/>
        <v>1.0000000000000004</v>
      </c>
      <c r="J150" s="3194" t="s">
        <v>199</v>
      </c>
      <c r="K150" s="3194">
        <v>3.8403789632417871</v>
      </c>
      <c r="L150" s="3194">
        <v>1.4303480115184861</v>
      </c>
      <c r="M150" s="3460" t="s">
        <v>199</v>
      </c>
    </row>
    <row r="151" spans="2:13" ht="18" customHeight="1" x14ac:dyDescent="0.2">
      <c r="B151" s="2634" t="s">
        <v>676</v>
      </c>
      <c r="C151" s="2636" t="s">
        <v>676</v>
      </c>
      <c r="D151" s="3461">
        <v>1.2538499361089278E-2</v>
      </c>
      <c r="E151" s="3461">
        <v>2.055502398808098E-2</v>
      </c>
      <c r="F151" s="3461">
        <v>2.6603662124710984E-3</v>
      </c>
      <c r="G151" s="3668" t="str">
        <f t="shared" si="82"/>
        <v>NA</v>
      </c>
      <c r="H151" s="3081">
        <f t="shared" si="83"/>
        <v>0.34750079386480109</v>
      </c>
      <c r="I151" s="3081">
        <f t="shared" si="84"/>
        <v>1.0000000000000002</v>
      </c>
      <c r="J151" s="3194" t="s">
        <v>199</v>
      </c>
      <c r="K151" s="3194">
        <v>7.1428871537681706E-3</v>
      </c>
      <c r="L151" s="3194">
        <v>2.6603662124710988E-3</v>
      </c>
      <c r="M151" s="3460" t="s">
        <v>199</v>
      </c>
    </row>
    <row r="152" spans="2:13" ht="18" customHeight="1" x14ac:dyDescent="0.2">
      <c r="B152" s="2634" t="s">
        <v>677</v>
      </c>
      <c r="C152" s="2636" t="s">
        <v>677</v>
      </c>
      <c r="D152" s="3461">
        <v>24.163856641132746</v>
      </c>
      <c r="E152" s="3461">
        <v>39.613085952247779</v>
      </c>
      <c r="F152" s="3461">
        <v>5.1269857675759543</v>
      </c>
      <c r="G152" s="3668" t="str">
        <f t="shared" si="82"/>
        <v>NA</v>
      </c>
      <c r="H152" s="3081">
        <f t="shared" si="83"/>
        <v>0.34750079386480115</v>
      </c>
      <c r="I152" s="3081">
        <f t="shared" si="84"/>
        <v>1.0000000000000007</v>
      </c>
      <c r="J152" s="3194" t="s">
        <v>199</v>
      </c>
      <c r="K152" s="3194">
        <v>13.765578815840707</v>
      </c>
      <c r="L152" s="3194">
        <v>5.1269857675759578</v>
      </c>
      <c r="M152" s="3460" t="s">
        <v>199</v>
      </c>
    </row>
    <row r="153" spans="2:13" ht="18" customHeight="1" x14ac:dyDescent="0.2">
      <c r="B153" s="2634" t="s">
        <v>679</v>
      </c>
      <c r="C153" s="2636" t="s">
        <v>679</v>
      </c>
      <c r="D153" s="3461">
        <v>6.3851012125014224</v>
      </c>
      <c r="E153" s="3461">
        <v>10.467433526900921</v>
      </c>
      <c r="F153" s="3461">
        <v>1.3547639984464068</v>
      </c>
      <c r="G153" s="3668" t="str">
        <f t="shared" si="82"/>
        <v>NA</v>
      </c>
      <c r="H153" s="3081">
        <f t="shared" si="83"/>
        <v>0.34750079386480109</v>
      </c>
      <c r="I153" s="3081">
        <f t="shared" si="84"/>
        <v>1.0000000000000004</v>
      </c>
      <c r="J153" s="3194" t="s">
        <v>199</v>
      </c>
      <c r="K153" s="3194">
        <v>3.6374414603251051</v>
      </c>
      <c r="L153" s="3194">
        <v>1.3547639984464075</v>
      </c>
      <c r="M153" s="3460" t="s">
        <v>199</v>
      </c>
    </row>
    <row r="154" spans="2:13" ht="18" customHeight="1" x14ac:dyDescent="0.2">
      <c r="B154" s="2634" t="s">
        <v>681</v>
      </c>
      <c r="C154" s="2636" t="s">
        <v>681</v>
      </c>
      <c r="D154" s="3461">
        <v>0.67890459788116442</v>
      </c>
      <c r="E154" s="3461">
        <v>1.1129641509072483</v>
      </c>
      <c r="F154" s="3461">
        <v>0.14404713049627818</v>
      </c>
      <c r="G154" s="3668" t="str">
        <f t="shared" si="82"/>
        <v>NA</v>
      </c>
      <c r="H154" s="3081">
        <f t="shared" si="83"/>
        <v>0.34750079386480121</v>
      </c>
      <c r="I154" s="3081">
        <f t="shared" si="84"/>
        <v>0.99999999999999978</v>
      </c>
      <c r="J154" s="3194" t="s">
        <v>199</v>
      </c>
      <c r="K154" s="3194">
        <v>0.38675592598333319</v>
      </c>
      <c r="L154" s="3194">
        <v>0.14404713049627815</v>
      </c>
      <c r="M154" s="3460" t="s">
        <v>199</v>
      </c>
    </row>
    <row r="155" spans="2:13" ht="18" customHeight="1" x14ac:dyDescent="0.2">
      <c r="B155" s="2634" t="s">
        <v>683</v>
      </c>
      <c r="C155" s="2636" t="s">
        <v>683</v>
      </c>
      <c r="D155" s="3461">
        <v>0.26045704460332908</v>
      </c>
      <c r="E155" s="3461">
        <v>0.42698098436725573</v>
      </c>
      <c r="F155" s="3461">
        <v>5.5262683460597005E-2</v>
      </c>
      <c r="G155" s="3668" t="str">
        <f t="shared" si="82"/>
        <v>NA</v>
      </c>
      <c r="H155" s="3081">
        <f t="shared" si="83"/>
        <v>0.34750079386480109</v>
      </c>
      <c r="I155" s="3081">
        <f t="shared" si="84"/>
        <v>1.0000000000000007</v>
      </c>
      <c r="J155" s="3194" t="s">
        <v>199</v>
      </c>
      <c r="K155" s="3194">
        <v>0.1483762310327956</v>
      </c>
      <c r="L155" s="3194">
        <v>5.526268346059704E-2</v>
      </c>
      <c r="M155" s="3460" t="s">
        <v>199</v>
      </c>
    </row>
    <row r="156" spans="2:13" ht="18" customHeight="1" x14ac:dyDescent="0.2">
      <c r="B156" s="2634" t="s">
        <v>686</v>
      </c>
      <c r="C156" s="2636" t="s">
        <v>686</v>
      </c>
      <c r="D156" s="3461">
        <v>8.3130305866317145E-2</v>
      </c>
      <c r="E156" s="3461">
        <v>0.13627989937307866</v>
      </c>
      <c r="F156" s="3461">
        <v>1.7638239680057309E-2</v>
      </c>
      <c r="G156" s="3668" t="str">
        <f t="shared" si="82"/>
        <v>NA</v>
      </c>
      <c r="H156" s="3081">
        <f t="shared" si="83"/>
        <v>0.34750079386480115</v>
      </c>
      <c r="I156" s="3081">
        <f t="shared" si="84"/>
        <v>1.0000000000000009</v>
      </c>
      <c r="J156" s="3194" t="s">
        <v>199</v>
      </c>
      <c r="K156" s="3194">
        <v>4.7357373219960051E-2</v>
      </c>
      <c r="L156" s="3194">
        <v>1.7638239680057323E-2</v>
      </c>
      <c r="M156" s="3460" t="s">
        <v>199</v>
      </c>
    </row>
    <row r="157" spans="2:13" ht="18" customHeight="1" x14ac:dyDescent="0.2">
      <c r="B157" s="2634" t="s">
        <v>688</v>
      </c>
      <c r="C157" s="2636" t="s">
        <v>688</v>
      </c>
      <c r="D157" s="3461">
        <v>0.51220569935941695</v>
      </c>
      <c r="E157" s="3461">
        <v>0.83968584548780945</v>
      </c>
      <c r="F157" s="3461">
        <v>0.10867765728326695</v>
      </c>
      <c r="G157" s="3668" t="str">
        <f t="shared" si="82"/>
        <v>NA</v>
      </c>
      <c r="H157" s="3081">
        <f t="shared" si="83"/>
        <v>0.34750079386480121</v>
      </c>
      <c r="I157" s="3081">
        <f t="shared" si="84"/>
        <v>0.99999999999999944</v>
      </c>
      <c r="J157" s="3194" t="s">
        <v>199</v>
      </c>
      <c r="K157" s="3194">
        <v>0.29179149790405057</v>
      </c>
      <c r="L157" s="3194">
        <v>0.10867765728326689</v>
      </c>
      <c r="M157" s="3460" t="s">
        <v>199</v>
      </c>
    </row>
    <row r="158" spans="2:13" ht="18" customHeight="1" x14ac:dyDescent="0.2">
      <c r="B158" s="2634" t="s">
        <v>689</v>
      </c>
      <c r="C158" s="2636" t="s">
        <v>689</v>
      </c>
      <c r="D158" s="3461">
        <v>0.45535867396996138</v>
      </c>
      <c r="E158" s="3461">
        <v>0.74649351545846887</v>
      </c>
      <c r="F158" s="3461">
        <v>9.6616093832147892E-2</v>
      </c>
      <c r="G158" s="3668" t="str">
        <f t="shared" si="82"/>
        <v>NA</v>
      </c>
      <c r="H158" s="3081">
        <f t="shared" si="83"/>
        <v>0.34750079386480115</v>
      </c>
      <c r="I158" s="3081">
        <f t="shared" si="84"/>
        <v>1.0000000000000002</v>
      </c>
      <c r="J158" s="3194" t="s">
        <v>199</v>
      </c>
      <c r="K158" s="3194">
        <v>0.25940708923674416</v>
      </c>
      <c r="L158" s="3194">
        <v>9.661609383214792E-2</v>
      </c>
      <c r="M158" s="3460" t="s">
        <v>199</v>
      </c>
    </row>
    <row r="159" spans="2:13" ht="18" customHeight="1" x14ac:dyDescent="0.2">
      <c r="B159" s="88" t="s">
        <v>901</v>
      </c>
      <c r="C159" s="2524"/>
      <c r="D159" s="2053"/>
      <c r="E159" s="2053"/>
      <c r="F159" s="2053"/>
      <c r="G159" s="3670"/>
      <c r="H159" s="4253"/>
      <c r="I159" s="4253"/>
      <c r="J159" s="3197" t="s">
        <v>199</v>
      </c>
      <c r="K159" s="3197" t="s">
        <v>199</v>
      </c>
      <c r="L159" s="3197" t="s">
        <v>199</v>
      </c>
      <c r="M159" s="3193" t="s">
        <v>199</v>
      </c>
    </row>
    <row r="160" spans="2:13" ht="18" customHeight="1" x14ac:dyDescent="0.2">
      <c r="B160" s="104" t="s">
        <v>902</v>
      </c>
      <c r="C160" s="2524"/>
      <c r="D160" s="82" t="s">
        <v>199</v>
      </c>
      <c r="E160" s="82" t="s">
        <v>199</v>
      </c>
      <c r="F160" s="607"/>
      <c r="G160" s="3671" t="str">
        <f t="shared" ref="G160" si="85">IF(SUM(D160)=0,"NA",J160/D160)</f>
        <v>NA</v>
      </c>
      <c r="H160" s="4252" t="str">
        <f t="shared" ref="H160" si="86">IF(SUM(E160)=0,"NA",K160/E160)</f>
        <v>NA</v>
      </c>
      <c r="I160" s="4251"/>
      <c r="J160" s="2173" t="s">
        <v>199</v>
      </c>
      <c r="K160" s="2173" t="s">
        <v>199</v>
      </c>
      <c r="L160" s="615"/>
      <c r="M160" s="3198" t="s">
        <v>199</v>
      </c>
    </row>
    <row r="161" spans="2:13" ht="18" customHeight="1" thickBot="1" x14ac:dyDescent="0.25">
      <c r="B161" s="106" t="s">
        <v>903</v>
      </c>
      <c r="C161" s="2525"/>
      <c r="D161" s="93" t="s">
        <v>199</v>
      </c>
      <c r="E161" s="93" t="s">
        <v>199</v>
      </c>
      <c r="F161" s="93" t="s">
        <v>199</v>
      </c>
      <c r="G161" s="3672" t="str">
        <f t="shared" ref="G161" si="87">IF(SUM(D161)=0,"NA",J161/D161)</f>
        <v>NA</v>
      </c>
      <c r="H161" s="4250" t="str">
        <f t="shared" ref="H161" si="88">IF(SUM(E161)=0,"NA",K161/E161)</f>
        <v>NA</v>
      </c>
      <c r="I161" s="4250" t="str">
        <f t="shared" ref="I161" si="89">IF(SUM(F161)=0,"NA",L161/F161)</f>
        <v>NA</v>
      </c>
      <c r="J161" s="2622" t="s">
        <v>199</v>
      </c>
      <c r="K161" s="2622" t="s">
        <v>199</v>
      </c>
      <c r="L161" s="2622" t="s">
        <v>199</v>
      </c>
      <c r="M161" s="3199" t="s">
        <v>199</v>
      </c>
    </row>
    <row r="162" spans="2:13" ht="18" customHeight="1" x14ac:dyDescent="0.2">
      <c r="B162" s="2641" t="s">
        <v>662</v>
      </c>
      <c r="C162" s="2526"/>
      <c r="D162" s="2642"/>
      <c r="E162" s="2642"/>
      <c r="F162" s="2642"/>
      <c r="G162" s="3673"/>
      <c r="H162" s="4249"/>
      <c r="I162" s="4249"/>
      <c r="J162" s="3200">
        <f>IF(SUM(J163,J165,J175)=0,"NO",SUM(J163,J165,J175))</f>
        <v>0.87661684601452072</v>
      </c>
      <c r="K162" s="3200">
        <f t="shared" ref="K162:M162" si="90">IF(SUM(K163,K165,K175)=0,"NO",SUM(K163,K165,K175))</f>
        <v>6.3484203812893867</v>
      </c>
      <c r="L162" s="3200">
        <f t="shared" si="90"/>
        <v>0.45600000000000002</v>
      </c>
      <c r="M162" s="3201" t="str">
        <f t="shared" si="90"/>
        <v>NO</v>
      </c>
    </row>
    <row r="163" spans="2:13" ht="18" customHeight="1" x14ac:dyDescent="0.2">
      <c r="B163" s="88" t="s">
        <v>904</v>
      </c>
      <c r="C163" s="2524"/>
      <c r="D163" s="2053"/>
      <c r="E163" s="2053"/>
      <c r="F163" s="2053"/>
      <c r="G163" s="3670"/>
      <c r="H163" s="4253"/>
      <c r="I163" s="4253"/>
      <c r="J163" s="3197">
        <f>J164</f>
        <v>0.87661684601452072</v>
      </c>
      <c r="K163" s="3197">
        <f t="shared" ref="K163:M163" si="91">K164</f>
        <v>5.6251673914592475</v>
      </c>
      <c r="L163" s="3197">
        <f t="shared" si="91"/>
        <v>0.45600000000000002</v>
      </c>
      <c r="M163" s="3193" t="str">
        <f t="shared" si="91"/>
        <v>NO</v>
      </c>
    </row>
    <row r="164" spans="2:13" ht="18" customHeight="1" x14ac:dyDescent="0.2">
      <c r="B164" s="2634" t="s">
        <v>905</v>
      </c>
      <c r="C164" s="2636" t="s">
        <v>905</v>
      </c>
      <c r="D164" s="4136">
        <v>10.313139364876712</v>
      </c>
      <c r="E164" s="4136">
        <v>533.74234650088215</v>
      </c>
      <c r="F164" s="2635">
        <v>0.45600000000000002</v>
      </c>
      <c r="G164" s="3668">
        <f t="shared" ref="G164" si="92">IF(SUM(D164)=0,"NA",J164/D164)</f>
        <v>8.500000000000002E-2</v>
      </c>
      <c r="H164" s="3081">
        <f t="shared" ref="H164" si="93">IF(SUM(E164)=0,"NA",K164/E164)</f>
        <v>1.0539106421547442E-2</v>
      </c>
      <c r="I164" s="3081">
        <f t="shared" ref="I164" si="94">IF(SUM(F164)=0,"NA",L164/F164)</f>
        <v>1</v>
      </c>
      <c r="J164" s="3120">
        <v>0.87661684601452072</v>
      </c>
      <c r="K164" s="3120">
        <v>5.6251673914592475</v>
      </c>
      <c r="L164" s="3120">
        <v>0.45600000000000002</v>
      </c>
      <c r="M164" s="3198" t="s">
        <v>199</v>
      </c>
    </row>
    <row r="165" spans="2:13" ht="18" customHeight="1" x14ac:dyDescent="0.25">
      <c r="B165" s="88" t="s">
        <v>906</v>
      </c>
      <c r="C165" s="2524"/>
      <c r="D165" s="2053"/>
      <c r="E165" s="2053"/>
      <c r="F165" s="2053"/>
      <c r="G165" s="3670"/>
      <c r="H165" s="4253"/>
      <c r="I165" s="4253"/>
      <c r="J165" s="3197" t="str">
        <f>IF(SUM(J166:J170)=0,"NO",SUM(J166:J170))</f>
        <v>NO</v>
      </c>
      <c r="K165" s="3197">
        <f t="shared" ref="K165:M165" si="95">IF(SUM(K166:K170)=0,"NO",SUM(K166:K170))</f>
        <v>0.72325298983013919</v>
      </c>
      <c r="L165" s="3197" t="str">
        <f t="shared" si="95"/>
        <v>NO</v>
      </c>
      <c r="M165" s="3193" t="str">
        <f t="shared" si="95"/>
        <v>NO</v>
      </c>
    </row>
    <row r="166" spans="2:13" ht="18" customHeight="1" x14ac:dyDescent="0.2">
      <c r="B166" s="104" t="s">
        <v>907</v>
      </c>
      <c r="C166" s="2524"/>
      <c r="D166" s="2635" t="s">
        <v>199</v>
      </c>
      <c r="E166" s="2635" t="s">
        <v>199</v>
      </c>
      <c r="F166" s="2635" t="s">
        <v>199</v>
      </c>
      <c r="G166" s="3668" t="str">
        <f t="shared" ref="G166" si="96">IF(SUM(D166)=0,"NA",J166/D166)</f>
        <v>NA</v>
      </c>
      <c r="H166" s="3081" t="str">
        <f t="shared" ref="H166" si="97">IF(SUM(E166)=0,"NA",K166/E166)</f>
        <v>NA</v>
      </c>
      <c r="I166" s="3081" t="str">
        <f t="shared" ref="I166" si="98">IF(SUM(F166)=0,"NA",L166/F166)</f>
        <v>NA</v>
      </c>
      <c r="J166" s="3202" t="s">
        <v>199</v>
      </c>
      <c r="K166" s="3202" t="s">
        <v>199</v>
      </c>
      <c r="L166" s="3202" t="s">
        <v>199</v>
      </c>
      <c r="M166" s="3198" t="s">
        <v>199</v>
      </c>
    </row>
    <row r="167" spans="2:13" ht="18" customHeight="1" x14ac:dyDescent="0.2">
      <c r="B167" s="104" t="s">
        <v>908</v>
      </c>
      <c r="C167" s="2524"/>
      <c r="D167" s="2635" t="s">
        <v>199</v>
      </c>
      <c r="E167" s="2635" t="s">
        <v>199</v>
      </c>
      <c r="F167" s="2635" t="s">
        <v>199</v>
      </c>
      <c r="G167" s="3668" t="str">
        <f t="shared" ref="G167" si="99">IF(SUM(D167)=0,"NA",J167/D167)</f>
        <v>NA</v>
      </c>
      <c r="H167" s="3081" t="str">
        <f t="shared" ref="H167" si="100">IF(SUM(E167)=0,"NA",K167/E167)</f>
        <v>NA</v>
      </c>
      <c r="I167" s="3081" t="str">
        <f t="shared" ref="I167" si="101">IF(SUM(F167)=0,"NA",L167/F167)</f>
        <v>NA</v>
      </c>
      <c r="J167" s="3202" t="s">
        <v>199</v>
      </c>
      <c r="K167" s="3202" t="s">
        <v>199</v>
      </c>
      <c r="L167" s="3202" t="s">
        <v>199</v>
      </c>
      <c r="M167" s="3198" t="s">
        <v>199</v>
      </c>
    </row>
    <row r="168" spans="2:13" ht="18" customHeight="1" x14ac:dyDescent="0.2">
      <c r="B168" s="104" t="s">
        <v>909</v>
      </c>
      <c r="C168" s="2524"/>
      <c r="D168" s="2635" t="s">
        <v>199</v>
      </c>
      <c r="E168" s="2635" t="s">
        <v>199</v>
      </c>
      <c r="F168" s="2635" t="s">
        <v>199</v>
      </c>
      <c r="G168" s="3668" t="str">
        <f t="shared" ref="G168:G169" si="102">IF(SUM(D168)=0,"NA",J168/D168)</f>
        <v>NA</v>
      </c>
      <c r="H168" s="3081" t="str">
        <f t="shared" ref="H168:H169" si="103">IF(SUM(E168)=0,"NA",K168/E168)</f>
        <v>NA</v>
      </c>
      <c r="I168" s="3081" t="str">
        <f t="shared" ref="I168:I169" si="104">IF(SUM(F168)=0,"NA",L168/F168)</f>
        <v>NA</v>
      </c>
      <c r="J168" s="3202" t="s">
        <v>199</v>
      </c>
      <c r="K168" s="3202" t="s">
        <v>199</v>
      </c>
      <c r="L168" s="3202" t="s">
        <v>199</v>
      </c>
      <c r="M168" s="3198" t="s">
        <v>199</v>
      </c>
    </row>
    <row r="169" spans="2:13" ht="18" customHeight="1" x14ac:dyDescent="0.2">
      <c r="B169" s="104" t="s">
        <v>910</v>
      </c>
      <c r="C169" s="2524"/>
      <c r="D169" s="2635" t="s">
        <v>199</v>
      </c>
      <c r="E169" s="2635" t="s">
        <v>199</v>
      </c>
      <c r="F169" s="2635" t="s">
        <v>199</v>
      </c>
      <c r="G169" s="3668" t="str">
        <f t="shared" si="102"/>
        <v>NA</v>
      </c>
      <c r="H169" s="3081" t="str">
        <f t="shared" si="103"/>
        <v>NA</v>
      </c>
      <c r="I169" s="3081" t="str">
        <f t="shared" si="104"/>
        <v>NA</v>
      </c>
      <c r="J169" s="3202" t="s">
        <v>199</v>
      </c>
      <c r="K169" s="3202" t="s">
        <v>199</v>
      </c>
      <c r="L169" s="3202" t="s">
        <v>199</v>
      </c>
      <c r="M169" s="3198" t="s">
        <v>199</v>
      </c>
    </row>
    <row r="170" spans="2:13" ht="18" customHeight="1" x14ac:dyDescent="0.2">
      <c r="B170" s="104" t="s">
        <v>911</v>
      </c>
      <c r="C170" s="2524"/>
      <c r="D170" s="2053"/>
      <c r="E170" s="2053"/>
      <c r="F170" s="2053"/>
      <c r="G170" s="3670"/>
      <c r="H170" s="4253"/>
      <c r="I170" s="4253"/>
      <c r="J170" s="3197" t="str">
        <f>IF(SUM(J172:J173)=0,"NO",SUM(J172:J173))</f>
        <v>NO</v>
      </c>
      <c r="K170" s="3197">
        <f t="shared" ref="K170:M170" si="105">IF(SUM(K172:K173)=0,"NO",SUM(K172:K173))</f>
        <v>0.72325298983013919</v>
      </c>
      <c r="L170" s="3197" t="str">
        <f t="shared" si="105"/>
        <v>NO</v>
      </c>
      <c r="M170" s="3193" t="str">
        <f t="shared" si="105"/>
        <v>NO</v>
      </c>
    </row>
    <row r="171" spans="2:13" ht="18" customHeight="1" x14ac:dyDescent="0.2">
      <c r="B171" s="1241" t="s">
        <v>327</v>
      </c>
      <c r="C171" s="2524"/>
      <c r="D171" s="2413"/>
      <c r="E171" s="2413"/>
      <c r="F171" s="2413"/>
      <c r="G171" s="3674"/>
      <c r="H171" s="3203"/>
      <c r="I171" s="3203"/>
      <c r="J171" s="3203"/>
      <c r="K171" s="3203"/>
      <c r="L171" s="3203"/>
      <c r="M171" s="3204"/>
    </row>
    <row r="172" spans="2:13" ht="18" customHeight="1" x14ac:dyDescent="0.2">
      <c r="B172" s="2445" t="s">
        <v>912</v>
      </c>
      <c r="C172" s="2524"/>
      <c r="D172" s="2635" t="s">
        <v>199</v>
      </c>
      <c r="E172" s="2635" t="s">
        <v>199</v>
      </c>
      <c r="F172" s="2635" t="s">
        <v>199</v>
      </c>
      <c r="G172" s="3668" t="str">
        <f t="shared" ref="G172" si="106">IF(SUM(D172)=0,"NA",J172/D172)</f>
        <v>NA</v>
      </c>
      <c r="H172" s="3081" t="str">
        <f t="shared" ref="H172" si="107">IF(SUM(E172)=0,"NA",K172/E172)</f>
        <v>NA</v>
      </c>
      <c r="I172" s="3081" t="str">
        <f t="shared" ref="I172" si="108">IF(SUM(F172)=0,"NA",L172/F172)</f>
        <v>NA</v>
      </c>
      <c r="J172" s="3202" t="s">
        <v>199</v>
      </c>
      <c r="K172" s="3202" t="s">
        <v>199</v>
      </c>
      <c r="L172" s="3202" t="s">
        <v>199</v>
      </c>
      <c r="M172" s="3198" t="s">
        <v>199</v>
      </c>
    </row>
    <row r="173" spans="2:13" ht="18" customHeight="1" x14ac:dyDescent="0.2">
      <c r="B173" s="2443" t="s">
        <v>913</v>
      </c>
      <c r="C173" s="2524"/>
      <c r="D173" s="2053"/>
      <c r="E173" s="2053"/>
      <c r="F173" s="2053"/>
      <c r="G173" s="3670"/>
      <c r="H173" s="4253"/>
      <c r="I173" s="4253"/>
      <c r="J173" s="3197" t="str">
        <f>J174</f>
        <v>NA</v>
      </c>
      <c r="K173" s="3197">
        <f t="shared" ref="K173:M173" si="109">K174</f>
        <v>0.72325298983013919</v>
      </c>
      <c r="L173" s="3197" t="str">
        <f t="shared" si="109"/>
        <v>NA</v>
      </c>
      <c r="M173" s="3193" t="str">
        <f t="shared" si="109"/>
        <v>NO</v>
      </c>
    </row>
    <row r="174" spans="2:13" ht="18" customHeight="1" x14ac:dyDescent="0.2">
      <c r="B174" s="2637" t="s">
        <v>914</v>
      </c>
      <c r="C174" s="2636" t="s">
        <v>905</v>
      </c>
      <c r="D174" s="82" t="s">
        <v>205</v>
      </c>
      <c r="E174" s="82" t="s">
        <v>221</v>
      </c>
      <c r="F174" s="82" t="s">
        <v>205</v>
      </c>
      <c r="G174" s="3668" t="str">
        <f t="shared" ref="G174" si="110">IF(SUM(D174)=0,"NA",J174/D174)</f>
        <v>NA</v>
      </c>
      <c r="H174" s="3081" t="str">
        <f t="shared" ref="H174" si="111">IF(SUM(E174)=0,"NA",K174/E174)</f>
        <v>NA</v>
      </c>
      <c r="I174" s="3081" t="str">
        <f t="shared" ref="I174" si="112">IF(SUM(F174)=0,"NA",L174/F174)</f>
        <v>NA</v>
      </c>
      <c r="J174" s="2173" t="s">
        <v>205</v>
      </c>
      <c r="K174" s="2173">
        <v>0.72325298983013919</v>
      </c>
      <c r="L174" s="3202" t="s">
        <v>205</v>
      </c>
      <c r="M174" s="3198" t="s">
        <v>199</v>
      </c>
    </row>
    <row r="175" spans="2:13" ht="18" customHeight="1" x14ac:dyDescent="0.2">
      <c r="B175" s="88" t="s">
        <v>915</v>
      </c>
      <c r="C175" s="2524"/>
      <c r="D175" s="2053"/>
      <c r="E175" s="2053"/>
      <c r="F175" s="2053"/>
      <c r="G175" s="3670"/>
      <c r="H175" s="4253"/>
      <c r="I175" s="4253"/>
      <c r="J175" s="3197" t="str">
        <f>J176</f>
        <v>NO</v>
      </c>
      <c r="K175" s="3197" t="str">
        <f t="shared" ref="K175" si="113">K176</f>
        <v>NO</v>
      </c>
      <c r="L175" s="3197" t="str">
        <f t="shared" ref="L175" si="114">L176</f>
        <v>NO</v>
      </c>
      <c r="M175" s="3193" t="str">
        <f t="shared" ref="M175" si="115">M176</f>
        <v>NO</v>
      </c>
    </row>
    <row r="176" spans="2:13" ht="18" customHeight="1" thickBot="1" x14ac:dyDescent="0.25">
      <c r="B176" s="2639" t="s">
        <v>205</v>
      </c>
      <c r="C176" s="2527"/>
      <c r="D176" s="93" t="s">
        <v>199</v>
      </c>
      <c r="E176" s="93" t="s">
        <v>199</v>
      </c>
      <c r="F176" s="93" t="s">
        <v>199</v>
      </c>
      <c r="G176" s="3675" t="str">
        <f t="shared" ref="G176" si="116">IF(SUM(D176)=0,"NA",J176/D176)</f>
        <v>NA</v>
      </c>
      <c r="H176" s="3082" t="str">
        <f t="shared" ref="H176" si="117">IF(SUM(E176)=0,"NA",K176/E176)</f>
        <v>NA</v>
      </c>
      <c r="I176" s="3082" t="str">
        <f t="shared" ref="I176" si="118">IF(SUM(F176)=0,"NA",L176/F176)</f>
        <v>NA</v>
      </c>
      <c r="J176" s="2622" t="s">
        <v>199</v>
      </c>
      <c r="K176" s="2622" t="s">
        <v>199</v>
      </c>
      <c r="L176" s="3205" t="s">
        <v>199</v>
      </c>
      <c r="M176" s="3199" t="s">
        <v>199</v>
      </c>
    </row>
    <row r="177" spans="2:13" ht="18" customHeight="1" x14ac:dyDescent="0.2">
      <c r="B177" s="91" t="s">
        <v>916</v>
      </c>
      <c r="C177" s="2640"/>
      <c r="D177" s="2053"/>
      <c r="E177" s="2053"/>
      <c r="F177" s="2053"/>
      <c r="G177" s="3670"/>
      <c r="H177" s="4253"/>
      <c r="I177" s="4253"/>
      <c r="J177" s="3197" t="str">
        <f>J178</f>
        <v>NO</v>
      </c>
      <c r="K177" s="3197" t="str">
        <f t="shared" ref="K177" si="119">K178</f>
        <v>NO</v>
      </c>
      <c r="L177" s="3197" t="str">
        <f t="shared" ref="L177" si="120">L178</f>
        <v>NO</v>
      </c>
      <c r="M177" s="3193" t="str">
        <f t="shared" ref="M177" si="121">M178</f>
        <v>NO</v>
      </c>
    </row>
    <row r="178" spans="2:13" ht="18" customHeight="1" thickBot="1" x14ac:dyDescent="0.25">
      <c r="B178" s="2639" t="s">
        <v>917</v>
      </c>
      <c r="C178" s="2527"/>
      <c r="D178" s="93" t="s">
        <v>199</v>
      </c>
      <c r="E178" s="93" t="s">
        <v>199</v>
      </c>
      <c r="F178" s="93" t="s">
        <v>199</v>
      </c>
      <c r="G178" s="3675" t="str">
        <f t="shared" ref="G178" si="122">IF(SUM(D178)=0,"NA",J178/D178)</f>
        <v>NA</v>
      </c>
      <c r="H178" s="3082" t="str">
        <f t="shared" ref="H178" si="123">IF(SUM(E178)=0,"NA",K178/E178)</f>
        <v>NA</v>
      </c>
      <c r="I178" s="3082" t="str">
        <f t="shared" ref="I178" si="124">IF(SUM(F178)=0,"NA",L178/F178)</f>
        <v>NA</v>
      </c>
      <c r="J178" s="2622" t="s">
        <v>199</v>
      </c>
      <c r="K178" s="2622" t="s">
        <v>199</v>
      </c>
      <c r="L178" s="3205" t="s">
        <v>199</v>
      </c>
      <c r="M178" s="3199"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60" t="s">
        <v>1</v>
      </c>
      <c r="C1" s="2461"/>
    </row>
    <row r="2" spans="2:5" ht="15.75" x14ac:dyDescent="0.2">
      <c r="B2" s="2464" t="s">
        <v>62</v>
      </c>
      <c r="C2" s="2462"/>
    </row>
    <row r="3" spans="2:5" ht="15.75" x14ac:dyDescent="0.2">
      <c r="B3" s="2463" t="s">
        <v>63</v>
      </c>
      <c r="C3" s="2463" t="s">
        <v>64</v>
      </c>
    </row>
    <row r="4" spans="2:5" ht="15.75" x14ac:dyDescent="0.2">
      <c r="B4" s="2463" t="s">
        <v>65</v>
      </c>
      <c r="C4" s="2463" t="s">
        <v>66</v>
      </c>
    </row>
    <row r="5" spans="2:5" ht="15.75" x14ac:dyDescent="0.2">
      <c r="B5" s="2463" t="s">
        <v>67</v>
      </c>
      <c r="C5" s="2463" t="s">
        <v>68</v>
      </c>
    </row>
    <row r="6" spans="2:5" ht="18.75" x14ac:dyDescent="0.2">
      <c r="B6" s="2463" t="s">
        <v>69</v>
      </c>
      <c r="C6" s="2463" t="s">
        <v>70</v>
      </c>
    </row>
    <row r="7" spans="2:5" ht="15.75" x14ac:dyDescent="0.2">
      <c r="B7" s="2463" t="s">
        <v>71</v>
      </c>
      <c r="C7" s="2463" t="s">
        <v>72</v>
      </c>
    </row>
    <row r="8" spans="2:5" ht="15.75" x14ac:dyDescent="0.2">
      <c r="B8" s="2463" t="s">
        <v>73</v>
      </c>
      <c r="C8" s="2463" t="s">
        <v>74</v>
      </c>
    </row>
    <row r="9" spans="2:5" ht="15.75" x14ac:dyDescent="0.2">
      <c r="B9" s="2463" t="s">
        <v>75</v>
      </c>
      <c r="C9" s="2463" t="s">
        <v>76</v>
      </c>
      <c r="D9" s="2449"/>
      <c r="E9" s="2449"/>
    </row>
    <row r="10" spans="2:5" ht="18.75" x14ac:dyDescent="0.2">
      <c r="B10" s="2463" t="s">
        <v>77</v>
      </c>
      <c r="C10" s="2463" t="s">
        <v>78</v>
      </c>
      <c r="E10" s="2449"/>
    </row>
    <row r="11" spans="2:5" ht="18.75" x14ac:dyDescent="0.2">
      <c r="B11" s="2463" t="s">
        <v>79</v>
      </c>
      <c r="C11" s="2463" t="s">
        <v>80</v>
      </c>
      <c r="E11" s="2449"/>
    </row>
    <row r="12" spans="2:5" ht="15.75" x14ac:dyDescent="0.2">
      <c r="B12" s="2463" t="s">
        <v>81</v>
      </c>
      <c r="C12" s="2463" t="s">
        <v>82</v>
      </c>
    </row>
    <row r="13" spans="2:5" ht="15.75" x14ac:dyDescent="0.2">
      <c r="B13" s="2463" t="s">
        <v>83</v>
      </c>
      <c r="C13" s="2463" t="s">
        <v>84</v>
      </c>
    </row>
    <row r="14" spans="2:5" ht="15.75" x14ac:dyDescent="0.2">
      <c r="B14" s="2463" t="s">
        <v>85</v>
      </c>
      <c r="C14" s="2463" t="s">
        <v>86</v>
      </c>
    </row>
    <row r="15" spans="2:5" ht="15.75" x14ac:dyDescent="0.2">
      <c r="B15" s="2463" t="s">
        <v>87</v>
      </c>
      <c r="C15" s="2463" t="s">
        <v>88</v>
      </c>
    </row>
    <row r="16" spans="2:5" ht="15.75" x14ac:dyDescent="0.2">
      <c r="B16" s="2463" t="s">
        <v>89</v>
      </c>
      <c r="C16" s="2463" t="s">
        <v>90</v>
      </c>
    </row>
    <row r="17" spans="2:3" ht="15.75" x14ac:dyDescent="0.2">
      <c r="B17" s="2463" t="s">
        <v>91</v>
      </c>
      <c r="C17" s="2463" t="s">
        <v>92</v>
      </c>
    </row>
    <row r="18" spans="2:3" ht="18.75" x14ac:dyDescent="0.2">
      <c r="B18" s="2463" t="s">
        <v>93</v>
      </c>
      <c r="C18" s="2463" t="s">
        <v>94</v>
      </c>
    </row>
    <row r="19" spans="2:3" ht="18.75" x14ac:dyDescent="0.2">
      <c r="B19" s="2463" t="s">
        <v>95</v>
      </c>
      <c r="C19" s="2463" t="s">
        <v>96</v>
      </c>
    </row>
    <row r="20" spans="2:3" ht="15.75" x14ac:dyDescent="0.2">
      <c r="B20" s="2463" t="s">
        <v>97</v>
      </c>
      <c r="C20" s="2463" t="s">
        <v>98</v>
      </c>
    </row>
    <row r="21" spans="2:3" ht="15.75" x14ac:dyDescent="0.2">
      <c r="B21" s="2463" t="s">
        <v>99</v>
      </c>
      <c r="C21" s="2463" t="s">
        <v>100</v>
      </c>
    </row>
    <row r="22" spans="2:3" ht="15.75" x14ac:dyDescent="0.2">
      <c r="B22" s="2463" t="s">
        <v>101</v>
      </c>
      <c r="C22" s="2463" t="s">
        <v>102</v>
      </c>
    </row>
    <row r="23" spans="2:3" ht="15.75" x14ac:dyDescent="0.2">
      <c r="B23" s="2463" t="s">
        <v>103</v>
      </c>
      <c r="C23" s="2463" t="s">
        <v>104</v>
      </c>
    </row>
    <row r="24" spans="2:3" ht="15.75" x14ac:dyDescent="0.2">
      <c r="B24" s="2463" t="s">
        <v>105</v>
      </c>
      <c r="C24" s="2463" t="s">
        <v>106</v>
      </c>
    </row>
    <row r="25" spans="2:3" ht="15.75" x14ac:dyDescent="0.2">
      <c r="B25" s="2463" t="s">
        <v>107</v>
      </c>
      <c r="C25" s="2463" t="s">
        <v>108</v>
      </c>
    </row>
    <row r="26" spans="2:3" ht="15.75" x14ac:dyDescent="0.2">
      <c r="B26" s="2463" t="s">
        <v>109</v>
      </c>
      <c r="C26" s="2463" t="s">
        <v>110</v>
      </c>
    </row>
    <row r="27" spans="2:3" ht="15.75" x14ac:dyDescent="0.2">
      <c r="B27" s="2463" t="s">
        <v>111</v>
      </c>
      <c r="C27" s="2463" t="s">
        <v>112</v>
      </c>
    </row>
    <row r="28" spans="2:3" ht="15.75" x14ac:dyDescent="0.2">
      <c r="B28" s="2463" t="s">
        <v>113</v>
      </c>
      <c r="C28" s="2463" t="s">
        <v>114</v>
      </c>
    </row>
    <row r="29" spans="2:3" ht="15.75" x14ac:dyDescent="0.2">
      <c r="B29" s="2463" t="s">
        <v>115</v>
      </c>
      <c r="C29" s="2463" t="s">
        <v>116</v>
      </c>
    </row>
    <row r="30" spans="2:3" ht="15.75" x14ac:dyDescent="0.2">
      <c r="B30" s="2463" t="s">
        <v>117</v>
      </c>
      <c r="C30" s="2463" t="s">
        <v>118</v>
      </c>
    </row>
    <row r="31" spans="2:3" ht="15.75" x14ac:dyDescent="0.2">
      <c r="B31" s="2463" t="s">
        <v>119</v>
      </c>
      <c r="C31" s="2463" t="s">
        <v>120</v>
      </c>
    </row>
    <row r="32" spans="2:3" ht="15.75" x14ac:dyDescent="0.2">
      <c r="B32" s="2463" t="s">
        <v>121</v>
      </c>
      <c r="C32" s="2463" t="s">
        <v>122</v>
      </c>
    </row>
    <row r="33" spans="2:4" ht="15.75" x14ac:dyDescent="0.2">
      <c r="B33" s="2463" t="s">
        <v>123</v>
      </c>
      <c r="C33" s="2463" t="s">
        <v>124</v>
      </c>
    </row>
    <row r="34" spans="2:4" ht="31.5" x14ac:dyDescent="0.2">
      <c r="B34" s="2463" t="s">
        <v>125</v>
      </c>
      <c r="C34" s="2463" t="s">
        <v>126</v>
      </c>
    </row>
    <row r="35" spans="2:4" ht="15.75" x14ac:dyDescent="0.2">
      <c r="B35" s="2463" t="s">
        <v>127</v>
      </c>
      <c r="C35" s="2463" t="s">
        <v>128</v>
      </c>
    </row>
    <row r="36" spans="2:4" ht="15.75" x14ac:dyDescent="0.2">
      <c r="B36" s="2463" t="s">
        <v>129</v>
      </c>
      <c r="C36" s="2463" t="s">
        <v>130</v>
      </c>
    </row>
    <row r="37" spans="2:4" ht="18.75" x14ac:dyDescent="0.2">
      <c r="B37" s="2463" t="s">
        <v>131</v>
      </c>
      <c r="C37" s="2463" t="s">
        <v>132</v>
      </c>
    </row>
    <row r="38" spans="2:4" ht="15.75" x14ac:dyDescent="0.2">
      <c r="B38" s="2463" t="s">
        <v>133</v>
      </c>
      <c r="C38" s="2463" t="s">
        <v>134</v>
      </c>
    </row>
    <row r="39" spans="2:4" ht="15.75" x14ac:dyDescent="0.2">
      <c r="B39" s="2463" t="s">
        <v>135</v>
      </c>
      <c r="C39" s="2463" t="s">
        <v>136</v>
      </c>
    </row>
    <row r="40" spans="2:4" ht="15.75" x14ac:dyDescent="0.2">
      <c r="B40" s="2463" t="s">
        <v>137</v>
      </c>
      <c r="C40" s="2463" t="s">
        <v>138</v>
      </c>
    </row>
    <row r="41" spans="2:4" ht="18.75" x14ac:dyDescent="0.2">
      <c r="B41" s="2463" t="s">
        <v>139</v>
      </c>
      <c r="C41" s="2463" t="s">
        <v>140</v>
      </c>
    </row>
    <row r="42" spans="2:4" ht="15.75" x14ac:dyDescent="0.2">
      <c r="B42" s="2463" t="s">
        <v>141</v>
      </c>
      <c r="C42" s="2463" t="s">
        <v>142</v>
      </c>
    </row>
    <row r="43" spans="2:4" ht="15.75" x14ac:dyDescent="0.2">
      <c r="B43" s="2463" t="s">
        <v>143</v>
      </c>
      <c r="C43" s="2463" t="s">
        <v>144</v>
      </c>
    </row>
    <row r="44" spans="2:4" ht="18.75" x14ac:dyDescent="0.2">
      <c r="B44" s="2463" t="s">
        <v>145</v>
      </c>
      <c r="C44" s="2463" t="s">
        <v>146</v>
      </c>
    </row>
    <row r="45" spans="2:4" ht="15.75" x14ac:dyDescent="0.25">
      <c r="B45" s="2463" t="s">
        <v>147</v>
      </c>
      <c r="C45" s="2463" t="s">
        <v>148</v>
      </c>
      <c r="D45" s="2450"/>
    </row>
    <row r="46" spans="2:4" ht="15.75" x14ac:dyDescent="0.2">
      <c r="B46" s="2463" t="s">
        <v>149</v>
      </c>
      <c r="C46" s="2463" t="s">
        <v>150</v>
      </c>
    </row>
    <row r="47" spans="2:4" ht="15.75" x14ac:dyDescent="0.2">
      <c r="B47" s="2463" t="s">
        <v>151</v>
      </c>
      <c r="C47" s="2463" t="s">
        <v>152</v>
      </c>
    </row>
    <row r="48" spans="2:4" ht="15.75" x14ac:dyDescent="0.2">
      <c r="B48" s="2463" t="s">
        <v>153</v>
      </c>
      <c r="C48" s="2463" t="s">
        <v>154</v>
      </c>
    </row>
    <row r="49" spans="2:3" ht="18.75" x14ac:dyDescent="0.2">
      <c r="B49" s="2463" t="s">
        <v>155</v>
      </c>
      <c r="C49" s="2463" t="s">
        <v>156</v>
      </c>
    </row>
    <row r="50" spans="2:3" ht="18.75" x14ac:dyDescent="0.2">
      <c r="B50" s="2463" t="s">
        <v>157</v>
      </c>
      <c r="C50" s="2463" t="s">
        <v>158</v>
      </c>
    </row>
    <row r="51" spans="2:3" ht="15.75" x14ac:dyDescent="0.2">
      <c r="B51" s="2463" t="s">
        <v>159</v>
      </c>
      <c r="C51" s="2463"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36"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2460</v>
      </c>
    </row>
    <row r="2" spans="1:10" ht="15.75" customHeight="1" x14ac:dyDescent="0.2">
      <c r="B2" s="3" t="s">
        <v>162</v>
      </c>
      <c r="G2" s="226"/>
      <c r="H2" s="226"/>
      <c r="I2" s="226"/>
      <c r="J2" s="14" t="s">
        <v>2461</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5" t="s">
        <v>62</v>
      </c>
      <c r="G7" s="235"/>
    </row>
    <row r="8" spans="1:10" ht="13.5" customHeight="1" x14ac:dyDescent="0.2">
      <c r="B8" s="236" t="s">
        <v>475</v>
      </c>
      <c r="C8" s="237" t="s">
        <v>165</v>
      </c>
      <c r="D8" s="238" t="s">
        <v>166</v>
      </c>
      <c r="E8" s="238" t="s">
        <v>167</v>
      </c>
      <c r="F8" s="238" t="s">
        <v>616</v>
      </c>
      <c r="G8" s="239" t="s">
        <v>75</v>
      </c>
      <c r="H8" s="2421" t="s">
        <v>143</v>
      </c>
      <c r="I8" s="2446" t="s">
        <v>919</v>
      </c>
      <c r="J8" s="2492"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3">
        <f>IF(SUM(C11,C21,C32:C33,C43:C48)=0,"NO",SUM(C11,C21,C32:C33,C43:C48))</f>
        <v>1815.7872546355406</v>
      </c>
      <c r="D10" s="2517">
        <f t="shared" ref="D10:I10" si="0">IF(SUM(D11,D21,D32:D33,D43:D48)=0,"NO",SUM(D11,D21,D32:D33,D43:D48))</f>
        <v>2428.0258024593377</v>
      </c>
      <c r="E10" s="2517">
        <f t="shared" si="0"/>
        <v>36.776579359602195</v>
      </c>
      <c r="F10" s="2517">
        <f t="shared" si="0"/>
        <v>11.532718650733093</v>
      </c>
      <c r="G10" s="2517">
        <f t="shared" si="0"/>
        <v>199.73085384221017</v>
      </c>
      <c r="H10" s="2925">
        <f t="shared" si="0"/>
        <v>11.650966474128925</v>
      </c>
      <c r="I10" s="2934" t="str">
        <f t="shared" si="0"/>
        <v>NO</v>
      </c>
      <c r="J10" s="2935">
        <f>IF(SUM(C10:E10)=0,"NO",SUM(C10)+28*SUM(D10)+265*SUM(E10))</f>
        <v>79546.303253791571</v>
      </c>
    </row>
    <row r="11" spans="1:10" ht="18" customHeight="1" x14ac:dyDescent="0.2">
      <c r="B11" s="234" t="s">
        <v>923</v>
      </c>
      <c r="C11" s="2936"/>
      <c r="D11" s="2163">
        <f>SUM(D17:D20)</f>
        <v>2170.8874174141565</v>
      </c>
      <c r="E11" s="1955"/>
      <c r="F11" s="1955"/>
      <c r="G11" s="1955"/>
      <c r="H11" s="2937"/>
      <c r="I11" s="2937"/>
      <c r="J11" s="1887">
        <f>IF(SUM(C11:E11)=0,"NO",SUM(C11)+28*SUM(D11)+265*SUM(E11))</f>
        <v>60784.847687596382</v>
      </c>
    </row>
    <row r="12" spans="1:10" ht="18" customHeight="1" x14ac:dyDescent="0.2">
      <c r="B12" s="228" t="s">
        <v>924</v>
      </c>
      <c r="C12" s="2949"/>
      <c r="D12" s="2930"/>
      <c r="E12" s="2160"/>
      <c r="F12" s="2160"/>
      <c r="G12" s="2160"/>
      <c r="H12" s="4228"/>
      <c r="I12" s="4228"/>
      <c r="J12" s="2943"/>
    </row>
    <row r="13" spans="1:10" ht="18" customHeight="1" x14ac:dyDescent="0.2">
      <c r="B13" s="230" t="s">
        <v>925</v>
      </c>
      <c r="C13" s="2938"/>
      <c r="D13" s="2161"/>
      <c r="E13" s="615"/>
      <c r="F13" s="615"/>
      <c r="G13" s="615"/>
      <c r="H13" s="2939"/>
      <c r="I13" s="2940"/>
      <c r="J13" s="2941"/>
    </row>
    <row r="14" spans="1:10" ht="18" customHeight="1" x14ac:dyDescent="0.2">
      <c r="B14" s="232" t="s">
        <v>926</v>
      </c>
      <c r="C14" s="2942"/>
      <c r="D14" s="2930"/>
      <c r="E14" s="615"/>
      <c r="F14" s="615"/>
      <c r="G14" s="615"/>
      <c r="H14" s="2939"/>
      <c r="I14" s="2940"/>
      <c r="J14" s="2943"/>
    </row>
    <row r="15" spans="1:10" ht="18" customHeight="1" x14ac:dyDescent="0.2">
      <c r="B15" s="232" t="s">
        <v>927</v>
      </c>
      <c r="C15" s="2942"/>
      <c r="D15" s="2930"/>
      <c r="E15" s="615"/>
      <c r="F15" s="615"/>
      <c r="G15" s="615"/>
      <c r="H15" s="2939"/>
      <c r="I15" s="2940"/>
      <c r="J15" s="2943"/>
    </row>
    <row r="16" spans="1:10" ht="18" customHeight="1" x14ac:dyDescent="0.2">
      <c r="B16" s="230" t="s">
        <v>928</v>
      </c>
      <c r="C16" s="2938"/>
      <c r="D16" s="1935"/>
      <c r="E16" s="615"/>
      <c r="F16" s="615"/>
      <c r="G16" s="615"/>
      <c r="H16" s="2939"/>
      <c r="I16" s="2940"/>
      <c r="J16" s="2944"/>
    </row>
    <row r="17" spans="2:10" ht="18" customHeight="1" x14ac:dyDescent="0.2">
      <c r="B17" s="232" t="s">
        <v>929</v>
      </c>
      <c r="C17" s="2945"/>
      <c r="D17" s="2930">
        <f>Table3.A!G15</f>
        <v>1573.1051516425805</v>
      </c>
      <c r="E17" s="615"/>
      <c r="F17" s="615"/>
      <c r="G17" s="615"/>
      <c r="H17" s="2939"/>
      <c r="I17" s="2940"/>
      <c r="J17" s="2943">
        <f>IF(SUM(C17:E17)=0,"NO",SUM(C17)+28*SUM(D17)+265*SUM(E17))</f>
        <v>44046.944245992257</v>
      </c>
    </row>
    <row r="18" spans="2:10" ht="18" customHeight="1" x14ac:dyDescent="0.2">
      <c r="B18" s="228" t="s">
        <v>930</v>
      </c>
      <c r="C18" s="2945"/>
      <c r="D18" s="2930">
        <f>Table3.A!G24</f>
        <v>583.63749327084338</v>
      </c>
      <c r="E18" s="615"/>
      <c r="F18" s="615"/>
      <c r="G18" s="615"/>
      <c r="H18" s="2939"/>
      <c r="I18" s="2940"/>
      <c r="J18" s="2943">
        <f t="shared" ref="J18:J22" si="1">IF(SUM(C18:E18)=0,"NO",SUM(C18)+28*SUM(D18)+265*SUM(E18))</f>
        <v>16341.849811583616</v>
      </c>
    </row>
    <row r="19" spans="2:10" ht="18" customHeight="1" x14ac:dyDescent="0.2">
      <c r="B19" s="228" t="s">
        <v>931</v>
      </c>
      <c r="C19" s="2945"/>
      <c r="D19" s="2930">
        <f>Table3.A!G27</f>
        <v>3.9730337860851397</v>
      </c>
      <c r="E19" s="615"/>
      <c r="F19" s="615"/>
      <c r="G19" s="615"/>
      <c r="H19" s="2939"/>
      <c r="I19" s="2940"/>
      <c r="J19" s="2943">
        <f t="shared" si="1"/>
        <v>111.24494601038391</v>
      </c>
    </row>
    <row r="20" spans="2:10" ht="18" customHeight="1" thickBot="1" x14ac:dyDescent="0.25">
      <c r="B20" s="1296" t="s">
        <v>932</v>
      </c>
      <c r="C20" s="2946"/>
      <c r="D20" s="2517">
        <f>Table3.A!G30</f>
        <v>10.171738714647901</v>
      </c>
      <c r="E20" s="1948"/>
      <c r="F20" s="1948"/>
      <c r="G20" s="1948"/>
      <c r="H20" s="2947"/>
      <c r="I20" s="2948"/>
      <c r="J20" s="2943">
        <f t="shared" si="1"/>
        <v>284.80868401014123</v>
      </c>
    </row>
    <row r="21" spans="2:10" ht="18" customHeight="1" x14ac:dyDescent="0.2">
      <c r="B21" s="1455" t="s">
        <v>933</v>
      </c>
      <c r="C21" s="2949"/>
      <c r="D21" s="2930">
        <f>IF(SUM(D27:D31)=0,"NO",SUM(D27:D31))</f>
        <v>248.85737366850927</v>
      </c>
      <c r="E21" s="2930">
        <f>IF(SUM(E27:E31)=0,"NO",SUM(E27:E31))</f>
        <v>2.0342399420231261</v>
      </c>
      <c r="F21" s="2160"/>
      <c r="G21" s="2160"/>
      <c r="H21" s="2930" t="str">
        <f>IF(SUM(H27:H31)=0,"NE",SUM(H27:H31))</f>
        <v>NE</v>
      </c>
      <c r="I21" s="2940"/>
      <c r="J21" s="2950">
        <f t="shared" si="1"/>
        <v>7507.0800473543877</v>
      </c>
    </row>
    <row r="22" spans="2:10" ht="18" customHeight="1" x14ac:dyDescent="0.2">
      <c r="B22" s="228" t="s">
        <v>934</v>
      </c>
      <c r="C22" s="2945"/>
      <c r="D22" s="2930">
        <f>D27</f>
        <v>156.64029504290698</v>
      </c>
      <c r="E22" s="2930">
        <f>E27</f>
        <v>0.84297460202760177</v>
      </c>
      <c r="F22" s="2951"/>
      <c r="G22" s="2951"/>
      <c r="H22" s="2930" t="str">
        <f>H27</f>
        <v>NE</v>
      </c>
      <c r="I22" s="2940"/>
      <c r="J22" s="2943">
        <f t="shared" si="1"/>
        <v>4609.3165307387098</v>
      </c>
    </row>
    <row r="23" spans="2:10" ht="18" customHeight="1" x14ac:dyDescent="0.2">
      <c r="B23" s="230" t="s">
        <v>925</v>
      </c>
      <c r="C23" s="2938"/>
      <c r="D23" s="2161"/>
      <c r="E23" s="615"/>
      <c r="F23" s="615"/>
      <c r="G23" s="615"/>
      <c r="H23" s="2939"/>
      <c r="I23" s="2940"/>
      <c r="J23" s="2941"/>
    </row>
    <row r="24" spans="2:10" ht="18" customHeight="1" x14ac:dyDescent="0.2">
      <c r="B24" s="232" t="s">
        <v>935</v>
      </c>
      <c r="C24" s="2942"/>
      <c r="D24" s="2930"/>
      <c r="E24" s="2930"/>
      <c r="F24" s="615"/>
      <c r="G24" s="615"/>
      <c r="H24" s="2952"/>
      <c r="I24" s="2940"/>
      <c r="J24" s="2943"/>
    </row>
    <row r="25" spans="2:10" ht="18" customHeight="1" x14ac:dyDescent="0.2">
      <c r="B25" s="232" t="s">
        <v>936</v>
      </c>
      <c r="C25" s="2942"/>
      <c r="D25" s="2930"/>
      <c r="E25" s="2930"/>
      <c r="F25" s="615"/>
      <c r="G25" s="615"/>
      <c r="H25" s="2952"/>
      <c r="I25" s="2940"/>
      <c r="J25" s="2943"/>
    </row>
    <row r="26" spans="2:10" ht="18" customHeight="1" x14ac:dyDescent="0.2">
      <c r="B26" s="230" t="s">
        <v>928</v>
      </c>
      <c r="C26" s="2938"/>
      <c r="D26" s="1935"/>
      <c r="E26" s="615"/>
      <c r="F26" s="615"/>
      <c r="G26" s="615"/>
      <c r="H26" s="2939"/>
      <c r="I26" s="2940"/>
      <c r="J26" s="2944"/>
    </row>
    <row r="27" spans="2:10" ht="18" customHeight="1" x14ac:dyDescent="0.2">
      <c r="B27" s="232" t="s">
        <v>937</v>
      </c>
      <c r="C27" s="2945"/>
      <c r="D27" s="2930">
        <f>'Table3.B(a)'!K15</f>
        <v>156.64029504290698</v>
      </c>
      <c r="E27" s="2930">
        <f>'Table3.B(b)'!X15</f>
        <v>0.84297460202760177</v>
      </c>
      <c r="F27" s="615"/>
      <c r="G27" s="615"/>
      <c r="H27" s="2953" t="s">
        <v>221</v>
      </c>
      <c r="I27" s="2940"/>
      <c r="J27" s="2943">
        <f t="shared" ref="J27:J49" si="2">IF(SUM(C27:E27)=0,"NO",SUM(C27)+28*SUM(D27)+265*SUM(E27))</f>
        <v>4609.3165307387098</v>
      </c>
    </row>
    <row r="28" spans="2:10" ht="18" customHeight="1" x14ac:dyDescent="0.2">
      <c r="B28" s="228" t="s">
        <v>938</v>
      </c>
      <c r="C28" s="2945"/>
      <c r="D28" s="2930">
        <f>'Table3.B(a)'!K24</f>
        <v>29.760491131087441</v>
      </c>
      <c r="E28" s="2930" t="str">
        <f>'Table3.B(b)'!X24</f>
        <v>NA</v>
      </c>
      <c r="F28" s="2951"/>
      <c r="G28" s="2951"/>
      <c r="H28" s="2953" t="s">
        <v>221</v>
      </c>
      <c r="I28" s="2940"/>
      <c r="J28" s="2943">
        <f t="shared" si="2"/>
        <v>833.29375167044839</v>
      </c>
    </row>
    <row r="29" spans="2:10" ht="18" customHeight="1" x14ac:dyDescent="0.2">
      <c r="B29" s="228" t="s">
        <v>939</v>
      </c>
      <c r="C29" s="2945"/>
      <c r="D29" s="2930">
        <f>'Table3.B(a)'!K27</f>
        <v>58.610942608455474</v>
      </c>
      <c r="E29" s="2930">
        <f>'Table3.B(b)'!X27</f>
        <v>0.26429927564452593</v>
      </c>
      <c r="F29" s="2951"/>
      <c r="G29" s="2951"/>
      <c r="H29" s="2953" t="s">
        <v>221</v>
      </c>
      <c r="I29" s="2940"/>
      <c r="J29" s="2943">
        <f t="shared" si="2"/>
        <v>1711.1457010825525</v>
      </c>
    </row>
    <row r="30" spans="2:10" ht="18" customHeight="1" x14ac:dyDescent="0.2">
      <c r="B30" s="228" t="s">
        <v>940</v>
      </c>
      <c r="C30" s="2945"/>
      <c r="D30" s="2930">
        <f>'Table3.B(a)'!K30</f>
        <v>3.8456448860593735</v>
      </c>
      <c r="E30" s="2930">
        <f>'Table3.B(b)'!X30</f>
        <v>0.32979968747914512</v>
      </c>
      <c r="F30" s="2951"/>
      <c r="G30" s="2951"/>
      <c r="H30" s="2953" t="s">
        <v>221</v>
      </c>
      <c r="I30" s="2940"/>
      <c r="J30" s="2943">
        <f t="shared" si="2"/>
        <v>195.07497399163591</v>
      </c>
    </row>
    <row r="31" spans="2:10" ht="18" customHeight="1" thickBot="1" x14ac:dyDescent="0.25">
      <c r="B31" s="1296" t="s">
        <v>941</v>
      </c>
      <c r="C31" s="2954"/>
      <c r="D31" s="2955"/>
      <c r="E31" s="2956">
        <f>SUM('Table3.B(b)'!Y47:Z47)</f>
        <v>0.59716637687185326</v>
      </c>
      <c r="F31" s="2957"/>
      <c r="G31" s="2957"/>
      <c r="H31" s="2958"/>
      <c r="I31" s="2959"/>
      <c r="J31" s="2943">
        <f t="shared" si="2"/>
        <v>158.24908987104112</v>
      </c>
    </row>
    <row r="32" spans="2:10" ht="18" customHeight="1" thickBot="1" x14ac:dyDescent="0.25">
      <c r="B32" s="2658" t="s">
        <v>942</v>
      </c>
      <c r="C32" s="2960"/>
      <c r="D32" s="2961">
        <f>Table3.C!G11</f>
        <v>3.1597074319999998</v>
      </c>
      <c r="E32" s="2962"/>
      <c r="F32" s="2962"/>
      <c r="G32" s="2962"/>
      <c r="H32" s="2963" t="s">
        <v>221</v>
      </c>
      <c r="I32" s="2964"/>
      <c r="J32" s="2965">
        <f t="shared" si="2"/>
        <v>88.47180809599999</v>
      </c>
    </row>
    <row r="33" spans="2:10" ht="18" customHeight="1" x14ac:dyDescent="0.2">
      <c r="B33" s="2657" t="s">
        <v>943</v>
      </c>
      <c r="C33" s="2966"/>
      <c r="D33" s="2967" t="s">
        <v>221</v>
      </c>
      <c r="E33" s="2967">
        <f>IF(SUM(E34,E42)=0,"NO",SUM(E34,E42))</f>
        <v>34.542725488137805</v>
      </c>
      <c r="F33" s="2967" t="str">
        <f>IF(SUM(F34,F42)=0,"NO",SUM(F34,F42))</f>
        <v>NO</v>
      </c>
      <c r="G33" s="2967" t="str">
        <f>IF(SUM(G34,G42)=0,"NO",SUM(G34,G42))</f>
        <v>NO</v>
      </c>
      <c r="H33" s="2967" t="str">
        <f>IF(SUM(H34,H42)=0,"NO",SUM(H34,H42))</f>
        <v>NO</v>
      </c>
      <c r="I33" s="2968"/>
      <c r="J33" s="2969">
        <f t="shared" si="2"/>
        <v>9153.8222543565189</v>
      </c>
    </row>
    <row r="34" spans="2:10" ht="18" customHeight="1" x14ac:dyDescent="0.2">
      <c r="B34" s="228" t="s">
        <v>944</v>
      </c>
      <c r="C34" s="2970"/>
      <c r="D34" s="615"/>
      <c r="E34" s="2971">
        <f>IF(SUM(E35:E41)=0,"NO",SUM(E35:E41))</f>
        <v>24.799983679083745</v>
      </c>
      <c r="F34" s="615"/>
      <c r="G34" s="615"/>
      <c r="H34" s="615"/>
      <c r="I34" s="2940"/>
      <c r="J34" s="2972">
        <f t="shared" si="2"/>
        <v>6571.995674957192</v>
      </c>
    </row>
    <row r="35" spans="2:10" ht="18" customHeight="1" x14ac:dyDescent="0.2">
      <c r="B35" s="232" t="s">
        <v>945</v>
      </c>
      <c r="C35" s="2970"/>
      <c r="D35" s="615"/>
      <c r="E35" s="4248">
        <f>Table3.D!F11</f>
        <v>6.7007578060176849</v>
      </c>
      <c r="F35" s="615"/>
      <c r="G35" s="615"/>
      <c r="H35" s="615"/>
      <c r="I35" s="2940"/>
      <c r="J35" s="2972">
        <f t="shared" si="2"/>
        <v>1775.7008185946866</v>
      </c>
    </row>
    <row r="36" spans="2:10" ht="18" customHeight="1" x14ac:dyDescent="0.2">
      <c r="B36" s="232" t="s">
        <v>946</v>
      </c>
      <c r="C36" s="2970"/>
      <c r="D36" s="615"/>
      <c r="E36" s="4248">
        <f>Table3.D!F12</f>
        <v>1.3153069062948206</v>
      </c>
      <c r="F36" s="615"/>
      <c r="G36" s="615"/>
      <c r="H36" s="615"/>
      <c r="I36" s="2940"/>
      <c r="J36" s="2972">
        <f t="shared" si="2"/>
        <v>348.55633016812749</v>
      </c>
    </row>
    <row r="37" spans="2:10" ht="18" customHeight="1" x14ac:dyDescent="0.2">
      <c r="B37" s="232" t="s">
        <v>947</v>
      </c>
      <c r="C37" s="2970"/>
      <c r="D37" s="615"/>
      <c r="E37" s="4248">
        <f>Table3.D!F16</f>
        <v>11.26987604180221</v>
      </c>
      <c r="F37" s="615"/>
      <c r="G37" s="615"/>
      <c r="H37" s="615"/>
      <c r="I37" s="2940"/>
      <c r="J37" s="2972">
        <f t="shared" si="2"/>
        <v>2986.5171510775854</v>
      </c>
    </row>
    <row r="38" spans="2:10" ht="18" customHeight="1" x14ac:dyDescent="0.2">
      <c r="B38" s="232" t="s">
        <v>948</v>
      </c>
      <c r="C38" s="2970"/>
      <c r="D38" s="615"/>
      <c r="E38" s="4248">
        <f>Table3.D!F17</f>
        <v>4.4178094085624746</v>
      </c>
      <c r="F38" s="615"/>
      <c r="G38" s="615"/>
      <c r="H38" s="615"/>
      <c r="I38" s="2940"/>
      <c r="J38" s="2972">
        <f t="shared" si="2"/>
        <v>1170.7194932690559</v>
      </c>
    </row>
    <row r="39" spans="2:10" ht="26.25" customHeight="1" x14ac:dyDescent="0.2">
      <c r="B39" s="1708" t="s">
        <v>949</v>
      </c>
      <c r="C39" s="2970"/>
      <c r="D39" s="2951"/>
      <c r="E39" s="4248">
        <f>Table3.D!F18</f>
        <v>1.0082335164065563</v>
      </c>
      <c r="F39" s="2951"/>
      <c r="G39" s="2951"/>
      <c r="H39" s="2951"/>
      <c r="I39" s="2940"/>
      <c r="J39" s="2972">
        <f t="shared" si="2"/>
        <v>267.18188184773743</v>
      </c>
    </row>
    <row r="40" spans="2:10" ht="18" customHeight="1" x14ac:dyDescent="0.2">
      <c r="B40" s="232" t="s">
        <v>950</v>
      </c>
      <c r="C40" s="2970"/>
      <c r="D40" s="2951"/>
      <c r="E40" s="4248">
        <f>Table3.D!F19</f>
        <v>8.7999999999999995E-2</v>
      </c>
      <c r="F40" s="2951"/>
      <c r="G40" s="2951"/>
      <c r="H40" s="2951"/>
      <c r="I40" s="2940"/>
      <c r="J40" s="2972">
        <f t="shared" si="2"/>
        <v>23.32</v>
      </c>
    </row>
    <row r="41" spans="2:10" ht="18" customHeight="1" x14ac:dyDescent="0.2">
      <c r="B41" s="232" t="s">
        <v>951</v>
      </c>
      <c r="C41" s="2970"/>
      <c r="D41" s="2951"/>
      <c r="E41" s="4248" t="str">
        <f>Table3.D!F20</f>
        <v>NO</v>
      </c>
      <c r="F41" s="2951"/>
      <c r="G41" s="2951"/>
      <c r="H41" s="2951"/>
      <c r="I41" s="2940"/>
      <c r="J41" s="2972" t="str">
        <f t="shared" si="2"/>
        <v>NO</v>
      </c>
    </row>
    <row r="42" spans="2:10" ht="18" customHeight="1" thickBot="1" x14ac:dyDescent="0.25">
      <c r="B42" s="2659" t="s">
        <v>952</v>
      </c>
      <c r="C42" s="2973"/>
      <c r="D42" s="2957"/>
      <c r="E42" s="2975">
        <f>Table3.D!F21</f>
        <v>9.7427418090540563</v>
      </c>
      <c r="F42" s="2957"/>
      <c r="G42" s="2957"/>
      <c r="H42" s="2957"/>
      <c r="I42" s="2976"/>
      <c r="J42" s="2977">
        <f t="shared" si="2"/>
        <v>2581.8265793993251</v>
      </c>
    </row>
    <row r="43" spans="2:10" ht="18" customHeight="1" thickBot="1" x14ac:dyDescent="0.25">
      <c r="B43" s="236" t="s">
        <v>953</v>
      </c>
      <c r="C43" s="2978"/>
      <c r="D43" s="2979" t="s">
        <v>274</v>
      </c>
      <c r="E43" s="2979" t="s">
        <v>274</v>
      </c>
      <c r="F43" s="2980" t="s">
        <v>274</v>
      </c>
      <c r="G43" s="2980" t="s">
        <v>274</v>
      </c>
      <c r="H43" s="2981" t="s">
        <v>274</v>
      </c>
      <c r="I43" s="2982" t="s">
        <v>274</v>
      </c>
      <c r="J43" s="2983" t="s">
        <v>274</v>
      </c>
    </row>
    <row r="44" spans="2:10" ht="18" customHeight="1" thickBot="1" x14ac:dyDescent="0.25">
      <c r="B44" s="2658" t="s">
        <v>954</v>
      </c>
      <c r="C44" s="2960"/>
      <c r="D44" s="2984">
        <f>SUM(Table3.F!I10,Table3.F!I20,Table3.F!I23,Table3.F!I26:I27)</f>
        <v>5.1213039446720545</v>
      </c>
      <c r="E44" s="2984">
        <f>SUM(Table3.F!J10,Table3.F!J20,Table3.F!J23,Table3.F!J26:J27)</f>
        <v>0.19961392944126019</v>
      </c>
      <c r="F44" s="2919">
        <v>11.532718650733093</v>
      </c>
      <c r="G44" s="2919">
        <v>199.73085384221017</v>
      </c>
      <c r="H44" s="2920">
        <v>11.650966474128925</v>
      </c>
      <c r="I44" s="2985" t="s">
        <v>199</v>
      </c>
      <c r="J44" s="2986">
        <f t="shared" si="2"/>
        <v>196.29420175275146</v>
      </c>
    </row>
    <row r="45" spans="2:10" ht="18" customHeight="1" thickBot="1" x14ac:dyDescent="0.25">
      <c r="B45" s="2660" t="s">
        <v>955</v>
      </c>
      <c r="C45" s="2987">
        <f>'Table3.G-J'!E10</f>
        <v>1069.5072182802071</v>
      </c>
      <c r="D45" s="2988"/>
      <c r="E45" s="2988"/>
      <c r="F45" s="2988"/>
      <c r="G45" s="2988"/>
      <c r="H45" s="2989"/>
      <c r="I45" s="2990"/>
      <c r="J45" s="2986">
        <f t="shared" si="2"/>
        <v>1069.5072182802071</v>
      </c>
    </row>
    <row r="46" spans="2:10" ht="18" customHeight="1" thickBot="1" x14ac:dyDescent="0.25">
      <c r="B46" s="2660" t="s">
        <v>956</v>
      </c>
      <c r="C46" s="2987">
        <f>'Table3.G-J'!E13</f>
        <v>746.28003635533344</v>
      </c>
      <c r="D46" s="2988"/>
      <c r="E46" s="2988"/>
      <c r="F46" s="2988"/>
      <c r="G46" s="2988"/>
      <c r="H46" s="2989"/>
      <c r="I46" s="2990"/>
      <c r="J46" s="2986">
        <f t="shared" si="2"/>
        <v>746.28003635533344</v>
      </c>
    </row>
    <row r="47" spans="2:10" ht="18" customHeight="1" thickBot="1" x14ac:dyDescent="0.25">
      <c r="B47" s="2660" t="s">
        <v>957</v>
      </c>
      <c r="C47" s="2987" t="str">
        <f>'Table3.G-J'!E14</f>
        <v>NE</v>
      </c>
      <c r="D47" s="2988"/>
      <c r="E47" s="2988"/>
      <c r="F47" s="2988"/>
      <c r="G47" s="2988"/>
      <c r="H47" s="2989"/>
      <c r="I47" s="2990"/>
      <c r="J47" s="2986" t="s">
        <v>221</v>
      </c>
    </row>
    <row r="48" spans="2:10" ht="18" customHeight="1" x14ac:dyDescent="0.2">
      <c r="B48" s="2513" t="s">
        <v>958</v>
      </c>
      <c r="C48" s="2991" t="str">
        <f>'Table3.G-J'!E15</f>
        <v>NO</v>
      </c>
      <c r="D48" s="2967" t="str">
        <f>D49</f>
        <v>NO</v>
      </c>
      <c r="E48" s="2967" t="str">
        <f t="shared" ref="E48:I48" si="3">E49</f>
        <v>NO</v>
      </c>
      <c r="F48" s="2967" t="str">
        <f t="shared" si="3"/>
        <v>NO</v>
      </c>
      <c r="G48" s="2967" t="str">
        <f t="shared" si="3"/>
        <v>NO</v>
      </c>
      <c r="H48" s="2967" t="str">
        <f t="shared" si="3"/>
        <v>NO</v>
      </c>
      <c r="I48" s="2967" t="str">
        <f t="shared" si="3"/>
        <v>NO</v>
      </c>
      <c r="J48" s="2992" t="str">
        <f t="shared" si="2"/>
        <v>NO</v>
      </c>
    </row>
    <row r="49" spans="2:10" ht="18" customHeight="1" thickBot="1" x14ac:dyDescent="0.25">
      <c r="B49" s="1296" t="s">
        <v>205</v>
      </c>
      <c r="C49" s="2993"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A43" sqref="A43:XFD43"/>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2460</v>
      </c>
      <c r="O1" s="226"/>
    </row>
    <row r="2" spans="2:16" ht="15.75" customHeight="1" x14ac:dyDescent="0.2">
      <c r="B2" s="3" t="s">
        <v>960</v>
      </c>
      <c r="G2" s="14" t="s">
        <v>2461</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9"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6"/>
      <c r="O9" s="272"/>
    </row>
    <row r="10" spans="2:16" ht="18" customHeight="1" thickTop="1" x14ac:dyDescent="0.2">
      <c r="B10" s="273" t="s">
        <v>976</v>
      </c>
      <c r="C10" s="3233">
        <f>C15</f>
        <v>28036.887999999999</v>
      </c>
      <c r="D10" s="3208"/>
      <c r="E10" s="3208"/>
      <c r="F10" s="3109">
        <f>IF(SUM(C10)=0,"NA",G10*1000/C10)</f>
        <v>56.108408024548964</v>
      </c>
      <c r="G10" s="3209">
        <f>G15</f>
        <v>1573.1051516425805</v>
      </c>
      <c r="I10" s="275" t="s">
        <v>977</v>
      </c>
      <c r="J10" s="276" t="s">
        <v>978</v>
      </c>
      <c r="K10" s="699">
        <v>465.42371045451915</v>
      </c>
      <c r="L10" s="699">
        <v>362.87243131985679</v>
      </c>
      <c r="M10" s="3125">
        <v>530.79689268128595</v>
      </c>
      <c r="N10" s="3125">
        <v>45.075955774761766</v>
      </c>
      <c r="O10" s="2921">
        <v>58.125088453713389</v>
      </c>
    </row>
    <row r="11" spans="2:16" ht="18" customHeight="1" x14ac:dyDescent="0.2">
      <c r="B11" s="280" t="s">
        <v>925</v>
      </c>
      <c r="C11" s="274"/>
      <c r="D11" s="3210"/>
      <c r="E11" s="3210"/>
      <c r="F11" s="2939"/>
      <c r="G11" s="3211"/>
      <c r="I11" s="275" t="s">
        <v>979</v>
      </c>
      <c r="J11" s="281"/>
      <c r="K11" s="3405" t="s">
        <v>980</v>
      </c>
      <c r="L11" s="3405" t="s">
        <v>980</v>
      </c>
      <c r="M11" s="3406" t="s">
        <v>981</v>
      </c>
      <c r="N11" s="3406" t="s">
        <v>980</v>
      </c>
      <c r="O11" s="3407" t="s">
        <v>981</v>
      </c>
    </row>
    <row r="12" spans="2:16" ht="18" customHeight="1" x14ac:dyDescent="0.2">
      <c r="B12" s="282" t="s">
        <v>926</v>
      </c>
      <c r="C12" s="3234"/>
      <c r="D12" s="2917"/>
      <c r="E12" s="2917"/>
      <c r="F12" s="3109"/>
      <c r="G12" s="3206"/>
      <c r="I12" s="275" t="s">
        <v>982</v>
      </c>
      <c r="J12" s="276" t="s">
        <v>983</v>
      </c>
      <c r="K12" s="699">
        <v>14.655608582248863</v>
      </c>
      <c r="L12" s="699" t="s">
        <v>205</v>
      </c>
      <c r="M12" s="3125" t="s">
        <v>205</v>
      </c>
      <c r="N12" s="3125" t="s">
        <v>205</v>
      </c>
      <c r="O12" s="2921" t="s">
        <v>205</v>
      </c>
    </row>
    <row r="13" spans="2:16" ht="18" customHeight="1" x14ac:dyDescent="0.2">
      <c r="B13" s="282" t="s">
        <v>927</v>
      </c>
      <c r="C13" s="3234"/>
      <c r="D13" s="2917"/>
      <c r="E13" s="2917"/>
      <c r="F13" s="3109"/>
      <c r="G13" s="3206"/>
      <c r="I13" s="275" t="s">
        <v>984</v>
      </c>
      <c r="J13" s="276" t="s">
        <v>985</v>
      </c>
      <c r="K13" s="699" t="s">
        <v>199</v>
      </c>
      <c r="L13" s="699" t="s">
        <v>199</v>
      </c>
      <c r="M13" s="3125" t="s">
        <v>199</v>
      </c>
      <c r="N13" s="3125" t="s">
        <v>199</v>
      </c>
      <c r="O13" s="2921" t="s">
        <v>199</v>
      </c>
    </row>
    <row r="14" spans="2:16" ht="18" customHeight="1" x14ac:dyDescent="0.2">
      <c r="B14" s="280" t="s">
        <v>986</v>
      </c>
      <c r="C14" s="3235"/>
      <c r="D14" s="3212"/>
      <c r="E14" s="3212"/>
      <c r="F14" s="3213"/>
      <c r="G14" s="3214"/>
      <c r="I14" s="275" t="s">
        <v>987</v>
      </c>
      <c r="J14" s="276" t="s">
        <v>428</v>
      </c>
      <c r="K14" s="699" t="s">
        <v>205</v>
      </c>
      <c r="L14" s="699" t="s">
        <v>205</v>
      </c>
      <c r="M14" s="3125" t="s">
        <v>205</v>
      </c>
      <c r="N14" s="3125" t="s">
        <v>205</v>
      </c>
      <c r="O14" s="2921" t="s">
        <v>205</v>
      </c>
    </row>
    <row r="15" spans="2:16" ht="18" customHeight="1" thickBot="1" x14ac:dyDescent="0.25">
      <c r="B15" s="285" t="s">
        <v>988</v>
      </c>
      <c r="C15" s="2654">
        <f>SUM(C21:C23)</f>
        <v>28036.887999999999</v>
      </c>
      <c r="D15" s="3215"/>
      <c r="E15" s="3215"/>
      <c r="F15" s="3109">
        <f>IF(SUM(C15)=0,"NA",G15*1000/C15)</f>
        <v>56.108408024548964</v>
      </c>
      <c r="G15" s="3216">
        <f>G20</f>
        <v>1573.1051516425805</v>
      </c>
      <c r="I15" s="1780" t="s">
        <v>989</v>
      </c>
      <c r="J15" s="1853" t="s">
        <v>428</v>
      </c>
      <c r="K15" s="3408">
        <v>75</v>
      </c>
      <c r="L15" s="3408">
        <v>58.018438500307113</v>
      </c>
      <c r="M15" s="1563">
        <v>80.266087290517945</v>
      </c>
      <c r="N15" s="1563">
        <v>66.585720602669539</v>
      </c>
      <c r="O15" s="1564" t="s">
        <v>205</v>
      </c>
    </row>
    <row r="16" spans="2:16" ht="18" customHeight="1" x14ac:dyDescent="0.2">
      <c r="B16" s="1740" t="s">
        <v>271</v>
      </c>
      <c r="C16" s="3236"/>
      <c r="D16" s="3217"/>
      <c r="E16" s="3217"/>
      <c r="F16" s="3217"/>
      <c r="G16" s="3218"/>
      <c r="I16" s="992"/>
      <c r="J16" s="992"/>
      <c r="K16" s="992"/>
      <c r="L16" s="992"/>
      <c r="M16" s="992"/>
      <c r="N16" s="992"/>
      <c r="O16" s="992"/>
      <c r="P16" s="254"/>
    </row>
    <row r="17" spans="2:15" ht="18" customHeight="1" x14ac:dyDescent="0.2">
      <c r="B17" s="1737" t="s">
        <v>990</v>
      </c>
      <c r="C17" s="3237" t="s">
        <v>205</v>
      </c>
      <c r="D17" s="3219" t="s">
        <v>205</v>
      </c>
      <c r="E17" s="3219" t="s">
        <v>205</v>
      </c>
      <c r="F17" s="3220" t="s">
        <v>205</v>
      </c>
      <c r="G17" s="3221" t="s">
        <v>205</v>
      </c>
      <c r="I17" s="72"/>
      <c r="J17" s="72"/>
      <c r="K17" s="72"/>
      <c r="L17" s="72"/>
      <c r="M17" s="72"/>
      <c r="N17" s="72"/>
      <c r="O17" s="72"/>
    </row>
    <row r="18" spans="2:15" ht="18" customHeight="1" x14ac:dyDescent="0.2">
      <c r="B18" s="1737" t="s">
        <v>991</v>
      </c>
      <c r="C18" s="3238" t="s">
        <v>205</v>
      </c>
      <c r="D18" s="3222" t="s">
        <v>205</v>
      </c>
      <c r="E18" s="3222" t="s">
        <v>205</v>
      </c>
      <c r="F18" s="3220" t="s">
        <v>205</v>
      </c>
      <c r="G18" s="3223" t="s">
        <v>205</v>
      </c>
      <c r="I18" s="72"/>
      <c r="J18" s="72"/>
      <c r="K18" s="72"/>
      <c r="L18" s="72"/>
      <c r="M18" s="72"/>
      <c r="N18" s="72"/>
      <c r="O18" s="72"/>
    </row>
    <row r="19" spans="2:15" ht="18" customHeight="1" x14ac:dyDescent="0.2">
      <c r="B19" s="1737" t="s">
        <v>992</v>
      </c>
      <c r="C19" s="3237" t="s">
        <v>205</v>
      </c>
      <c r="D19" s="3219" t="s">
        <v>205</v>
      </c>
      <c r="E19" s="3219" t="s">
        <v>205</v>
      </c>
      <c r="F19" s="3220" t="s">
        <v>205</v>
      </c>
      <c r="G19" s="3221" t="s">
        <v>205</v>
      </c>
      <c r="I19" s="72"/>
      <c r="J19" s="72"/>
      <c r="K19" s="72"/>
      <c r="L19" s="72"/>
      <c r="M19" s="72"/>
      <c r="N19" s="72"/>
      <c r="O19" s="72"/>
    </row>
    <row r="20" spans="2:15" ht="18" customHeight="1" x14ac:dyDescent="0.2">
      <c r="B20" s="1737" t="s">
        <v>993</v>
      </c>
      <c r="C20" s="3109"/>
      <c r="D20" s="3215"/>
      <c r="E20" s="3215"/>
      <c r="F20" s="3109"/>
      <c r="G20" s="3216">
        <f>SUM(G21:G23)</f>
        <v>1573.1051516425805</v>
      </c>
      <c r="I20" s="72"/>
      <c r="J20" s="287"/>
      <c r="K20" s="287"/>
      <c r="L20" s="287"/>
      <c r="M20" s="287"/>
      <c r="N20" s="287"/>
      <c r="O20" s="287"/>
    </row>
    <row r="21" spans="2:15" ht="18" customHeight="1" x14ac:dyDescent="0.2">
      <c r="B21" s="2652" t="s">
        <v>994</v>
      </c>
      <c r="C21" s="3239">
        <v>2663.67</v>
      </c>
      <c r="D21" s="3224">
        <v>235.4659541971341</v>
      </c>
      <c r="E21" s="3224">
        <v>6.1533167898600087</v>
      </c>
      <c r="F21" s="3109">
        <f t="shared" ref="F21:F30" si="0">IF(SUM(C21)=0,"NA",G21*1000/C21)</f>
        <v>95.770948952102842</v>
      </c>
      <c r="G21" s="3206">
        <v>255.1022035952478</v>
      </c>
      <c r="I21" s="72"/>
      <c r="J21" s="287"/>
      <c r="K21" s="287"/>
      <c r="L21" s="287"/>
      <c r="M21" s="287"/>
      <c r="N21" s="287"/>
      <c r="O21" s="287"/>
    </row>
    <row r="22" spans="2:15" ht="18" customHeight="1" x14ac:dyDescent="0.2">
      <c r="B22" s="2652" t="s">
        <v>965</v>
      </c>
      <c r="C22" s="3239">
        <v>24487.758000000002</v>
      </c>
      <c r="D22" s="3224">
        <v>125.10218377412657</v>
      </c>
      <c r="E22" s="3224">
        <v>6.21225</v>
      </c>
      <c r="F22" s="3109">
        <f t="shared" si="0"/>
        <v>51.370084783553928</v>
      </c>
      <c r="G22" s="3206">
        <v>1257.9382046191511</v>
      </c>
      <c r="I22" s="72"/>
      <c r="J22" s="287"/>
      <c r="K22" s="287"/>
      <c r="L22" s="287"/>
      <c r="M22" s="287"/>
      <c r="N22" s="287"/>
      <c r="O22" s="287"/>
    </row>
    <row r="23" spans="2:15" ht="18" customHeight="1" x14ac:dyDescent="0.2">
      <c r="B23" s="2652" t="s">
        <v>966</v>
      </c>
      <c r="C23" s="3239">
        <v>885.46</v>
      </c>
      <c r="D23" s="3224">
        <v>203.07924330760514</v>
      </c>
      <c r="E23" s="3224">
        <v>5.0534583736008329</v>
      </c>
      <c r="F23" s="3109">
        <f t="shared" si="0"/>
        <v>67.834507971203266</v>
      </c>
      <c r="G23" s="3206">
        <v>60.064743428181643</v>
      </c>
      <c r="I23" s="72"/>
      <c r="J23" s="287"/>
      <c r="K23" s="287"/>
      <c r="L23" s="287"/>
      <c r="M23" s="287"/>
      <c r="N23" s="287"/>
      <c r="O23" s="287"/>
    </row>
    <row r="24" spans="2:15" ht="18" customHeight="1" x14ac:dyDescent="0.2">
      <c r="B24" s="286" t="s">
        <v>995</v>
      </c>
      <c r="C24" s="2654">
        <f>C25</f>
        <v>85711.178</v>
      </c>
      <c r="D24" s="3225"/>
      <c r="E24" s="3225"/>
      <c r="F24" s="3109">
        <f t="shared" si="0"/>
        <v>6.809350972528267</v>
      </c>
      <c r="G24" s="3106">
        <f>G25</f>
        <v>583.63749327084338</v>
      </c>
      <c r="I24" s="72"/>
    </row>
    <row r="25" spans="2:15" ht="18" customHeight="1" x14ac:dyDescent="0.2">
      <c r="B25" s="282" t="s">
        <v>996</v>
      </c>
      <c r="C25" s="2654">
        <f>C26</f>
        <v>85711.178</v>
      </c>
      <c r="D25" s="3225"/>
      <c r="E25" s="3225"/>
      <c r="F25" s="3109">
        <f t="shared" si="0"/>
        <v>6.809350972528267</v>
      </c>
      <c r="G25" s="3106">
        <f>G26</f>
        <v>583.63749327084338</v>
      </c>
    </row>
    <row r="26" spans="2:15" ht="18" customHeight="1" x14ac:dyDescent="0.2">
      <c r="B26" s="2653" t="s">
        <v>967</v>
      </c>
      <c r="C26" s="288">
        <v>85711.178</v>
      </c>
      <c r="D26" s="3226">
        <v>16.712442089300392</v>
      </c>
      <c r="E26" s="3226">
        <v>6.164095249832048</v>
      </c>
      <c r="F26" s="3109">
        <f t="shared" si="0"/>
        <v>6.809350972528267</v>
      </c>
      <c r="G26" s="3207">
        <v>583.63749327084338</v>
      </c>
    </row>
    <row r="27" spans="2:15" ht="18" customHeight="1" x14ac:dyDescent="0.2">
      <c r="B27" s="286" t="s">
        <v>997</v>
      </c>
      <c r="C27" s="2654">
        <f>C28</f>
        <v>2604.681</v>
      </c>
      <c r="D27" s="3225"/>
      <c r="E27" s="3225"/>
      <c r="F27" s="3109">
        <f t="shared" si="0"/>
        <v>1.5253437123721252</v>
      </c>
      <c r="G27" s="3106">
        <f>G28</f>
        <v>3.9730337860851397</v>
      </c>
    </row>
    <row r="28" spans="2:15" ht="18" customHeight="1" x14ac:dyDescent="0.2">
      <c r="B28" s="282" t="s">
        <v>998</v>
      </c>
      <c r="C28" s="2654">
        <f>C29</f>
        <v>2604.681</v>
      </c>
      <c r="D28" s="3225"/>
      <c r="E28" s="3225"/>
      <c r="F28" s="3109">
        <f t="shared" si="0"/>
        <v>1.5253437123721252</v>
      </c>
      <c r="G28" s="3106">
        <f>G29</f>
        <v>3.9730337860851397</v>
      </c>
    </row>
    <row r="29" spans="2:15" ht="18" customHeight="1" x14ac:dyDescent="0.2">
      <c r="B29" s="2653" t="s">
        <v>968</v>
      </c>
      <c r="C29" s="288">
        <v>2604.681</v>
      </c>
      <c r="D29" s="3226">
        <v>32.966522094599753</v>
      </c>
      <c r="E29" s="3226">
        <v>0.70000000000000007</v>
      </c>
      <c r="F29" s="3109">
        <f t="shared" si="0"/>
        <v>1.5253437123721252</v>
      </c>
      <c r="G29" s="3207">
        <v>3.9730337860851397</v>
      </c>
    </row>
    <row r="30" spans="2:15" ht="18" customHeight="1" x14ac:dyDescent="0.2">
      <c r="B30" s="286" t="s">
        <v>999</v>
      </c>
      <c r="C30" s="2654">
        <f>SUM(C32:C39)</f>
        <v>72720.565000000002</v>
      </c>
      <c r="D30" s="3225"/>
      <c r="E30" s="3225"/>
      <c r="F30" s="3109">
        <f t="shared" si="0"/>
        <v>0.13987430810868839</v>
      </c>
      <c r="G30" s="3106">
        <f>SUM(G32:G39)</f>
        <v>10.171738714647901</v>
      </c>
    </row>
    <row r="31" spans="2:15" ht="18" customHeight="1" x14ac:dyDescent="0.2">
      <c r="B31" s="1304" t="s">
        <v>498</v>
      </c>
      <c r="C31" s="3240"/>
      <c r="D31" s="3228"/>
      <c r="E31" s="3228"/>
      <c r="F31" s="3228"/>
      <c r="G31" s="3229"/>
    </row>
    <row r="32" spans="2:15" ht="18" customHeight="1" x14ac:dyDescent="0.2">
      <c r="B32" s="285" t="s">
        <v>1000</v>
      </c>
      <c r="C32" s="3234">
        <v>2.6549999999999998</v>
      </c>
      <c r="D32" s="3230" t="s">
        <v>205</v>
      </c>
      <c r="E32" s="3230" t="s">
        <v>205</v>
      </c>
      <c r="F32" s="3109">
        <f t="shared" ref="F32:F41" si="1">IF(SUM(C32)=0,"NA",G32*1000/C32)</f>
        <v>75.996851224105455</v>
      </c>
      <c r="G32" s="3206">
        <v>0.20177163999999997</v>
      </c>
    </row>
    <row r="33" spans="2:7" ht="18" customHeight="1" x14ac:dyDescent="0.2">
      <c r="B33" s="285" t="s">
        <v>1001</v>
      </c>
      <c r="C33" s="3234">
        <v>2.0339999999999998</v>
      </c>
      <c r="D33" s="3230" t="s">
        <v>205</v>
      </c>
      <c r="E33" s="3230" t="s">
        <v>205</v>
      </c>
      <c r="F33" s="3109">
        <f t="shared" si="1"/>
        <v>46.000938710292907</v>
      </c>
      <c r="G33" s="3206">
        <v>9.3565909336735753E-2</v>
      </c>
    </row>
    <row r="34" spans="2:7" ht="18" customHeight="1" x14ac:dyDescent="0.2">
      <c r="B34" s="285" t="s">
        <v>1002</v>
      </c>
      <c r="C34" s="3234">
        <v>79.695999999999998</v>
      </c>
      <c r="D34" s="3230" t="s">
        <v>205</v>
      </c>
      <c r="E34" s="3230" t="s">
        <v>205</v>
      </c>
      <c r="F34" s="3109">
        <f t="shared" si="1"/>
        <v>19.999954828347718</v>
      </c>
      <c r="G34" s="3206">
        <v>1.5939163999999999</v>
      </c>
    </row>
    <row r="35" spans="2:7" ht="18" customHeight="1" x14ac:dyDescent="0.2">
      <c r="B35" s="285" t="s">
        <v>1003</v>
      </c>
      <c r="C35" s="3234">
        <v>518.024</v>
      </c>
      <c r="D35" s="3230" t="s">
        <v>205</v>
      </c>
      <c r="E35" s="3230" t="s">
        <v>205</v>
      </c>
      <c r="F35" s="3109">
        <f t="shared" si="1"/>
        <v>5.0000019304124903</v>
      </c>
      <c r="G35" s="3206">
        <v>2.5901209999999999</v>
      </c>
    </row>
    <row r="36" spans="2:7" ht="18" customHeight="1" x14ac:dyDescent="0.2">
      <c r="B36" s="285" t="s">
        <v>1004</v>
      </c>
      <c r="C36" s="3234">
        <v>263.29300000000001</v>
      </c>
      <c r="D36" s="3230" t="s">
        <v>205</v>
      </c>
      <c r="E36" s="3230" t="s">
        <v>205</v>
      </c>
      <c r="F36" s="3109">
        <f t="shared" si="1"/>
        <v>18.00003372668472</v>
      </c>
      <c r="G36" s="3206">
        <v>4.7392828799999993</v>
      </c>
    </row>
    <row r="37" spans="2:7" ht="18" customHeight="1" x14ac:dyDescent="0.2">
      <c r="B37" s="285" t="s">
        <v>1005</v>
      </c>
      <c r="C37" s="3234">
        <v>0.36599999999999999</v>
      </c>
      <c r="D37" s="3230" t="s">
        <v>205</v>
      </c>
      <c r="E37" s="3230" t="s">
        <v>205</v>
      </c>
      <c r="F37" s="3109">
        <f t="shared" si="1"/>
        <v>9.9976094038510848</v>
      </c>
      <c r="G37" s="3206">
        <v>3.6591250418094969E-3</v>
      </c>
    </row>
    <row r="38" spans="2:7" ht="18" customHeight="1" x14ac:dyDescent="0.2">
      <c r="B38" s="285" t="s">
        <v>1006</v>
      </c>
      <c r="C38" s="3241">
        <v>71723.482000000004</v>
      </c>
      <c r="D38" s="3230" t="s">
        <v>205</v>
      </c>
      <c r="E38" s="3230" t="s">
        <v>205</v>
      </c>
      <c r="F38" s="3109" t="s">
        <v>205</v>
      </c>
      <c r="G38" s="3231" t="s">
        <v>221</v>
      </c>
    </row>
    <row r="39" spans="2:7" ht="18" customHeight="1" x14ac:dyDescent="0.2">
      <c r="B39" s="285" t="s">
        <v>1007</v>
      </c>
      <c r="C39" s="2654">
        <f>SUM(C41:C45)</f>
        <v>131.01499999999999</v>
      </c>
      <c r="D39" s="3225"/>
      <c r="E39" s="3225"/>
      <c r="F39" s="3109">
        <f t="shared" si="1"/>
        <v>7.2466645824474849</v>
      </c>
      <c r="G39" s="3106">
        <f>SUM(G41:G45)</f>
        <v>0.9494217602693571</v>
      </c>
    </row>
    <row r="40" spans="2:7" ht="18" customHeight="1" x14ac:dyDescent="0.2">
      <c r="B40" s="4229" t="s">
        <v>271</v>
      </c>
      <c r="C40" s="2677"/>
      <c r="D40" s="2680"/>
      <c r="E40" s="2680"/>
      <c r="F40" s="2680"/>
      <c r="G40" s="4230"/>
    </row>
    <row r="41" spans="2:7" ht="18" customHeight="1" x14ac:dyDescent="0.2">
      <c r="B41" s="289" t="s">
        <v>1008</v>
      </c>
      <c r="C41" s="3234" t="s">
        <v>199</v>
      </c>
      <c r="D41" s="2917" t="s">
        <v>205</v>
      </c>
      <c r="E41" s="2917" t="s">
        <v>205</v>
      </c>
      <c r="F41" s="3109" t="str">
        <f t="shared" si="1"/>
        <v>NA</v>
      </c>
      <c r="G41" s="3206" t="s">
        <v>199</v>
      </c>
    </row>
    <row r="42" spans="2:7" ht="18" customHeight="1" x14ac:dyDescent="0.2">
      <c r="B42" s="289" t="s">
        <v>1009</v>
      </c>
      <c r="C42" s="3234" t="s">
        <v>199</v>
      </c>
      <c r="D42" s="2917" t="s">
        <v>205</v>
      </c>
      <c r="E42" s="2917" t="s">
        <v>205</v>
      </c>
      <c r="F42" s="3109" t="str">
        <f t="shared" ref="F42:F44" si="2">IF(SUM(C42)=0,"NA",G42*1000/C42)</f>
        <v>NA</v>
      </c>
      <c r="G42" s="3206" t="s">
        <v>199</v>
      </c>
    </row>
    <row r="43" spans="2:7" ht="18" customHeight="1" x14ac:dyDescent="0.2">
      <c r="B43" s="289" t="s">
        <v>1010</v>
      </c>
      <c r="C43" s="3242">
        <v>32.899000000000001</v>
      </c>
      <c r="D43" s="2974" t="s">
        <v>205</v>
      </c>
      <c r="E43" s="2974" t="s">
        <v>205</v>
      </c>
      <c r="F43" s="3109">
        <f t="shared" si="2"/>
        <v>5.0000190495359815</v>
      </c>
      <c r="G43" s="3170">
        <v>0.16449562671068427</v>
      </c>
    </row>
    <row r="44" spans="2:7" ht="18" customHeight="1" x14ac:dyDescent="0.2">
      <c r="B44" s="289" t="s">
        <v>1011</v>
      </c>
      <c r="C44" s="3234" t="s">
        <v>199</v>
      </c>
      <c r="D44" s="2917" t="s">
        <v>205</v>
      </c>
      <c r="E44" s="2917" t="s">
        <v>205</v>
      </c>
      <c r="F44" s="3109" t="str">
        <f t="shared" si="2"/>
        <v>NA</v>
      </c>
      <c r="G44" s="3206" t="s">
        <v>199</v>
      </c>
    </row>
    <row r="45" spans="2:7" ht="18" customHeight="1" x14ac:dyDescent="0.2">
      <c r="B45" s="2511" t="s">
        <v>1012</v>
      </c>
      <c r="C45" s="2654">
        <f>C46</f>
        <v>98.116</v>
      </c>
      <c r="D45" s="3225"/>
      <c r="E45" s="3225"/>
      <c r="F45" s="3109">
        <f>IF(SUM(C45)=0,"NA",G45*1000/C45)</f>
        <v>7.9999809771971213</v>
      </c>
      <c r="G45" s="3106">
        <f>G46</f>
        <v>0.7849261335586728</v>
      </c>
    </row>
    <row r="46" spans="2:7" ht="18" customHeight="1" thickBot="1" x14ac:dyDescent="0.25">
      <c r="B46" s="2655" t="s">
        <v>1013</v>
      </c>
      <c r="C46" s="3243">
        <v>98.116</v>
      </c>
      <c r="D46" s="3115" t="s">
        <v>205</v>
      </c>
      <c r="E46" s="3115" t="s">
        <v>205</v>
      </c>
      <c r="F46" s="3232">
        <f>IF(SUM(C46)=0,"NA",G46*1000/C46)</f>
        <v>7.9999809771971213</v>
      </c>
      <c r="G46" s="3172">
        <v>0.7849261335586728</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503" t="s">
        <v>1014</v>
      </c>
      <c r="C67" s="4504"/>
      <c r="D67" s="4504"/>
      <c r="E67" s="4504"/>
      <c r="F67" s="4504"/>
      <c r="G67" s="4505"/>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topLeftCell="C39"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2460</v>
      </c>
    </row>
    <row r="2" spans="1:28" ht="17.25" customHeight="1" x14ac:dyDescent="0.2">
      <c r="B2" s="3" t="s">
        <v>1016</v>
      </c>
      <c r="J2" s="2"/>
      <c r="K2" s="14" t="s">
        <v>2461</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5"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70">
        <f>C15</f>
        <v>28036.887999999999</v>
      </c>
      <c r="D10" s="2951"/>
      <c r="E10" s="2951"/>
      <c r="F10" s="2951"/>
      <c r="G10" s="2951"/>
      <c r="H10" s="2951"/>
      <c r="I10" s="3246"/>
      <c r="J10" s="3247">
        <f>IF(SUM(C10)=0,"NA",K10*1000/C10)</f>
        <v>5.5869358626002636</v>
      </c>
      <c r="K10" s="3248">
        <f>K15</f>
        <v>156.64029504290698</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71"/>
      <c r="D11" s="2951"/>
      <c r="E11" s="2951"/>
      <c r="F11" s="2951"/>
      <c r="G11" s="2951"/>
      <c r="H11" s="2951"/>
      <c r="I11" s="3246"/>
      <c r="J11" s="3249"/>
      <c r="K11" s="3250"/>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9"/>
      <c r="D12" s="3289"/>
      <c r="E12" s="3289"/>
      <c r="F12" s="3289"/>
      <c r="G12" s="3251"/>
      <c r="H12" s="3252"/>
      <c r="I12" s="3253"/>
      <c r="J12" s="3254"/>
      <c r="K12" s="3244"/>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9"/>
      <c r="D13" s="3289"/>
      <c r="E13" s="3289"/>
      <c r="F13" s="3289"/>
      <c r="G13" s="3251"/>
      <c r="H13" s="3252"/>
      <c r="I13" s="3253"/>
      <c r="J13" s="3254"/>
      <c r="K13" s="3244"/>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60"/>
      <c r="D14" s="3260"/>
      <c r="E14" s="3260"/>
      <c r="F14" s="3260"/>
      <c r="G14" s="3255"/>
      <c r="H14" s="3256"/>
      <c r="I14" s="3257"/>
      <c r="J14" s="3258"/>
      <c r="K14" s="3259"/>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72">
        <f>SUM(C17:C20)</f>
        <v>28036.887999999999</v>
      </c>
      <c r="D15" s="3260"/>
      <c r="E15" s="3260"/>
      <c r="F15" s="3260"/>
      <c r="G15" s="3260"/>
      <c r="H15" s="3260"/>
      <c r="I15" s="3255"/>
      <c r="J15" s="3254">
        <f>IF(SUM(C15)=0,"NA",K15*1000/C15)</f>
        <v>5.5869358626002636</v>
      </c>
      <c r="K15" s="3248">
        <f>SUM(K17:K20)</f>
        <v>156.64029504290698</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73"/>
      <c r="D16" s="3261"/>
      <c r="E16" s="3261"/>
      <c r="F16" s="3261"/>
      <c r="G16" s="3261"/>
      <c r="H16" s="3261"/>
      <c r="I16" s="3262"/>
      <c r="J16" s="3263"/>
      <c r="K16" s="3264"/>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90" t="s">
        <v>205</v>
      </c>
      <c r="D17" s="3290" t="s">
        <v>205</v>
      </c>
      <c r="E17" s="3290" t="s">
        <v>205</v>
      </c>
      <c r="F17" s="3290" t="s">
        <v>205</v>
      </c>
      <c r="G17" s="3265" t="s">
        <v>205</v>
      </c>
      <c r="H17" s="3266" t="s">
        <v>205</v>
      </c>
      <c r="I17" s="3267" t="s">
        <v>205</v>
      </c>
      <c r="J17" s="3268" t="str">
        <f>IF(SUM(C17)=0,"NA",K17*1000/C17)</f>
        <v>NA</v>
      </c>
      <c r="K17" s="3269"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90" t="s">
        <v>205</v>
      </c>
      <c r="D18" s="3290" t="s">
        <v>205</v>
      </c>
      <c r="E18" s="3290" t="s">
        <v>205</v>
      </c>
      <c r="F18" s="3290" t="s">
        <v>205</v>
      </c>
      <c r="G18" s="3265" t="s">
        <v>205</v>
      </c>
      <c r="H18" s="3266" t="s">
        <v>205</v>
      </c>
      <c r="I18" s="3267" t="s">
        <v>205</v>
      </c>
      <c r="J18" s="3268" t="str">
        <f>IF(SUM(C18)=0,"NA",K18*1000/C18)</f>
        <v>NA</v>
      </c>
      <c r="K18" s="3269"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90" t="s">
        <v>205</v>
      </c>
      <c r="D19" s="3290" t="s">
        <v>205</v>
      </c>
      <c r="E19" s="3290" t="s">
        <v>205</v>
      </c>
      <c r="F19" s="3290" t="s">
        <v>205</v>
      </c>
      <c r="G19" s="3265" t="s">
        <v>205</v>
      </c>
      <c r="H19" s="3266" t="s">
        <v>205</v>
      </c>
      <c r="I19" s="3267" t="s">
        <v>205</v>
      </c>
      <c r="J19" s="3268" t="str">
        <f>IF(SUM(C19)=0,"NA",K19*1000/C19)</f>
        <v>NA</v>
      </c>
      <c r="K19" s="3269"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72">
        <f>SUM(C21:C23)</f>
        <v>28036.887999999999</v>
      </c>
      <c r="D20" s="3260"/>
      <c r="E20" s="3260"/>
      <c r="F20" s="3260"/>
      <c r="G20" s="3260"/>
      <c r="H20" s="3260"/>
      <c r="I20" s="3255"/>
      <c r="J20" s="3268">
        <f>IF(SUM(C20)=0,"NA",K20*1000/C20)</f>
        <v>5.5869358626002636</v>
      </c>
      <c r="K20" s="3248">
        <f>SUM(K21:K23)</f>
        <v>156.64029504290698</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1" t="s">
        <v>994</v>
      </c>
      <c r="C21" s="3290">
        <f>Table3.A!C21</f>
        <v>2663.67</v>
      </c>
      <c r="D21" s="3290">
        <v>7.5559979775396382</v>
      </c>
      <c r="E21" s="3290">
        <v>92.433144993262658</v>
      </c>
      <c r="F21" s="3290">
        <v>1.0857029197697222E-2</v>
      </c>
      <c r="G21" s="3265">
        <f>Table3.A!K10</f>
        <v>465.42371045451915</v>
      </c>
      <c r="H21" s="3266">
        <v>3.3832999423538306</v>
      </c>
      <c r="I21" s="3267">
        <v>0.24</v>
      </c>
      <c r="J21" s="3268">
        <f>IF(SUM(C21)=0,"NA",K21*1000/C21)</f>
        <v>14.299590603054362</v>
      </c>
      <c r="K21" s="3244">
        <v>38.089390501637816</v>
      </c>
      <c r="M21" s="1659"/>
      <c r="N21" s="1664"/>
      <c r="O21" s="1699"/>
      <c r="P21" s="2664" t="s">
        <v>1041</v>
      </c>
      <c r="Q21" s="307"/>
      <c r="R21" s="308"/>
      <c r="S21" s="308"/>
      <c r="T21" s="309"/>
      <c r="U21" s="309"/>
      <c r="V21" s="309"/>
      <c r="W21" s="309"/>
      <c r="X21" s="309"/>
      <c r="Y21" s="309"/>
      <c r="Z21" s="309"/>
      <c r="AA21" s="309"/>
      <c r="AB21" s="446"/>
    </row>
    <row r="22" spans="2:28" s="84" customFormat="1" ht="18" customHeight="1" x14ac:dyDescent="0.2">
      <c r="B22" s="2661" t="s">
        <v>965</v>
      </c>
      <c r="C22" s="3290">
        <f>Table3.A!C22</f>
        <v>24487.758000000002</v>
      </c>
      <c r="D22" s="3290" t="s">
        <v>199</v>
      </c>
      <c r="E22" s="3290">
        <v>83.591600277041323</v>
      </c>
      <c r="F22" s="3290">
        <v>16.408399722958681</v>
      </c>
      <c r="G22" s="3265">
        <f>Table3.A!L10</f>
        <v>362.87243131985679</v>
      </c>
      <c r="H22" s="3266" t="s">
        <v>205</v>
      </c>
      <c r="I22" s="3267" t="s">
        <v>205</v>
      </c>
      <c r="J22" s="3268">
        <f t="shared" ref="J22:J46" si="0">IF(SUM(C22)=0,"NA",K22*1000/C22)</f>
        <v>4.7163402427111754</v>
      </c>
      <c r="K22" s="3244">
        <v>115.49259850917252</v>
      </c>
      <c r="M22" s="1597" t="s">
        <v>1049</v>
      </c>
      <c r="N22" s="4512" t="s">
        <v>994</v>
      </c>
      <c r="O22" s="1693" t="s">
        <v>1051</v>
      </c>
      <c r="P22" s="1694" t="s">
        <v>1039</v>
      </c>
      <c r="Q22" s="4444">
        <v>5.4770856146205054</v>
      </c>
      <c r="R22" s="4445" t="s">
        <v>199</v>
      </c>
      <c r="S22" s="4445">
        <v>4.5613583667502002</v>
      </c>
      <c r="T22" s="4445">
        <v>0.72567064925571367</v>
      </c>
      <c r="U22" s="4445" t="s">
        <v>199</v>
      </c>
      <c r="V22" s="4445" t="s">
        <v>274</v>
      </c>
      <c r="W22" s="4445" t="s">
        <v>199</v>
      </c>
      <c r="X22" s="4445">
        <v>89.235885369373563</v>
      </c>
      <c r="Y22" s="4446" t="s">
        <v>199</v>
      </c>
      <c r="Z22" s="4446" t="s">
        <v>199</v>
      </c>
      <c r="AA22" s="4446" t="s">
        <v>199</v>
      </c>
      <c r="AB22" s="4447" t="s">
        <v>199</v>
      </c>
    </row>
    <row r="23" spans="2:28" s="84" customFormat="1" ht="18" customHeight="1" x14ac:dyDescent="0.2">
      <c r="B23" s="2661" t="s">
        <v>966</v>
      </c>
      <c r="C23" s="3290">
        <f>Table3.A!C23</f>
        <v>885.46</v>
      </c>
      <c r="D23" s="3290" t="s">
        <v>199</v>
      </c>
      <c r="E23" s="3290">
        <v>100</v>
      </c>
      <c r="F23" s="3290" t="s">
        <v>199</v>
      </c>
      <c r="G23" s="3265">
        <f>Table3.A!M10</f>
        <v>530.79689268128595</v>
      </c>
      <c r="H23" s="3266">
        <v>1.7533022764862278</v>
      </c>
      <c r="I23" s="3267">
        <v>0.19</v>
      </c>
      <c r="J23" s="3268">
        <f t="shared" si="0"/>
        <v>3.4539177739216282</v>
      </c>
      <c r="K23" s="3244">
        <v>3.0583060320966453</v>
      </c>
      <c r="M23" s="1667" t="s">
        <v>1061</v>
      </c>
      <c r="N23" s="4513"/>
      <c r="O23" s="1695" t="s">
        <v>1042</v>
      </c>
      <c r="P23" s="1696" t="s">
        <v>1040</v>
      </c>
      <c r="Q23" s="4448">
        <v>8.2796218403457953</v>
      </c>
      <c r="R23" s="4165" t="s">
        <v>199</v>
      </c>
      <c r="S23" s="4165">
        <v>2.4195110269232152</v>
      </c>
      <c r="T23" s="4166">
        <v>1.7573959912669543</v>
      </c>
      <c r="U23" s="4166" t="s">
        <v>199</v>
      </c>
      <c r="V23" s="4166" t="s">
        <v>274</v>
      </c>
      <c r="W23" s="4166" t="s">
        <v>199</v>
      </c>
      <c r="X23" s="4166">
        <v>87.543471141464039</v>
      </c>
      <c r="Y23" s="4166" t="s">
        <v>199</v>
      </c>
      <c r="Z23" s="4166" t="s">
        <v>199</v>
      </c>
      <c r="AA23" s="4166" t="s">
        <v>199</v>
      </c>
      <c r="AB23" s="4140" t="s">
        <v>199</v>
      </c>
    </row>
    <row r="24" spans="2:28" s="84" customFormat="1" ht="18" customHeight="1" thickBot="1" x14ac:dyDescent="0.25">
      <c r="B24" s="1646" t="s">
        <v>1062</v>
      </c>
      <c r="C24" s="4172">
        <f>C25</f>
        <v>85711.178</v>
      </c>
      <c r="D24" s="3270"/>
      <c r="E24" s="3270"/>
      <c r="F24" s="3270"/>
      <c r="G24" s="3270"/>
      <c r="H24" s="3270"/>
      <c r="I24" s="3271"/>
      <c r="J24" s="3268">
        <f t="shared" si="0"/>
        <v>0.34721831884153359</v>
      </c>
      <c r="K24" s="3248">
        <f>K25</f>
        <v>29.760491131087441</v>
      </c>
      <c r="M24" s="1659"/>
      <c r="N24" s="4513"/>
      <c r="O24" s="1697"/>
      <c r="P24" s="1696" t="s">
        <v>1041</v>
      </c>
      <c r="Q24" s="4449">
        <v>7.1634743782955885</v>
      </c>
      <c r="R24" s="4450" t="s">
        <v>199</v>
      </c>
      <c r="S24" s="4450">
        <v>5.7735465138501763</v>
      </c>
      <c r="T24" s="4451">
        <v>2.9839710096835086</v>
      </c>
      <c r="U24" s="4451" t="s">
        <v>199</v>
      </c>
      <c r="V24" s="4451" t="s">
        <v>274</v>
      </c>
      <c r="W24" s="4451" t="s">
        <v>199</v>
      </c>
      <c r="X24" s="4451">
        <v>84.079008098170732</v>
      </c>
      <c r="Y24" s="4451" t="s">
        <v>199</v>
      </c>
      <c r="Z24" s="4451" t="s">
        <v>199</v>
      </c>
      <c r="AA24" s="4451" t="s">
        <v>199</v>
      </c>
      <c r="AB24" s="4452" t="s">
        <v>199</v>
      </c>
    </row>
    <row r="25" spans="2:28" s="84" customFormat="1" ht="18" customHeight="1" x14ac:dyDescent="0.2">
      <c r="B25" s="1647" t="s">
        <v>1063</v>
      </c>
      <c r="C25" s="4172">
        <f>C26</f>
        <v>85711.178</v>
      </c>
      <c r="D25" s="3217"/>
      <c r="E25" s="3217"/>
      <c r="F25" s="3217"/>
      <c r="G25" s="3217"/>
      <c r="H25" s="3217"/>
      <c r="I25" s="3227"/>
      <c r="J25" s="3268">
        <f t="shared" si="0"/>
        <v>0.34721831884153359</v>
      </c>
      <c r="K25" s="3248">
        <f>K26</f>
        <v>29.760491131087441</v>
      </c>
      <c r="M25" s="1659"/>
      <c r="N25" s="4513"/>
      <c r="O25" s="1698" t="s">
        <v>1054</v>
      </c>
      <c r="P25" s="1694" t="s">
        <v>1039</v>
      </c>
      <c r="Q25" s="4453">
        <v>0.7</v>
      </c>
      <c r="R25" s="4454" t="s">
        <v>199</v>
      </c>
      <c r="S25" s="4454">
        <v>4.66875E-2</v>
      </c>
      <c r="T25" s="4455">
        <v>0.02</v>
      </c>
      <c r="U25" s="4455" t="s">
        <v>199</v>
      </c>
      <c r="V25" s="4455" t="s">
        <v>274</v>
      </c>
      <c r="W25" s="4455" t="s">
        <v>199</v>
      </c>
      <c r="X25" s="4455">
        <v>0.01</v>
      </c>
      <c r="Y25" s="4455" t="s">
        <v>199</v>
      </c>
      <c r="Z25" s="4455" t="s">
        <v>199</v>
      </c>
      <c r="AA25" s="4455" t="s">
        <v>199</v>
      </c>
      <c r="AB25" s="4456" t="s">
        <v>199</v>
      </c>
    </row>
    <row r="26" spans="2:28" s="84" customFormat="1" ht="18" customHeight="1" x14ac:dyDescent="0.2">
      <c r="B26" s="2662" t="s">
        <v>967</v>
      </c>
      <c r="C26" s="3274">
        <f>Table3.A!C26</f>
        <v>85711.178</v>
      </c>
      <c r="D26" s="3290" t="s">
        <v>199</v>
      </c>
      <c r="E26" s="3290">
        <v>100</v>
      </c>
      <c r="F26" s="3290" t="s">
        <v>199</v>
      </c>
      <c r="G26" s="3272">
        <f>Table3.A!N10</f>
        <v>45.075955774761766</v>
      </c>
      <c r="H26" s="3014" t="s">
        <v>205</v>
      </c>
      <c r="I26" s="3104" t="s">
        <v>205</v>
      </c>
      <c r="J26" s="3268">
        <f t="shared" si="0"/>
        <v>0.34721831884153359</v>
      </c>
      <c r="K26" s="3244">
        <v>29.760491131087441</v>
      </c>
      <c r="M26" s="1659"/>
      <c r="N26" s="4513"/>
      <c r="O26" s="1699"/>
      <c r="P26" s="1696" t="s">
        <v>1040</v>
      </c>
      <c r="Q26" s="4448">
        <v>0.73727344851927368</v>
      </c>
      <c r="R26" s="4165" t="s">
        <v>199</v>
      </c>
      <c r="S26" s="4165">
        <v>7.4502790185881143E-2</v>
      </c>
      <c r="T26" s="4166">
        <v>0.02</v>
      </c>
      <c r="U26" s="4166" t="s">
        <v>199</v>
      </c>
      <c r="V26" s="4166" t="s">
        <v>274</v>
      </c>
      <c r="W26" s="4166" t="s">
        <v>199</v>
      </c>
      <c r="X26" s="4166">
        <v>0.01</v>
      </c>
      <c r="Y26" s="4166" t="s">
        <v>199</v>
      </c>
      <c r="Z26" s="4166" t="s">
        <v>199</v>
      </c>
      <c r="AA26" s="4166" t="s">
        <v>199</v>
      </c>
      <c r="AB26" s="4140" t="s">
        <v>199</v>
      </c>
    </row>
    <row r="27" spans="2:28" s="84" customFormat="1" ht="18" customHeight="1" thickBot="1" x14ac:dyDescent="0.25">
      <c r="B27" s="1646" t="s">
        <v>1064</v>
      </c>
      <c r="C27" s="4172">
        <f>C28</f>
        <v>2604.681</v>
      </c>
      <c r="D27" s="3217"/>
      <c r="E27" s="3217"/>
      <c r="F27" s="3217"/>
      <c r="G27" s="3217"/>
      <c r="H27" s="3217"/>
      <c r="I27" s="3227"/>
      <c r="J27" s="3268">
        <f t="shared" si="0"/>
        <v>22.502157695493409</v>
      </c>
      <c r="K27" s="3248">
        <f>K28</f>
        <v>58.610942608455474</v>
      </c>
      <c r="M27" s="1659"/>
      <c r="N27" s="4514"/>
      <c r="O27" s="1700"/>
      <c r="P27" s="1696" t="s">
        <v>1041</v>
      </c>
      <c r="Q27" s="4449">
        <v>0.8</v>
      </c>
      <c r="R27" s="4450" t="s">
        <v>199</v>
      </c>
      <c r="S27" s="4450">
        <v>0.27314814814814808</v>
      </c>
      <c r="T27" s="4451">
        <v>0.02</v>
      </c>
      <c r="U27" s="4451" t="s">
        <v>199</v>
      </c>
      <c r="V27" s="4451" t="s">
        <v>274</v>
      </c>
      <c r="W27" s="4451" t="s">
        <v>199</v>
      </c>
      <c r="X27" s="4451">
        <v>0.02</v>
      </c>
      <c r="Y27" s="4451" t="s">
        <v>199</v>
      </c>
      <c r="Z27" s="4451" t="s">
        <v>199</v>
      </c>
      <c r="AA27" s="4451" t="s">
        <v>199</v>
      </c>
      <c r="AB27" s="4452" t="s">
        <v>199</v>
      </c>
    </row>
    <row r="28" spans="2:28" s="84" customFormat="1" ht="18" customHeight="1" x14ac:dyDescent="0.2">
      <c r="B28" s="1647" t="s">
        <v>1065</v>
      </c>
      <c r="C28" s="4172">
        <f>C29</f>
        <v>2604.681</v>
      </c>
      <c r="D28" s="3217"/>
      <c r="E28" s="3217"/>
      <c r="F28" s="3217"/>
      <c r="G28" s="3217"/>
      <c r="H28" s="3217"/>
      <c r="I28" s="3227"/>
      <c r="J28" s="3268">
        <f t="shared" si="0"/>
        <v>22.502157695493409</v>
      </c>
      <c r="K28" s="3248">
        <f>K29</f>
        <v>58.610942608455474</v>
      </c>
      <c r="M28" s="1598"/>
      <c r="N28" s="4512" t="s">
        <v>965</v>
      </c>
      <c r="O28" s="1693" t="s">
        <v>1051</v>
      </c>
      <c r="P28" s="1694" t="s">
        <v>1039</v>
      </c>
      <c r="Q28" s="4444" t="s">
        <v>199</v>
      </c>
      <c r="R28" s="4445" t="s">
        <v>199</v>
      </c>
      <c r="S28" s="4445" t="s">
        <v>199</v>
      </c>
      <c r="T28" s="4446" t="s">
        <v>199</v>
      </c>
      <c r="U28" s="4446" t="s">
        <v>199</v>
      </c>
      <c r="V28" s="4446" t="s">
        <v>199</v>
      </c>
      <c r="W28" s="4446" t="s">
        <v>199</v>
      </c>
      <c r="X28" s="4446" t="s">
        <v>199</v>
      </c>
      <c r="Y28" s="4446" t="s">
        <v>199</v>
      </c>
      <c r="Z28" s="4446" t="s">
        <v>199</v>
      </c>
      <c r="AA28" s="4446" t="s">
        <v>199</v>
      </c>
      <c r="AB28" s="4447" t="s">
        <v>199</v>
      </c>
    </row>
    <row r="29" spans="2:28" s="84" customFormat="1" ht="18" customHeight="1" x14ac:dyDescent="0.2">
      <c r="B29" s="2662" t="s">
        <v>968</v>
      </c>
      <c r="C29" s="3274">
        <f>Table3.A!C29</f>
        <v>2604.681</v>
      </c>
      <c r="D29" s="3290">
        <v>0.73805415647960848</v>
      </c>
      <c r="E29" s="3290">
        <v>99.261945843520394</v>
      </c>
      <c r="F29" s="3290" t="s">
        <v>199</v>
      </c>
      <c r="G29" s="3272">
        <f>Table3.A!O10</f>
        <v>58.125088453713389</v>
      </c>
      <c r="H29" s="3014">
        <v>0.37247151061709999</v>
      </c>
      <c r="I29" s="3104">
        <v>0.45</v>
      </c>
      <c r="J29" s="3268">
        <f t="shared" si="0"/>
        <v>22.502157695493409</v>
      </c>
      <c r="K29" s="3244">
        <v>58.610942608455474</v>
      </c>
      <c r="M29" s="1667"/>
      <c r="N29" s="4513"/>
      <c r="O29" s="1695" t="s">
        <v>1042</v>
      </c>
      <c r="P29" s="1696" t="s">
        <v>1040</v>
      </c>
      <c r="Q29" s="4448" t="s">
        <v>199</v>
      </c>
      <c r="R29" s="4165" t="s">
        <v>199</v>
      </c>
      <c r="S29" s="4165" t="s">
        <v>199</v>
      </c>
      <c r="T29" s="4166" t="s">
        <v>199</v>
      </c>
      <c r="U29" s="4166" t="s">
        <v>199</v>
      </c>
      <c r="V29" s="4166" t="s">
        <v>199</v>
      </c>
      <c r="W29" s="4166" t="s">
        <v>199</v>
      </c>
      <c r="X29" s="4457">
        <v>100</v>
      </c>
      <c r="Y29" s="4166" t="s">
        <v>199</v>
      </c>
      <c r="Z29" s="4166" t="s">
        <v>199</v>
      </c>
      <c r="AA29" s="4166" t="s">
        <v>199</v>
      </c>
      <c r="AB29" s="4140" t="s">
        <v>199</v>
      </c>
    </row>
    <row r="30" spans="2:28" s="84" customFormat="1" ht="18" customHeight="1" thickBot="1" x14ac:dyDescent="0.25">
      <c r="B30" s="1646" t="s">
        <v>1066</v>
      </c>
      <c r="C30" s="4172">
        <f>SUM(C32:C39)</f>
        <v>72720.565000000002</v>
      </c>
      <c r="D30" s="3217"/>
      <c r="E30" s="3217"/>
      <c r="F30" s="3217"/>
      <c r="G30" s="3217"/>
      <c r="H30" s="3217"/>
      <c r="I30" s="3227"/>
      <c r="J30" s="3268">
        <f t="shared" si="0"/>
        <v>5.2882494601896639E-2</v>
      </c>
      <c r="K30" s="3248">
        <f>SUM(K32:K39)</f>
        <v>3.8456448860593735</v>
      </c>
      <c r="M30" s="1659"/>
      <c r="N30" s="4513"/>
      <c r="O30" s="1697"/>
      <c r="P30" s="1696" t="s">
        <v>1041</v>
      </c>
      <c r="Q30" s="4449" t="s">
        <v>199</v>
      </c>
      <c r="R30" s="4450" t="s">
        <v>199</v>
      </c>
      <c r="S30" s="4450" t="s">
        <v>199</v>
      </c>
      <c r="T30" s="4451" t="s">
        <v>199</v>
      </c>
      <c r="U30" s="4451" t="s">
        <v>199</v>
      </c>
      <c r="V30" s="4451" t="s">
        <v>199</v>
      </c>
      <c r="W30" s="4451" t="s">
        <v>199</v>
      </c>
      <c r="X30" s="4458">
        <v>100</v>
      </c>
      <c r="Y30" s="4451" t="s">
        <v>199</v>
      </c>
      <c r="Z30" s="4451" t="s">
        <v>199</v>
      </c>
      <c r="AA30" s="4451" t="s">
        <v>199</v>
      </c>
      <c r="AB30" s="4452" t="s">
        <v>199</v>
      </c>
    </row>
    <row r="31" spans="2:28" s="84" customFormat="1" ht="18" customHeight="1" x14ac:dyDescent="0.2">
      <c r="B31" s="1645" t="s">
        <v>271</v>
      </c>
      <c r="C31" s="3228"/>
      <c r="D31" s="3228"/>
      <c r="E31" s="3228"/>
      <c r="F31" s="3228"/>
      <c r="G31" s="3228"/>
      <c r="H31" s="3228"/>
      <c r="I31" s="3228"/>
      <c r="J31" s="3273"/>
      <c r="K31" s="3229"/>
      <c r="M31" s="1659"/>
      <c r="N31" s="4513"/>
      <c r="O31" s="1698" t="s">
        <v>1054</v>
      </c>
      <c r="P31" s="1694" t="s">
        <v>1039</v>
      </c>
      <c r="Q31" s="4453" t="s">
        <v>199</v>
      </c>
      <c r="R31" s="4454" t="s">
        <v>199</v>
      </c>
      <c r="S31" s="4454" t="s">
        <v>199</v>
      </c>
      <c r="T31" s="4455" t="s">
        <v>199</v>
      </c>
      <c r="U31" s="4455" t="s">
        <v>199</v>
      </c>
      <c r="V31" s="4455" t="s">
        <v>199</v>
      </c>
      <c r="W31" s="4455" t="s">
        <v>199</v>
      </c>
      <c r="X31" s="4455" t="s">
        <v>199</v>
      </c>
      <c r="Y31" s="4455" t="s">
        <v>199</v>
      </c>
      <c r="Z31" s="4455" t="s">
        <v>199</v>
      </c>
      <c r="AA31" s="4455" t="s">
        <v>199</v>
      </c>
      <c r="AB31" s="4456" t="s">
        <v>199</v>
      </c>
    </row>
    <row r="32" spans="2:28" s="84" customFormat="1" ht="18" customHeight="1" x14ac:dyDescent="0.2">
      <c r="B32" s="1647" t="s">
        <v>1067</v>
      </c>
      <c r="C32" s="3274">
        <f>Table3.A!C32</f>
        <v>2.6549999999999998</v>
      </c>
      <c r="D32" s="3290" t="s">
        <v>199</v>
      </c>
      <c r="E32" s="3290" t="s">
        <v>199</v>
      </c>
      <c r="F32" s="3290">
        <v>100</v>
      </c>
      <c r="G32" s="3274" t="s">
        <v>205</v>
      </c>
      <c r="H32" s="3274" t="s">
        <v>205</v>
      </c>
      <c r="I32" s="3274" t="s">
        <v>205</v>
      </c>
      <c r="J32" s="3268">
        <f t="shared" si="0"/>
        <v>11.569517322838282</v>
      </c>
      <c r="K32" s="3244">
        <v>3.0717068492135634E-2</v>
      </c>
      <c r="M32" s="1659"/>
      <c r="N32" s="4513"/>
      <c r="O32" s="1699"/>
      <c r="P32" s="1696" t="s">
        <v>1040</v>
      </c>
      <c r="Q32" s="4448" t="s">
        <v>199</v>
      </c>
      <c r="R32" s="4165" t="s">
        <v>199</v>
      </c>
      <c r="S32" s="4165" t="s">
        <v>199</v>
      </c>
      <c r="T32" s="4166" t="s">
        <v>199</v>
      </c>
      <c r="U32" s="4166" t="s">
        <v>199</v>
      </c>
      <c r="V32" s="4166" t="s">
        <v>199</v>
      </c>
      <c r="W32" s="4166" t="s">
        <v>199</v>
      </c>
      <c r="X32" s="4166" t="s">
        <v>205</v>
      </c>
      <c r="Y32" s="4166" t="s">
        <v>199</v>
      </c>
      <c r="Z32" s="4166" t="s">
        <v>199</v>
      </c>
      <c r="AA32" s="4166" t="s">
        <v>199</v>
      </c>
      <c r="AB32" s="4140" t="s">
        <v>199</v>
      </c>
    </row>
    <row r="33" spans="2:28" s="84" customFormat="1" ht="18" customHeight="1" thickBot="1" x14ac:dyDescent="0.25">
      <c r="B33" s="1647" t="s">
        <v>1068</v>
      </c>
      <c r="C33" s="3274">
        <f>Table3.A!C33</f>
        <v>2.0339999999999998</v>
      </c>
      <c r="D33" s="3290" t="s">
        <v>199</v>
      </c>
      <c r="E33" s="3290">
        <v>26.255192207158629</v>
      </c>
      <c r="F33" s="3290">
        <v>73.744807792841371</v>
      </c>
      <c r="G33" s="3274" t="s">
        <v>205</v>
      </c>
      <c r="H33" s="3274" t="s">
        <v>205</v>
      </c>
      <c r="I33" s="3274" t="s">
        <v>205</v>
      </c>
      <c r="J33" s="3254">
        <f t="shared" si="0"/>
        <v>9.3200203014111995</v>
      </c>
      <c r="K33" s="3244">
        <v>1.8956921293070375E-2</v>
      </c>
      <c r="M33" s="1659"/>
      <c r="N33" s="4514"/>
      <c r="O33" s="1700"/>
      <c r="P33" s="1696" t="s">
        <v>1041</v>
      </c>
      <c r="Q33" s="4449" t="s">
        <v>199</v>
      </c>
      <c r="R33" s="4450" t="s">
        <v>199</v>
      </c>
      <c r="S33" s="4450" t="s">
        <v>199</v>
      </c>
      <c r="T33" s="4451" t="s">
        <v>199</v>
      </c>
      <c r="U33" s="4451" t="s">
        <v>199</v>
      </c>
      <c r="V33" s="4451" t="s">
        <v>199</v>
      </c>
      <c r="W33" s="4451" t="s">
        <v>199</v>
      </c>
      <c r="X33" s="4451" t="s">
        <v>205</v>
      </c>
      <c r="Y33" s="4451" t="s">
        <v>199</v>
      </c>
      <c r="Z33" s="4451" t="s">
        <v>199</v>
      </c>
      <c r="AA33" s="4451" t="s">
        <v>199</v>
      </c>
      <c r="AB33" s="4452" t="s">
        <v>199</v>
      </c>
    </row>
    <row r="34" spans="2:28" s="84" customFormat="1" ht="18" customHeight="1" x14ac:dyDescent="0.2">
      <c r="B34" s="1647" t="s">
        <v>1069</v>
      </c>
      <c r="C34" s="3274">
        <f>Table3.A!C34</f>
        <v>79.695999999999998</v>
      </c>
      <c r="D34" s="3290" t="s">
        <v>199</v>
      </c>
      <c r="E34" s="3290">
        <v>100</v>
      </c>
      <c r="F34" s="3290" t="s">
        <v>199</v>
      </c>
      <c r="G34" s="3274" t="s">
        <v>205</v>
      </c>
      <c r="H34" s="3274" t="s">
        <v>205</v>
      </c>
      <c r="I34" s="3274" t="s">
        <v>205</v>
      </c>
      <c r="J34" s="3254">
        <f t="shared" si="0"/>
        <v>0.99987399820053269</v>
      </c>
      <c r="K34" s="3244">
        <v>7.9685958160589654E-2</v>
      </c>
      <c r="M34" s="1598"/>
      <c r="N34" s="4512" t="s">
        <v>966</v>
      </c>
      <c r="O34" s="1693" t="s">
        <v>1051</v>
      </c>
      <c r="P34" s="1694" t="s">
        <v>1039</v>
      </c>
      <c r="Q34" s="4444" t="s">
        <v>199</v>
      </c>
      <c r="R34" s="4445" t="s">
        <v>199</v>
      </c>
      <c r="S34" s="4445" t="s">
        <v>199</v>
      </c>
      <c r="T34" s="4446" t="s">
        <v>199</v>
      </c>
      <c r="U34" s="4446" t="s">
        <v>199</v>
      </c>
      <c r="V34" s="4446" t="s">
        <v>199</v>
      </c>
      <c r="W34" s="4446" t="s">
        <v>199</v>
      </c>
      <c r="X34" s="4446" t="s">
        <v>199</v>
      </c>
      <c r="Y34" s="4446" t="s">
        <v>199</v>
      </c>
      <c r="Z34" s="4446" t="s">
        <v>199</v>
      </c>
      <c r="AA34" s="4446" t="s">
        <v>199</v>
      </c>
      <c r="AB34" s="4447" t="s">
        <v>199</v>
      </c>
    </row>
    <row r="35" spans="2:28" s="84" customFormat="1" ht="18" customHeight="1" x14ac:dyDescent="0.2">
      <c r="B35" s="1647" t="s">
        <v>1070</v>
      </c>
      <c r="C35" s="3274">
        <f>Table3.A!C35</f>
        <v>518.024</v>
      </c>
      <c r="D35" s="3290" t="s">
        <v>199</v>
      </c>
      <c r="E35" s="3290">
        <v>99.871673948823243</v>
      </c>
      <c r="F35" s="3290">
        <v>0.12832605117675966</v>
      </c>
      <c r="G35" s="3274" t="s">
        <v>205</v>
      </c>
      <c r="H35" s="3274" t="s">
        <v>205</v>
      </c>
      <c r="I35" s="3274" t="s">
        <v>205</v>
      </c>
      <c r="J35" s="3254">
        <f t="shared" si="0"/>
        <v>0.35863279614375715</v>
      </c>
      <c r="K35" s="3244">
        <v>0.18578039558957365</v>
      </c>
      <c r="M35" s="1667"/>
      <c r="N35" s="4513"/>
      <c r="O35" s="1695" t="s">
        <v>1042</v>
      </c>
      <c r="P35" s="1696" t="s">
        <v>1040</v>
      </c>
      <c r="Q35" s="4448">
        <v>1.8000000000000003</v>
      </c>
      <c r="R35" s="4165" t="s">
        <v>199</v>
      </c>
      <c r="S35" s="4165" t="s">
        <v>199</v>
      </c>
      <c r="T35" s="4166" t="s">
        <v>274</v>
      </c>
      <c r="U35" s="4166" t="s">
        <v>199</v>
      </c>
      <c r="V35" s="4166">
        <v>100</v>
      </c>
      <c r="W35" s="4166" t="s">
        <v>199</v>
      </c>
      <c r="X35" s="4166" t="s">
        <v>199</v>
      </c>
      <c r="Y35" s="4166">
        <v>19.000000000000004</v>
      </c>
      <c r="Z35" s="4166" t="s">
        <v>199</v>
      </c>
      <c r="AA35" s="4166" t="s">
        <v>199</v>
      </c>
      <c r="AB35" s="4140" t="s">
        <v>199</v>
      </c>
    </row>
    <row r="36" spans="2:28" s="84" customFormat="1" ht="18" customHeight="1" thickBot="1" x14ac:dyDescent="0.25">
      <c r="B36" s="1647" t="s">
        <v>1071</v>
      </c>
      <c r="C36" s="3274">
        <f>Table3.A!C36</f>
        <v>263.29300000000001</v>
      </c>
      <c r="D36" s="3290" t="s">
        <v>199</v>
      </c>
      <c r="E36" s="3290">
        <v>97.296590998172277</v>
      </c>
      <c r="F36" s="3290">
        <v>2.7034090018277199</v>
      </c>
      <c r="G36" s="3274" t="s">
        <v>205</v>
      </c>
      <c r="H36" s="3274" t="s">
        <v>205</v>
      </c>
      <c r="I36" s="3274" t="s">
        <v>205</v>
      </c>
      <c r="J36" s="3254">
        <f t="shared" si="0"/>
        <v>3.2313269216988854</v>
      </c>
      <c r="K36" s="3244">
        <v>0.85078575919486465</v>
      </c>
      <c r="M36" s="1659"/>
      <c r="N36" s="4513"/>
      <c r="O36" s="1697"/>
      <c r="P36" s="1696" t="s">
        <v>1041</v>
      </c>
      <c r="Q36" s="4449" t="s">
        <v>199</v>
      </c>
      <c r="R36" s="4450" t="s">
        <v>199</v>
      </c>
      <c r="S36" s="4450" t="s">
        <v>199</v>
      </c>
      <c r="T36" s="4451" t="s">
        <v>199</v>
      </c>
      <c r="U36" s="4451" t="s">
        <v>199</v>
      </c>
      <c r="V36" s="4451" t="s">
        <v>199</v>
      </c>
      <c r="W36" s="4451" t="s">
        <v>199</v>
      </c>
      <c r="X36" s="4451" t="s">
        <v>199</v>
      </c>
      <c r="Y36" s="4451" t="s">
        <v>199</v>
      </c>
      <c r="Z36" s="4451" t="s">
        <v>199</v>
      </c>
      <c r="AA36" s="4451" t="s">
        <v>199</v>
      </c>
      <c r="AB36" s="4452" t="s">
        <v>199</v>
      </c>
    </row>
    <row r="37" spans="2:28" s="84" customFormat="1" ht="18" customHeight="1" x14ac:dyDescent="0.2">
      <c r="B37" s="1647" t="s">
        <v>1072</v>
      </c>
      <c r="C37" s="3274">
        <f>Table3.A!C37</f>
        <v>0.36599999999999999</v>
      </c>
      <c r="D37" s="3290" t="s">
        <v>199</v>
      </c>
      <c r="E37" s="3290">
        <v>95.492567371779472</v>
      </c>
      <c r="F37" s="3290">
        <v>4.507432628220525</v>
      </c>
      <c r="G37" s="3274" t="s">
        <v>205</v>
      </c>
      <c r="H37" s="3274" t="s">
        <v>205</v>
      </c>
      <c r="I37" s="3274" t="s">
        <v>205</v>
      </c>
      <c r="J37" s="3254">
        <f t="shared" si="0"/>
        <v>1.1283742964988011</v>
      </c>
      <c r="K37" s="3244">
        <v>4.1298499251856118E-4</v>
      </c>
      <c r="M37" s="1659"/>
      <c r="N37" s="4513"/>
      <c r="O37" s="1698" t="s">
        <v>1054</v>
      </c>
      <c r="P37" s="1694" t="s">
        <v>1039</v>
      </c>
      <c r="Q37" s="4453" t="s">
        <v>199</v>
      </c>
      <c r="R37" s="4454" t="s">
        <v>199</v>
      </c>
      <c r="S37" s="4454" t="s">
        <v>199</v>
      </c>
      <c r="T37" s="4455" t="s">
        <v>199</v>
      </c>
      <c r="U37" s="4455" t="s">
        <v>199</v>
      </c>
      <c r="V37" s="4455" t="s">
        <v>199</v>
      </c>
      <c r="W37" s="4455" t="s">
        <v>199</v>
      </c>
      <c r="X37" s="4455" t="s">
        <v>199</v>
      </c>
      <c r="Y37" s="4455" t="s">
        <v>199</v>
      </c>
      <c r="Z37" s="4455" t="s">
        <v>199</v>
      </c>
      <c r="AA37" s="4455" t="s">
        <v>199</v>
      </c>
      <c r="AB37" s="4456" t="s">
        <v>199</v>
      </c>
    </row>
    <row r="38" spans="2:28" s="84" customFormat="1" ht="18" customHeight="1" x14ac:dyDescent="0.2">
      <c r="B38" s="1647" t="s">
        <v>1073</v>
      </c>
      <c r="C38" s="3274">
        <f>Table3.A!C38</f>
        <v>71723.482000000004</v>
      </c>
      <c r="D38" s="3290">
        <v>1.2537050702095396</v>
      </c>
      <c r="E38" s="3290">
        <v>98.746294929790466</v>
      </c>
      <c r="F38" s="3290" t="s">
        <v>199</v>
      </c>
      <c r="G38" s="3274" t="s">
        <v>205</v>
      </c>
      <c r="H38" s="3274" t="s">
        <v>205</v>
      </c>
      <c r="I38" s="3274" t="s">
        <v>205</v>
      </c>
      <c r="J38" s="3254">
        <f t="shared" si="0"/>
        <v>3.6703338289009194E-2</v>
      </c>
      <c r="K38" s="3244">
        <v>2.6324912231116619</v>
      </c>
      <c r="M38" s="1659"/>
      <c r="N38" s="4513"/>
      <c r="O38" s="1699"/>
      <c r="P38" s="1696" t="s">
        <v>1040</v>
      </c>
      <c r="Q38" s="4448">
        <v>0.76210232275808332</v>
      </c>
      <c r="R38" s="4165" t="s">
        <v>199</v>
      </c>
      <c r="S38" s="4165" t="s">
        <v>199</v>
      </c>
      <c r="T38" s="4166" t="s">
        <v>274</v>
      </c>
      <c r="U38" s="4166" t="s">
        <v>199</v>
      </c>
      <c r="V38" s="4166">
        <v>2.0672504749897826E-2</v>
      </c>
      <c r="W38" s="4166" t="s">
        <v>199</v>
      </c>
      <c r="X38" s="4166" t="s">
        <v>199</v>
      </c>
      <c r="Y38" s="4166">
        <v>1.0000000000000002E-2</v>
      </c>
      <c r="Z38" s="4166" t="s">
        <v>199</v>
      </c>
      <c r="AA38" s="4166" t="s">
        <v>199</v>
      </c>
      <c r="AB38" s="4140" t="s">
        <v>199</v>
      </c>
    </row>
    <row r="39" spans="2:28" s="84" customFormat="1" ht="18" customHeight="1" thickBot="1" x14ac:dyDescent="0.25">
      <c r="B39" s="1647" t="s">
        <v>1074</v>
      </c>
      <c r="C39" s="4172">
        <f>SUM(C41:C45)</f>
        <v>131.01499999999999</v>
      </c>
      <c r="D39" s="3261"/>
      <c r="E39" s="3261"/>
      <c r="F39" s="3261"/>
      <c r="G39" s="3261"/>
      <c r="H39" s="3261"/>
      <c r="I39" s="3262"/>
      <c r="J39" s="3254">
        <f t="shared" si="0"/>
        <v>0.3573222548941668</v>
      </c>
      <c r="K39" s="3248">
        <f>SUM(K41:K45)</f>
        <v>4.6814575224959257E-2</v>
      </c>
      <c r="M39" s="1663"/>
      <c r="N39" s="4514"/>
      <c r="O39" s="1700"/>
      <c r="P39" s="1696" t="s">
        <v>1041</v>
      </c>
      <c r="Q39" s="4449" t="s">
        <v>199</v>
      </c>
      <c r="R39" s="4450" t="s">
        <v>199</v>
      </c>
      <c r="S39" s="4450" t="s">
        <v>199</v>
      </c>
      <c r="T39" s="4451" t="s">
        <v>199</v>
      </c>
      <c r="U39" s="4451" t="s">
        <v>199</v>
      </c>
      <c r="V39" s="4451" t="s">
        <v>199</v>
      </c>
      <c r="W39" s="4451" t="s">
        <v>199</v>
      </c>
      <c r="X39" s="4451" t="s">
        <v>199</v>
      </c>
      <c r="Y39" s="4451" t="s">
        <v>199</v>
      </c>
      <c r="Z39" s="4451" t="s">
        <v>199</v>
      </c>
      <c r="AA39" s="4451" t="s">
        <v>199</v>
      </c>
      <c r="AB39" s="4452" t="s">
        <v>199</v>
      </c>
    </row>
    <row r="40" spans="2:28" s="84" customFormat="1" ht="18" customHeight="1" x14ac:dyDescent="0.2">
      <c r="B40" s="4231" t="s">
        <v>271</v>
      </c>
      <c r="C40" s="4232"/>
      <c r="D40" s="2680"/>
      <c r="E40" s="2680"/>
      <c r="F40" s="2680"/>
      <c r="G40" s="2680"/>
      <c r="H40" s="2680"/>
      <c r="I40" s="2680"/>
      <c r="J40" s="2680"/>
      <c r="K40" s="4230"/>
      <c r="M40" s="4515" t="s">
        <v>968</v>
      </c>
      <c r="N40" s="4516"/>
      <c r="O40" s="1693" t="s">
        <v>1051</v>
      </c>
      <c r="P40" s="1694" t="s">
        <v>1039</v>
      </c>
      <c r="Q40" s="4444">
        <v>59.9</v>
      </c>
      <c r="R40" s="4445" t="s">
        <v>199</v>
      </c>
      <c r="S40" s="4445" t="s">
        <v>199</v>
      </c>
      <c r="T40" s="4446" t="s">
        <v>274</v>
      </c>
      <c r="U40" s="4446" t="s">
        <v>274</v>
      </c>
      <c r="V40" s="4446">
        <v>36.1</v>
      </c>
      <c r="W40" s="4446" t="s">
        <v>274</v>
      </c>
      <c r="X40" s="4446" t="s">
        <v>199</v>
      </c>
      <c r="Y40" s="4446" t="s">
        <v>199</v>
      </c>
      <c r="Z40" s="4446" t="s">
        <v>199</v>
      </c>
      <c r="AA40" s="4446" t="s">
        <v>199</v>
      </c>
      <c r="AB40" s="4447">
        <v>32.5</v>
      </c>
    </row>
    <row r="41" spans="2:28" s="84" customFormat="1" ht="18" customHeight="1" x14ac:dyDescent="0.2">
      <c r="B41" s="348" t="s">
        <v>1075</v>
      </c>
      <c r="C41" s="3274" t="str">
        <f>Table3.A!C41</f>
        <v>NO</v>
      </c>
      <c r="D41" s="3274" t="s">
        <v>205</v>
      </c>
      <c r="E41" s="3274" t="s">
        <v>205</v>
      </c>
      <c r="F41" s="3274" t="s">
        <v>205</v>
      </c>
      <c r="G41" s="3274" t="s">
        <v>205</v>
      </c>
      <c r="H41" s="3274" t="s">
        <v>205</v>
      </c>
      <c r="I41" s="3274" t="s">
        <v>205</v>
      </c>
      <c r="J41" s="3254" t="str">
        <f t="shared" si="0"/>
        <v>NA</v>
      </c>
      <c r="K41" s="3244" t="s">
        <v>199</v>
      </c>
      <c r="M41" s="4517"/>
      <c r="N41" s="4518"/>
      <c r="O41" s="1695" t="s">
        <v>1042</v>
      </c>
      <c r="P41" s="1696" t="s">
        <v>1040</v>
      </c>
      <c r="Q41" s="4448">
        <v>68.516899519833402</v>
      </c>
      <c r="R41" s="4165" t="s">
        <v>199</v>
      </c>
      <c r="S41" s="4165" t="s">
        <v>199</v>
      </c>
      <c r="T41" s="4166" t="s">
        <v>274</v>
      </c>
      <c r="U41" s="4166" t="s">
        <v>274</v>
      </c>
      <c r="V41" s="4166">
        <v>27.938690126561305</v>
      </c>
      <c r="W41" s="4166" t="s">
        <v>274</v>
      </c>
      <c r="X41" s="4166" t="s">
        <v>199</v>
      </c>
      <c r="Y41" s="4166" t="s">
        <v>199</v>
      </c>
      <c r="Z41" s="4166">
        <v>0.60424705440664073</v>
      </c>
      <c r="AA41" s="4166" t="s">
        <v>199</v>
      </c>
      <c r="AB41" s="4140">
        <v>23.614359822167739</v>
      </c>
    </row>
    <row r="42" spans="2:28" s="84" customFormat="1" ht="18" customHeight="1" thickBot="1" x14ac:dyDescent="0.25">
      <c r="B42" s="348" t="s">
        <v>1076</v>
      </c>
      <c r="C42" s="3274" t="str">
        <f>Table3.A!C42</f>
        <v>NO</v>
      </c>
      <c r="D42" s="3274" t="s">
        <v>205</v>
      </c>
      <c r="E42" s="3274" t="s">
        <v>205</v>
      </c>
      <c r="F42" s="3274" t="s">
        <v>205</v>
      </c>
      <c r="G42" s="3274" t="s">
        <v>205</v>
      </c>
      <c r="H42" s="3274" t="s">
        <v>205</v>
      </c>
      <c r="I42" s="3274" t="s">
        <v>205</v>
      </c>
      <c r="J42" s="3254" t="str">
        <f t="shared" si="0"/>
        <v>NA</v>
      </c>
      <c r="K42" s="3244" t="s">
        <v>199</v>
      </c>
      <c r="M42" s="4517"/>
      <c r="N42" s="4518"/>
      <c r="O42" s="1697"/>
      <c r="P42" s="1696" t="s">
        <v>1041</v>
      </c>
      <c r="Q42" s="4459" t="s">
        <v>199</v>
      </c>
      <c r="R42" s="4460" t="s">
        <v>199</v>
      </c>
      <c r="S42" s="4460" t="s">
        <v>199</v>
      </c>
      <c r="T42" s="4461" t="s">
        <v>199</v>
      </c>
      <c r="U42" s="4461" t="s">
        <v>199</v>
      </c>
      <c r="V42" s="4461" t="s">
        <v>199</v>
      </c>
      <c r="W42" s="4461" t="s">
        <v>199</v>
      </c>
      <c r="X42" s="4461" t="s">
        <v>199</v>
      </c>
      <c r="Y42" s="4461" t="s">
        <v>199</v>
      </c>
      <c r="Z42" s="4461" t="s">
        <v>199</v>
      </c>
      <c r="AA42" s="4461" t="s">
        <v>199</v>
      </c>
      <c r="AB42" s="4161" t="s">
        <v>199</v>
      </c>
    </row>
    <row r="43" spans="2:28" s="84" customFormat="1" ht="18" customHeight="1" x14ac:dyDescent="0.2">
      <c r="B43" s="348" t="s">
        <v>1077</v>
      </c>
      <c r="C43" s="3274">
        <f>Table3.A!C43</f>
        <v>32.899000000000001</v>
      </c>
      <c r="D43" s="3290" t="s">
        <v>199</v>
      </c>
      <c r="E43" s="3290">
        <v>100</v>
      </c>
      <c r="F43" s="3290" t="s">
        <v>199</v>
      </c>
      <c r="G43" s="3274" t="s">
        <v>205</v>
      </c>
      <c r="H43" s="3274" t="s">
        <v>205</v>
      </c>
      <c r="I43" s="3274" t="s">
        <v>205</v>
      </c>
      <c r="J43" s="3254">
        <f t="shared" si="0"/>
        <v>0.35732391071188829</v>
      </c>
      <c r="K43" s="3244">
        <v>1.1755599338510413E-2</v>
      </c>
      <c r="M43" s="4517"/>
      <c r="N43" s="4518"/>
      <c r="O43" s="1698" t="s">
        <v>1054</v>
      </c>
      <c r="P43" s="1694" t="s">
        <v>1039</v>
      </c>
      <c r="Q43" s="4444">
        <v>0.7</v>
      </c>
      <c r="R43" s="4445" t="s">
        <v>199</v>
      </c>
      <c r="S43" s="4445" t="s">
        <v>199</v>
      </c>
      <c r="T43" s="4446" t="s">
        <v>274</v>
      </c>
      <c r="U43" s="4446" t="s">
        <v>274</v>
      </c>
      <c r="V43" s="4446">
        <v>1.8337950138504155E-2</v>
      </c>
      <c r="W43" s="4446" t="s">
        <v>274</v>
      </c>
      <c r="X43" s="4446" t="s">
        <v>199</v>
      </c>
      <c r="Y43" s="4446" t="s">
        <v>199</v>
      </c>
      <c r="Z43" s="4446" t="s">
        <v>199</v>
      </c>
      <c r="AA43" s="4446" t="s">
        <v>199</v>
      </c>
      <c r="AB43" s="4447">
        <v>3.9230769230769229E-2</v>
      </c>
    </row>
    <row r="44" spans="2:28" s="84" customFormat="1" ht="18" customHeight="1" x14ac:dyDescent="0.2">
      <c r="B44" s="348" t="s">
        <v>1078</v>
      </c>
      <c r="C44" s="3274" t="str">
        <f>Table3.A!C44</f>
        <v>NO</v>
      </c>
      <c r="D44" s="3274" t="s">
        <v>205</v>
      </c>
      <c r="E44" s="3274" t="s">
        <v>205</v>
      </c>
      <c r="F44" s="3274" t="s">
        <v>205</v>
      </c>
      <c r="G44" s="3274" t="s">
        <v>205</v>
      </c>
      <c r="H44" s="3274" t="s">
        <v>205</v>
      </c>
      <c r="I44" s="3274" t="s">
        <v>205</v>
      </c>
      <c r="J44" s="3254" t="str">
        <f t="shared" si="0"/>
        <v>NA</v>
      </c>
      <c r="K44" s="3244" t="s">
        <v>199</v>
      </c>
      <c r="M44" s="4517"/>
      <c r="N44" s="4518"/>
      <c r="O44" s="1699"/>
      <c r="P44" s="1696" t="s">
        <v>1040</v>
      </c>
      <c r="Q44" s="4448">
        <v>0.75484972518577786</v>
      </c>
      <c r="R44" s="4165" t="s">
        <v>199</v>
      </c>
      <c r="S44" s="4165" t="s">
        <v>199</v>
      </c>
      <c r="T44" s="4166" t="s">
        <v>274</v>
      </c>
      <c r="U44" s="4166" t="s">
        <v>274</v>
      </c>
      <c r="V44" s="4166">
        <v>1.9022430505047098E-2</v>
      </c>
      <c r="W44" s="4166" t="s">
        <v>274</v>
      </c>
      <c r="X44" s="4166" t="s">
        <v>199</v>
      </c>
      <c r="Y44" s="4166" t="s">
        <v>199</v>
      </c>
      <c r="Z44" s="4166">
        <v>2.4380648986486359E-2</v>
      </c>
      <c r="AA44" s="4166" t="s">
        <v>199</v>
      </c>
      <c r="AB44" s="4140">
        <v>3.9452636391595061E-2</v>
      </c>
    </row>
    <row r="45" spans="2:28" s="84" customFormat="1" ht="18" customHeight="1" thickBot="1" x14ac:dyDescent="0.25">
      <c r="B45" s="2663" t="s">
        <v>1079</v>
      </c>
      <c r="C45" s="4172">
        <f>C46</f>
        <v>98.116</v>
      </c>
      <c r="D45" s="3261"/>
      <c r="E45" s="3261"/>
      <c r="F45" s="3261"/>
      <c r="G45" s="3261"/>
      <c r="H45" s="3261"/>
      <c r="I45" s="3262"/>
      <c r="J45" s="3254">
        <f t="shared" si="0"/>
        <v>0.35732169968658367</v>
      </c>
      <c r="K45" s="3248">
        <f>K46</f>
        <v>3.5058975886448844E-2</v>
      </c>
      <c r="M45" s="4519"/>
      <c r="N45" s="4520"/>
      <c r="O45" s="1700"/>
      <c r="P45" s="1696" t="s">
        <v>1041</v>
      </c>
      <c r="Q45" s="4449" t="s">
        <v>199</v>
      </c>
      <c r="R45" s="4450" t="s">
        <v>199</v>
      </c>
      <c r="S45" s="4450" t="s">
        <v>199</v>
      </c>
      <c r="T45" s="4451" t="s">
        <v>199</v>
      </c>
      <c r="U45" s="4451" t="s">
        <v>199</v>
      </c>
      <c r="V45" s="4451" t="s">
        <v>199</v>
      </c>
      <c r="W45" s="4451" t="s">
        <v>199</v>
      </c>
      <c r="X45" s="4451" t="s">
        <v>199</v>
      </c>
      <c r="Y45" s="4451" t="s">
        <v>199</v>
      </c>
      <c r="Z45" s="4451" t="s">
        <v>199</v>
      </c>
      <c r="AA45" s="4451" t="s">
        <v>199</v>
      </c>
      <c r="AB45" s="4452" t="s">
        <v>199</v>
      </c>
    </row>
    <row r="46" spans="2:28" s="84" customFormat="1" ht="18" customHeight="1" thickBot="1" x14ac:dyDescent="0.25">
      <c r="B46" s="2667" t="s">
        <v>1013</v>
      </c>
      <c r="C46" s="4174">
        <f>Table3.A!C46</f>
        <v>98.116</v>
      </c>
      <c r="D46" s="3021" t="s">
        <v>199</v>
      </c>
      <c r="E46" s="3021">
        <v>100</v>
      </c>
      <c r="F46" s="3021" t="s">
        <v>199</v>
      </c>
      <c r="G46" s="3021" t="s">
        <v>205</v>
      </c>
      <c r="H46" s="3021" t="s">
        <v>205</v>
      </c>
      <c r="I46" s="3275" t="s">
        <v>205</v>
      </c>
      <c r="J46" s="3276">
        <f t="shared" si="0"/>
        <v>0.35732169968658367</v>
      </c>
      <c r="K46" s="3245">
        <v>3.5058975886448844E-2</v>
      </c>
      <c r="M46" s="4515" t="s">
        <v>1080</v>
      </c>
      <c r="N46" s="4516"/>
      <c r="O46" s="1693" t="s">
        <v>1051</v>
      </c>
      <c r="P46" s="1694" t="s">
        <v>1039</v>
      </c>
      <c r="Q46" s="4444" t="s">
        <v>199</v>
      </c>
      <c r="R46" s="4445" t="s">
        <v>199</v>
      </c>
      <c r="S46" s="4445" t="s">
        <v>199</v>
      </c>
      <c r="T46" s="4446">
        <v>47.188903914872462</v>
      </c>
      <c r="U46" s="4446" t="s">
        <v>199</v>
      </c>
      <c r="V46" s="4446" t="s">
        <v>199</v>
      </c>
      <c r="W46" s="4446" t="s">
        <v>274</v>
      </c>
      <c r="X46" s="4446">
        <v>1.9256725318727403</v>
      </c>
      <c r="Y46" s="4446">
        <v>18.061326836815397</v>
      </c>
      <c r="Z46" s="4446">
        <v>0.39909081939607222</v>
      </c>
      <c r="AA46" s="4446" t="s">
        <v>199</v>
      </c>
      <c r="AB46" s="4447">
        <v>97.537431843758355</v>
      </c>
    </row>
    <row r="47" spans="2:28" s="84" customFormat="1" ht="17.25" customHeight="1" x14ac:dyDescent="0.2">
      <c r="B47" s="504" t="s">
        <v>560</v>
      </c>
      <c r="C47" s="504" t="s">
        <v>560</v>
      </c>
      <c r="D47" s="504"/>
      <c r="E47" s="504"/>
      <c r="F47" s="504"/>
      <c r="G47" s="504"/>
      <c r="H47" s="504"/>
      <c r="I47" s="504"/>
      <c r="J47" s="504"/>
      <c r="K47" s="504"/>
      <c r="M47" s="4517"/>
      <c r="N47" s="4518"/>
      <c r="O47" s="1695" t="s">
        <v>1042</v>
      </c>
      <c r="P47" s="1696" t="s">
        <v>1040</v>
      </c>
      <c r="Q47" s="4448" t="s">
        <v>199</v>
      </c>
      <c r="R47" s="4165" t="s">
        <v>199</v>
      </c>
      <c r="S47" s="4165" t="s">
        <v>199</v>
      </c>
      <c r="T47" s="4166">
        <v>44.772077699278036</v>
      </c>
      <c r="U47" s="4166" t="s">
        <v>199</v>
      </c>
      <c r="V47" s="4166" t="s">
        <v>199</v>
      </c>
      <c r="W47" s="4166" t="s">
        <v>274</v>
      </c>
      <c r="X47" s="4166">
        <v>2.6028070726705614</v>
      </c>
      <c r="Y47" s="4166">
        <v>18.511889594203428</v>
      </c>
      <c r="Z47" s="4166">
        <v>0.29495098339856501</v>
      </c>
      <c r="AA47" s="4166" t="s">
        <v>199</v>
      </c>
      <c r="AB47" s="4140">
        <v>97.397192927329456</v>
      </c>
    </row>
    <row r="48" spans="2:28" s="84" customFormat="1" ht="14.25" thickBot="1" x14ac:dyDescent="0.25">
      <c r="B48" s="311"/>
      <c r="C48" s="1648"/>
      <c r="D48" s="1648"/>
      <c r="E48" s="1648"/>
      <c r="F48" s="1648"/>
      <c r="G48" s="1648"/>
      <c r="H48" s="1648"/>
      <c r="I48" s="1648"/>
      <c r="J48" s="1648"/>
      <c r="K48" s="1648"/>
      <c r="M48" s="4517"/>
      <c r="N48" s="4518"/>
      <c r="O48" s="1697"/>
      <c r="P48" s="1696" t="s">
        <v>1041</v>
      </c>
      <c r="Q48" s="4449" t="s">
        <v>199</v>
      </c>
      <c r="R48" s="4450" t="s">
        <v>199</v>
      </c>
      <c r="S48" s="4450" t="s">
        <v>199</v>
      </c>
      <c r="T48" s="4451" t="s">
        <v>199</v>
      </c>
      <c r="U48" s="4451" t="s">
        <v>199</v>
      </c>
      <c r="V48" s="4451" t="s">
        <v>199</v>
      </c>
      <c r="W48" s="4451" t="s">
        <v>199</v>
      </c>
      <c r="X48" s="4451" t="s">
        <v>199</v>
      </c>
      <c r="Y48" s="4451" t="s">
        <v>199</v>
      </c>
      <c r="Z48" s="4451" t="s">
        <v>199</v>
      </c>
      <c r="AA48" s="4451" t="s">
        <v>199</v>
      </c>
      <c r="AB48" s="4452" t="s">
        <v>199</v>
      </c>
    </row>
    <row r="49" spans="2:28" s="84" customFormat="1" ht="13.5" x14ac:dyDescent="0.2">
      <c r="B49" s="1018"/>
      <c r="C49" s="1649"/>
      <c r="D49" s="1649"/>
      <c r="E49" s="1649"/>
      <c r="F49" s="1649"/>
      <c r="G49" s="1649"/>
      <c r="H49" s="1649"/>
      <c r="I49" s="1649"/>
      <c r="J49" s="1649"/>
      <c r="K49" s="1649"/>
      <c r="M49" s="4517"/>
      <c r="N49" s="4518"/>
      <c r="O49" s="1698" t="s">
        <v>1054</v>
      </c>
      <c r="P49" s="1694" t="s">
        <v>1039</v>
      </c>
      <c r="Q49" s="4453" t="s">
        <v>199</v>
      </c>
      <c r="R49" s="4454" t="s">
        <v>199</v>
      </c>
      <c r="S49" s="4454" t="s">
        <v>199</v>
      </c>
      <c r="T49" s="4455">
        <v>0.02</v>
      </c>
      <c r="U49" s="4455" t="s">
        <v>199</v>
      </c>
      <c r="V49" s="4455" t="s">
        <v>199</v>
      </c>
      <c r="W49" s="4455" t="s">
        <v>274</v>
      </c>
      <c r="X49" s="4455">
        <v>0.01</v>
      </c>
      <c r="Y49" s="4455">
        <v>5.0000000000000001E-3</v>
      </c>
      <c r="Z49" s="4455">
        <v>0.1</v>
      </c>
      <c r="AA49" s="4455" t="s">
        <v>199</v>
      </c>
      <c r="AB49" s="4456">
        <v>1.4999999999999999E-2</v>
      </c>
    </row>
    <row r="50" spans="2:28" s="84" customFormat="1" ht="13.5" x14ac:dyDescent="0.2">
      <c r="B50" s="310"/>
      <c r="C50" s="310"/>
      <c r="D50" s="310"/>
      <c r="E50" s="310"/>
      <c r="F50" s="310"/>
      <c r="G50" s="310"/>
      <c r="H50" s="310"/>
      <c r="I50" s="310"/>
      <c r="J50" s="310"/>
      <c r="K50" s="310"/>
      <c r="M50" s="4517"/>
      <c r="N50" s="4518"/>
      <c r="O50" s="1699"/>
      <c r="P50" s="1696" t="s">
        <v>1040</v>
      </c>
      <c r="Q50" s="4448" t="s">
        <v>199</v>
      </c>
      <c r="R50" s="4165" t="s">
        <v>199</v>
      </c>
      <c r="S50" s="4165" t="s">
        <v>199</v>
      </c>
      <c r="T50" s="4166">
        <v>1.9999999999999997E-2</v>
      </c>
      <c r="U50" s="4166" t="s">
        <v>199</v>
      </c>
      <c r="V50" s="4166" t="s">
        <v>199</v>
      </c>
      <c r="W50" s="4166" t="s">
        <v>274</v>
      </c>
      <c r="X50" s="4166">
        <v>1.3217674122401829E-2</v>
      </c>
      <c r="Y50" s="4166">
        <v>9.9999999999999985E-3</v>
      </c>
      <c r="Z50" s="4166">
        <v>9.9999999999999992E-2</v>
      </c>
      <c r="AA50" s="4166" t="s">
        <v>199</v>
      </c>
      <c r="AB50" s="4140">
        <v>1.4999999999999999E-2</v>
      </c>
    </row>
    <row r="51" spans="2:28" s="84" customFormat="1" ht="14.25" thickBot="1" x14ac:dyDescent="0.25">
      <c r="B51" s="72"/>
      <c r="C51" s="311"/>
      <c r="D51" s="311"/>
      <c r="E51" s="311"/>
      <c r="F51" s="311"/>
      <c r="G51" s="311"/>
      <c r="H51" s="311"/>
      <c r="I51" s="311"/>
      <c r="J51" s="311"/>
      <c r="K51" s="311"/>
      <c r="M51" s="4519"/>
      <c r="N51" s="4520"/>
      <c r="O51" s="1700"/>
      <c r="P51" s="1701" t="s">
        <v>1041</v>
      </c>
      <c r="Q51" s="4449" t="s">
        <v>199</v>
      </c>
      <c r="R51" s="4450" t="s">
        <v>199</v>
      </c>
      <c r="S51" s="4450" t="s">
        <v>199</v>
      </c>
      <c r="T51" s="4451" t="s">
        <v>199</v>
      </c>
      <c r="U51" s="4451" t="s">
        <v>199</v>
      </c>
      <c r="V51" s="4451" t="s">
        <v>199</v>
      </c>
      <c r="W51" s="4451" t="s">
        <v>199</v>
      </c>
      <c r="X51" s="4451" t="s">
        <v>199</v>
      </c>
      <c r="Y51" s="4451" t="s">
        <v>199</v>
      </c>
      <c r="Z51" s="4451" t="s">
        <v>199</v>
      </c>
      <c r="AA51" s="4451" t="s">
        <v>199</v>
      </c>
      <c r="AB51" s="4452" t="s">
        <v>199</v>
      </c>
    </row>
    <row r="52" spans="2:28" s="84" customFormat="1" ht="13.5" x14ac:dyDescent="0.2">
      <c r="B52" s="1056"/>
      <c r="C52" s="1649"/>
      <c r="D52" s="1649"/>
      <c r="E52" s="1649"/>
      <c r="F52" s="1649"/>
      <c r="G52" s="1649"/>
      <c r="H52" s="1649"/>
      <c r="I52" s="1649"/>
      <c r="J52" s="1649"/>
      <c r="K52" s="1649"/>
      <c r="M52" s="4515" t="s">
        <v>1081</v>
      </c>
      <c r="N52" s="4516"/>
      <c r="O52" s="1693" t="s">
        <v>1051</v>
      </c>
      <c r="P52" s="1694" t="s">
        <v>1039</v>
      </c>
      <c r="Q52" s="4444" t="s">
        <v>199</v>
      </c>
      <c r="R52" s="4445" t="s">
        <v>199</v>
      </c>
      <c r="S52" s="4445" t="s">
        <v>199</v>
      </c>
      <c r="T52" s="4446" t="s">
        <v>199</v>
      </c>
      <c r="U52" s="4446" t="s">
        <v>199</v>
      </c>
      <c r="V52" s="4446" t="s">
        <v>199</v>
      </c>
      <c r="W52" s="4446" t="s">
        <v>199</v>
      </c>
      <c r="X52" s="4446" t="s">
        <v>199</v>
      </c>
      <c r="Y52" s="4446" t="s">
        <v>199</v>
      </c>
      <c r="Z52" s="4446" t="s">
        <v>199</v>
      </c>
      <c r="AA52" s="4446" t="s">
        <v>199</v>
      </c>
      <c r="AB52" s="4447" t="s">
        <v>199</v>
      </c>
    </row>
    <row r="53" spans="2:28" s="84" customFormat="1" ht="15.75" customHeight="1" x14ac:dyDescent="0.2">
      <c r="B53" s="1056"/>
      <c r="C53" s="1649"/>
      <c r="D53" s="1649"/>
      <c r="E53" s="1649"/>
      <c r="F53" s="1649"/>
      <c r="G53" s="1649"/>
      <c r="H53" s="1649"/>
      <c r="I53" s="1649"/>
      <c r="J53" s="1649"/>
      <c r="K53" s="1649"/>
      <c r="M53" s="4517"/>
      <c r="N53" s="4518"/>
      <c r="O53" s="1695" t="s">
        <v>1042</v>
      </c>
      <c r="P53" s="1696" t="s">
        <v>1040</v>
      </c>
      <c r="Q53" s="4448" t="s">
        <v>199</v>
      </c>
      <c r="R53" s="4165" t="s">
        <v>199</v>
      </c>
      <c r="S53" s="4165" t="s">
        <v>199</v>
      </c>
      <c r="T53" s="4166" t="s">
        <v>199</v>
      </c>
      <c r="U53" s="4166" t="s">
        <v>199</v>
      </c>
      <c r="V53" s="4166" t="s">
        <v>199</v>
      </c>
      <c r="W53" s="4166" t="s">
        <v>199</v>
      </c>
      <c r="X53" s="4166">
        <v>100</v>
      </c>
      <c r="Y53" s="4166" t="s">
        <v>199</v>
      </c>
      <c r="Z53" s="4166" t="s">
        <v>199</v>
      </c>
      <c r="AA53" s="4166" t="s">
        <v>199</v>
      </c>
      <c r="AB53" s="4140" t="s">
        <v>199</v>
      </c>
    </row>
    <row r="54" spans="2:28" s="84" customFormat="1" ht="14.25" thickBot="1" x14ac:dyDescent="0.25">
      <c r="B54" s="1056"/>
      <c r="C54" s="1649"/>
      <c r="D54" s="1649"/>
      <c r="E54" s="1649"/>
      <c r="F54" s="1649"/>
      <c r="G54" s="1649"/>
      <c r="H54" s="1649"/>
      <c r="I54" s="1649"/>
      <c r="J54" s="1649"/>
      <c r="K54" s="1649"/>
      <c r="M54" s="4517"/>
      <c r="N54" s="4518"/>
      <c r="O54" s="1697"/>
      <c r="P54" s="1696" t="s">
        <v>1041</v>
      </c>
      <c r="Q54" s="4449" t="s">
        <v>199</v>
      </c>
      <c r="R54" s="4450" t="s">
        <v>199</v>
      </c>
      <c r="S54" s="4450" t="s">
        <v>199</v>
      </c>
      <c r="T54" s="4451" t="s">
        <v>199</v>
      </c>
      <c r="U54" s="4451" t="s">
        <v>199</v>
      </c>
      <c r="V54" s="4451" t="s">
        <v>199</v>
      </c>
      <c r="W54" s="4451" t="s">
        <v>199</v>
      </c>
      <c r="X54" s="4451" t="s">
        <v>199</v>
      </c>
      <c r="Y54" s="4451" t="s">
        <v>199</v>
      </c>
      <c r="Z54" s="4451" t="s">
        <v>199</v>
      </c>
      <c r="AA54" s="4451" t="s">
        <v>199</v>
      </c>
      <c r="AB54" s="4452" t="s">
        <v>199</v>
      </c>
    </row>
    <row r="55" spans="2:28" s="84" customFormat="1" ht="13.5" x14ac:dyDescent="0.2">
      <c r="B55" s="1056"/>
      <c r="C55" s="1649"/>
      <c r="D55" s="1649"/>
      <c r="E55" s="1649"/>
      <c r="F55" s="1649"/>
      <c r="G55" s="1649"/>
      <c r="H55" s="1649"/>
      <c r="I55" s="1649"/>
      <c r="J55" s="1649"/>
      <c r="K55" s="1649"/>
      <c r="M55" s="4517"/>
      <c r="N55" s="4518"/>
      <c r="O55" s="1698" t="s">
        <v>1054</v>
      </c>
      <c r="P55" s="1694" t="s">
        <v>1039</v>
      </c>
      <c r="Q55" s="4453" t="s">
        <v>199</v>
      </c>
      <c r="R55" s="4454" t="s">
        <v>199</v>
      </c>
      <c r="S55" s="4454" t="s">
        <v>199</v>
      </c>
      <c r="T55" s="4455" t="s">
        <v>199</v>
      </c>
      <c r="U55" s="4455" t="s">
        <v>199</v>
      </c>
      <c r="V55" s="4455" t="s">
        <v>199</v>
      </c>
      <c r="W55" s="4455" t="s">
        <v>199</v>
      </c>
      <c r="X55" s="4455" t="s">
        <v>199</v>
      </c>
      <c r="Y55" s="4455" t="s">
        <v>199</v>
      </c>
      <c r="Z55" s="4455" t="s">
        <v>199</v>
      </c>
      <c r="AA55" s="4455" t="s">
        <v>199</v>
      </c>
      <c r="AB55" s="4456" t="s">
        <v>199</v>
      </c>
    </row>
    <row r="56" spans="2:28" s="84" customFormat="1" ht="14.25" thickBot="1" x14ac:dyDescent="0.25">
      <c r="B56" s="1650"/>
      <c r="C56" s="987"/>
      <c r="D56" s="987"/>
      <c r="E56" s="987"/>
      <c r="F56" s="987"/>
      <c r="G56" s="987"/>
      <c r="H56" s="987"/>
      <c r="I56" s="987"/>
      <c r="J56" s="987"/>
      <c r="K56" s="987"/>
      <c r="M56" s="4517"/>
      <c r="N56" s="4518"/>
      <c r="O56" s="1699"/>
      <c r="P56" s="1696" t="s">
        <v>1040</v>
      </c>
      <c r="Q56" s="4448" t="s">
        <v>199</v>
      </c>
      <c r="R56" s="4165" t="s">
        <v>199</v>
      </c>
      <c r="S56" s="4165" t="s">
        <v>199</v>
      </c>
      <c r="T56" s="4166" t="s">
        <v>199</v>
      </c>
      <c r="U56" s="4166" t="s">
        <v>199</v>
      </c>
      <c r="V56" s="4166" t="s">
        <v>199</v>
      </c>
      <c r="W56" s="4166" t="s">
        <v>199</v>
      </c>
      <c r="X56" s="4166" t="s">
        <v>205</v>
      </c>
      <c r="Y56" s="4166" t="s">
        <v>199</v>
      </c>
      <c r="Z56" s="4166" t="s">
        <v>199</v>
      </c>
      <c r="AA56" s="4166" t="s">
        <v>199</v>
      </c>
      <c r="AB56" s="4140" t="s">
        <v>199</v>
      </c>
    </row>
    <row r="57" spans="2:28" s="84" customFormat="1" thickBot="1" x14ac:dyDescent="0.25">
      <c r="B57" s="223" t="s">
        <v>505</v>
      </c>
      <c r="C57" s="312"/>
      <c r="D57" s="312"/>
      <c r="E57" s="312"/>
      <c r="F57" s="312"/>
      <c r="G57" s="312"/>
      <c r="H57" s="312"/>
      <c r="I57" s="312"/>
      <c r="J57" s="312"/>
      <c r="K57" s="313"/>
      <c r="M57" s="4519"/>
      <c r="N57" s="4520"/>
      <c r="O57" s="1700"/>
      <c r="P57" s="1701" t="s">
        <v>1041</v>
      </c>
      <c r="Q57" s="4449" t="s">
        <v>199</v>
      </c>
      <c r="R57" s="4450" t="s">
        <v>199</v>
      </c>
      <c r="S57" s="4450" t="s">
        <v>199</v>
      </c>
      <c r="T57" s="4451" t="s">
        <v>199</v>
      </c>
      <c r="U57" s="4451" t="s">
        <v>199</v>
      </c>
      <c r="V57" s="4451" t="s">
        <v>199</v>
      </c>
      <c r="W57" s="4451" t="s">
        <v>199</v>
      </c>
      <c r="X57" s="4451" t="s">
        <v>199</v>
      </c>
      <c r="Y57" s="4451" t="s">
        <v>199</v>
      </c>
      <c r="Z57" s="4451" t="s">
        <v>199</v>
      </c>
      <c r="AA57" s="4451" t="s">
        <v>199</v>
      </c>
      <c r="AB57" s="4452" t="s">
        <v>199</v>
      </c>
    </row>
    <row r="58" spans="2:28" s="84" customFormat="1" ht="12" x14ac:dyDescent="0.2">
      <c r="B58" s="1071"/>
      <c r="C58" s="1072"/>
      <c r="D58" s="1072"/>
      <c r="E58" s="1072"/>
      <c r="F58" s="1072"/>
      <c r="G58" s="1072"/>
      <c r="H58" s="1072"/>
      <c r="I58" s="1072"/>
      <c r="J58" s="1072"/>
      <c r="K58" s="1073"/>
      <c r="M58" s="4515" t="s">
        <v>1082</v>
      </c>
      <c r="N58" s="4516"/>
      <c r="O58" s="1693" t="s">
        <v>1051</v>
      </c>
      <c r="P58" s="1694" t="s">
        <v>1039</v>
      </c>
      <c r="Q58" s="4444" t="s">
        <v>199</v>
      </c>
      <c r="R58" s="4445" t="s">
        <v>199</v>
      </c>
      <c r="S58" s="4445" t="s">
        <v>199</v>
      </c>
      <c r="T58" s="4446" t="s">
        <v>199</v>
      </c>
      <c r="U58" s="4446" t="s">
        <v>199</v>
      </c>
      <c r="V58" s="4446" t="s">
        <v>199</v>
      </c>
      <c r="W58" s="4446" t="s">
        <v>199</v>
      </c>
      <c r="X58" s="4446" t="s">
        <v>199</v>
      </c>
      <c r="Y58" s="4446" t="s">
        <v>199</v>
      </c>
      <c r="Z58" s="4446" t="s">
        <v>199</v>
      </c>
      <c r="AA58" s="4446" t="s">
        <v>199</v>
      </c>
      <c r="AB58" s="4447" t="s">
        <v>199</v>
      </c>
    </row>
    <row r="59" spans="2:28" s="84" customFormat="1" ht="12" x14ac:dyDescent="0.2">
      <c r="B59" s="364"/>
      <c r="C59" s="365"/>
      <c r="D59" s="365"/>
      <c r="E59" s="365"/>
      <c r="F59" s="365"/>
      <c r="G59" s="365"/>
      <c r="H59" s="365"/>
      <c r="I59" s="365"/>
      <c r="J59" s="365"/>
      <c r="K59" s="366"/>
      <c r="M59" s="4517"/>
      <c r="N59" s="4518"/>
      <c r="O59" s="1695" t="s">
        <v>1042</v>
      </c>
      <c r="P59" s="1696" t="s">
        <v>1040</v>
      </c>
      <c r="Q59" s="4448" t="s">
        <v>199</v>
      </c>
      <c r="R59" s="4165" t="s">
        <v>199</v>
      </c>
      <c r="S59" s="4165" t="s">
        <v>199</v>
      </c>
      <c r="T59" s="4166" t="s">
        <v>199</v>
      </c>
      <c r="U59" s="4166" t="s">
        <v>199</v>
      </c>
      <c r="V59" s="4166" t="s">
        <v>199</v>
      </c>
      <c r="W59" s="4166" t="s">
        <v>199</v>
      </c>
      <c r="X59" s="4166">
        <v>100</v>
      </c>
      <c r="Y59" s="4166" t="s">
        <v>199</v>
      </c>
      <c r="Z59" s="4166" t="s">
        <v>199</v>
      </c>
      <c r="AA59" s="4166" t="s">
        <v>199</v>
      </c>
      <c r="AB59" s="4140" t="s">
        <v>199</v>
      </c>
    </row>
    <row r="60" spans="2:28" s="84" customFormat="1" thickBot="1" x14ac:dyDescent="0.25">
      <c r="B60" s="998"/>
      <c r="C60" s="999"/>
      <c r="D60" s="999"/>
      <c r="E60" s="999"/>
      <c r="F60" s="999"/>
      <c r="G60" s="999"/>
      <c r="H60" s="999"/>
      <c r="I60" s="999"/>
      <c r="J60" s="999"/>
      <c r="K60" s="1000"/>
      <c r="M60" s="4517"/>
      <c r="N60" s="4518"/>
      <c r="O60" s="1697"/>
      <c r="P60" s="1696" t="s">
        <v>1041</v>
      </c>
      <c r="Q60" s="4449" t="s">
        <v>199</v>
      </c>
      <c r="R60" s="4450" t="s">
        <v>199</v>
      </c>
      <c r="S60" s="4450" t="s">
        <v>199</v>
      </c>
      <c r="T60" s="4451" t="s">
        <v>199</v>
      </c>
      <c r="U60" s="4451" t="s">
        <v>199</v>
      </c>
      <c r="V60" s="4451" t="s">
        <v>199</v>
      </c>
      <c r="W60" s="4451" t="s">
        <v>199</v>
      </c>
      <c r="X60" s="4451">
        <v>100</v>
      </c>
      <c r="Y60" s="4451" t="s">
        <v>199</v>
      </c>
      <c r="Z60" s="4451" t="s">
        <v>199</v>
      </c>
      <c r="AA60" s="4451" t="s">
        <v>199</v>
      </c>
      <c r="AB60" s="4452" t="s">
        <v>199</v>
      </c>
    </row>
    <row r="61" spans="2:28" s="84" customFormat="1" ht="13.5" x14ac:dyDescent="0.2">
      <c r="B61" s="998"/>
      <c r="C61" s="999"/>
      <c r="D61" s="999"/>
      <c r="E61" s="999"/>
      <c r="F61" s="999"/>
      <c r="G61" s="999"/>
      <c r="H61" s="999"/>
      <c r="I61" s="999"/>
      <c r="J61" s="999"/>
      <c r="K61" s="1000"/>
      <c r="M61" s="4517"/>
      <c r="N61" s="4518"/>
      <c r="O61" s="1698" t="s">
        <v>1054</v>
      </c>
      <c r="P61" s="1694" t="s">
        <v>1039</v>
      </c>
      <c r="Q61" s="4453" t="s">
        <v>199</v>
      </c>
      <c r="R61" s="4454" t="s">
        <v>199</v>
      </c>
      <c r="S61" s="4454" t="s">
        <v>199</v>
      </c>
      <c r="T61" s="4455" t="s">
        <v>199</v>
      </c>
      <c r="U61" s="4455" t="s">
        <v>199</v>
      </c>
      <c r="V61" s="4455" t="s">
        <v>199</v>
      </c>
      <c r="W61" s="4455" t="s">
        <v>199</v>
      </c>
      <c r="X61" s="4455" t="s">
        <v>199</v>
      </c>
      <c r="Y61" s="4455" t="s">
        <v>199</v>
      </c>
      <c r="Z61" s="4455" t="s">
        <v>199</v>
      </c>
      <c r="AA61" s="4455" t="s">
        <v>199</v>
      </c>
      <c r="AB61" s="4456" t="s">
        <v>199</v>
      </c>
    </row>
    <row r="62" spans="2:28" s="84" customFormat="1" ht="12" x14ac:dyDescent="0.2">
      <c r="B62" s="998"/>
      <c r="C62" s="999"/>
      <c r="D62" s="999"/>
      <c r="E62" s="999"/>
      <c r="F62" s="999"/>
      <c r="G62" s="999"/>
      <c r="H62" s="999"/>
      <c r="I62" s="999"/>
      <c r="J62" s="999"/>
      <c r="K62" s="1000"/>
      <c r="M62" s="4517"/>
      <c r="N62" s="4518"/>
      <c r="O62" s="1699"/>
      <c r="P62" s="1696" t="s">
        <v>1040</v>
      </c>
      <c r="Q62" s="4448" t="s">
        <v>199</v>
      </c>
      <c r="R62" s="4165" t="s">
        <v>199</v>
      </c>
      <c r="S62" s="4165" t="s">
        <v>199</v>
      </c>
      <c r="T62" s="4166" t="s">
        <v>199</v>
      </c>
      <c r="U62" s="4166" t="s">
        <v>199</v>
      </c>
      <c r="V62" s="4166" t="s">
        <v>199</v>
      </c>
      <c r="W62" s="4166" t="s">
        <v>199</v>
      </c>
      <c r="X62" s="4166" t="s">
        <v>205</v>
      </c>
      <c r="Y62" s="4166" t="s">
        <v>199</v>
      </c>
      <c r="Z62" s="4166" t="s">
        <v>199</v>
      </c>
      <c r="AA62" s="4166" t="s">
        <v>199</v>
      </c>
      <c r="AB62" s="4140" t="s">
        <v>199</v>
      </c>
    </row>
    <row r="63" spans="2:28" s="84" customFormat="1" thickBot="1" x14ac:dyDescent="0.25">
      <c r="B63" s="1001"/>
      <c r="C63" s="1002"/>
      <c r="D63" s="1002"/>
      <c r="E63" s="1002"/>
      <c r="F63" s="1002"/>
      <c r="G63" s="1002"/>
      <c r="H63" s="1002"/>
      <c r="I63" s="1002"/>
      <c r="J63" s="1002"/>
      <c r="K63" s="1003"/>
      <c r="M63" s="4519"/>
      <c r="N63" s="4520"/>
      <c r="O63" s="1700"/>
      <c r="P63" s="1701" t="s">
        <v>1041</v>
      </c>
      <c r="Q63" s="4449" t="s">
        <v>199</v>
      </c>
      <c r="R63" s="4450" t="s">
        <v>199</v>
      </c>
      <c r="S63" s="4450" t="s">
        <v>199</v>
      </c>
      <c r="T63" s="4451" t="s">
        <v>199</v>
      </c>
      <c r="U63" s="4451" t="s">
        <v>199</v>
      </c>
      <c r="V63" s="4451" t="s">
        <v>199</v>
      </c>
      <c r="W63" s="4451" t="s">
        <v>199</v>
      </c>
      <c r="X63" s="4451" t="s">
        <v>199</v>
      </c>
      <c r="Y63" s="4451" t="s">
        <v>199</v>
      </c>
      <c r="Z63" s="4451" t="s">
        <v>199</v>
      </c>
      <c r="AA63" s="4451" t="s">
        <v>199</v>
      </c>
      <c r="AB63" s="4452"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509" t="s">
        <v>1083</v>
      </c>
      <c r="C65" s="4510"/>
      <c r="D65" s="4510"/>
      <c r="E65" s="4510"/>
      <c r="F65" s="4510"/>
      <c r="G65" s="4510"/>
      <c r="H65" s="4510"/>
      <c r="I65" s="4510"/>
      <c r="J65" s="4510"/>
      <c r="K65" s="4511"/>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2460</v>
      </c>
    </row>
    <row r="2" spans="1:26" ht="17.25" customHeight="1" x14ac:dyDescent="0.2">
      <c r="B2" s="3" t="s">
        <v>1085</v>
      </c>
      <c r="R2" s="2"/>
      <c r="X2" s="2"/>
      <c r="Y2" s="2"/>
      <c r="Z2" s="14" t="s">
        <v>2461</v>
      </c>
    </row>
    <row r="3" spans="1:26" ht="15.75" customHeight="1" x14ac:dyDescent="0.2">
      <c r="B3" s="3" t="s">
        <v>162</v>
      </c>
      <c r="R3" s="2"/>
      <c r="X3" s="2"/>
      <c r="Y3" s="2"/>
      <c r="Z3" s="14" t="s">
        <v>163</v>
      </c>
    </row>
    <row r="4" spans="1:26" ht="15.75" customHeight="1" thickBot="1" x14ac:dyDescent="0.25">
      <c r="B4" s="2471"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2">
        <f>C15</f>
        <v>28036.887999999999</v>
      </c>
      <c r="D10" s="3453"/>
      <c r="E10" s="3454"/>
      <c r="F10" s="3441">
        <f>F15</f>
        <v>28402438.020488694</v>
      </c>
      <c r="G10" s="3441" t="str">
        <f t="shared" ref="G10:R10" si="0">G15</f>
        <v>NO</v>
      </c>
      <c r="H10" s="3441">
        <f t="shared" si="0"/>
        <v>8604665.8031302392</v>
      </c>
      <c r="I10" s="3441">
        <f t="shared" si="0"/>
        <v>18807614.563018065</v>
      </c>
      <c r="J10" s="3441" t="str">
        <f t="shared" si="0"/>
        <v>NO</v>
      </c>
      <c r="K10" s="3441">
        <f t="shared" si="0"/>
        <v>64762864.772976369</v>
      </c>
      <c r="L10" s="3441" t="str">
        <f t="shared" si="0"/>
        <v>NO</v>
      </c>
      <c r="M10" s="3441">
        <f t="shared" si="0"/>
        <v>1172753681.4322906</v>
      </c>
      <c r="N10" s="3441">
        <f t="shared" si="0"/>
        <v>9268084.0519311074</v>
      </c>
      <c r="O10" s="3441" t="str">
        <f t="shared" si="0"/>
        <v>NO</v>
      </c>
      <c r="P10" s="3441" t="str">
        <f t="shared" si="0"/>
        <v>NO</v>
      </c>
      <c r="Q10" s="3441" t="str">
        <f t="shared" si="0"/>
        <v>NO</v>
      </c>
      <c r="R10" s="3441">
        <f t="shared" si="0"/>
        <v>1302599348.6438351</v>
      </c>
      <c r="S10" s="2670"/>
      <c r="T10" s="2671"/>
      <c r="U10" s="3419">
        <f>IF(SUM(X10)=0,"NA",X10*1000/C10)</f>
        <v>3.0066625155673547E-2</v>
      </c>
      <c r="V10" s="3411"/>
      <c r="W10" s="3412"/>
      <c r="X10" s="3278">
        <f t="shared" ref="X10" si="1">X15</f>
        <v>0.84297460202760177</v>
      </c>
      <c r="Y10" s="3328"/>
      <c r="Z10" s="3413"/>
    </row>
    <row r="11" spans="1:26" ht="18" customHeight="1" x14ac:dyDescent="0.2">
      <c r="B11" s="1744" t="s">
        <v>925</v>
      </c>
      <c r="C11" s="3455"/>
      <c r="D11" s="3455"/>
      <c r="E11" s="3455"/>
      <c r="F11" s="2672"/>
      <c r="G11" s="2672"/>
      <c r="H11" s="2672"/>
      <c r="I11" s="2672"/>
      <c r="J11" s="2672"/>
      <c r="K11" s="2672"/>
      <c r="L11" s="2672"/>
      <c r="M11" s="2672"/>
      <c r="N11" s="2672"/>
      <c r="O11" s="2672"/>
      <c r="P11" s="2672"/>
      <c r="Q11" s="2672"/>
      <c r="R11" s="2673"/>
      <c r="S11" s="2674"/>
      <c r="T11" s="2675"/>
      <c r="U11" s="3414"/>
      <c r="V11" s="3415"/>
      <c r="W11" s="3416"/>
      <c r="X11" s="3279"/>
      <c r="Y11" s="3417"/>
      <c r="Z11" s="3418"/>
    </row>
    <row r="12" spans="1:26" ht="18" customHeight="1" x14ac:dyDescent="0.2">
      <c r="B12" s="1739" t="s">
        <v>935</v>
      </c>
      <c r="C12" s="3274"/>
      <c r="D12" s="3274"/>
      <c r="E12" s="3281"/>
      <c r="F12" s="3442"/>
      <c r="G12" s="3442"/>
      <c r="H12" s="3442"/>
      <c r="I12" s="3442"/>
      <c r="J12" s="3442"/>
      <c r="K12" s="3442"/>
      <c r="L12" s="3442"/>
      <c r="M12" s="3442"/>
      <c r="N12" s="3442"/>
      <c r="O12" s="3442"/>
      <c r="P12" s="3442"/>
      <c r="Q12" s="3442"/>
      <c r="R12" s="2668"/>
      <c r="S12" s="2676"/>
      <c r="T12" s="2677"/>
      <c r="U12" s="3419"/>
      <c r="V12" s="3417"/>
      <c r="W12" s="3418"/>
      <c r="X12" s="3277"/>
      <c r="Y12" s="3142"/>
      <c r="Z12" s="3420"/>
    </row>
    <row r="13" spans="1:26" ht="18" customHeight="1" x14ac:dyDescent="0.2">
      <c r="B13" s="1739" t="s">
        <v>936</v>
      </c>
      <c r="C13" s="3274"/>
      <c r="D13" s="3274"/>
      <c r="E13" s="3281"/>
      <c r="F13" s="3442"/>
      <c r="G13" s="3442"/>
      <c r="H13" s="3442"/>
      <c r="I13" s="3442"/>
      <c r="J13" s="3442"/>
      <c r="K13" s="3442"/>
      <c r="L13" s="3442"/>
      <c r="M13" s="3442"/>
      <c r="N13" s="3442"/>
      <c r="O13" s="3442"/>
      <c r="P13" s="3442"/>
      <c r="Q13" s="3442"/>
      <c r="R13" s="2668"/>
      <c r="S13" s="2676"/>
      <c r="T13" s="2677"/>
      <c r="U13" s="3419"/>
      <c r="V13" s="3417"/>
      <c r="W13" s="3418"/>
      <c r="X13" s="3277"/>
      <c r="Y13" s="3142"/>
      <c r="Z13" s="3420"/>
    </row>
    <row r="14" spans="1:26" ht="18" customHeight="1" x14ac:dyDescent="0.2">
      <c r="B14" s="1744" t="s">
        <v>1114</v>
      </c>
      <c r="C14" s="3456"/>
      <c r="D14" s="3456"/>
      <c r="E14" s="3456"/>
      <c r="F14" s="3236"/>
      <c r="G14" s="3236"/>
      <c r="H14" s="3236"/>
      <c r="I14" s="3236"/>
      <c r="J14" s="3236"/>
      <c r="K14" s="3236"/>
      <c r="L14" s="3236"/>
      <c r="M14" s="3236"/>
      <c r="N14" s="3236"/>
      <c r="O14" s="3236"/>
      <c r="P14" s="3236"/>
      <c r="Q14" s="3236"/>
      <c r="R14" s="3443"/>
      <c r="S14" s="2676"/>
      <c r="T14" s="2677"/>
      <c r="U14" s="3279"/>
      <c r="V14" s="3417"/>
      <c r="W14" s="3418"/>
      <c r="X14" s="3280"/>
      <c r="Y14" s="3142"/>
      <c r="Z14" s="3420"/>
    </row>
    <row r="15" spans="1:26" ht="18" customHeight="1" x14ac:dyDescent="0.2">
      <c r="B15" s="348" t="s">
        <v>1055</v>
      </c>
      <c r="C15" s="3281">
        <f>C20</f>
        <v>28036.887999999999</v>
      </c>
      <c r="D15" s="3456"/>
      <c r="E15" s="3456"/>
      <c r="F15" s="2668">
        <f>F20</f>
        <v>28402438.020488694</v>
      </c>
      <c r="G15" s="2668" t="str">
        <f t="shared" ref="G15:R15" si="2">G20</f>
        <v>NO</v>
      </c>
      <c r="H15" s="2668">
        <f t="shared" si="2"/>
        <v>8604665.8031302392</v>
      </c>
      <c r="I15" s="2668">
        <f t="shared" si="2"/>
        <v>18807614.563018065</v>
      </c>
      <c r="J15" s="2668" t="str">
        <f t="shared" si="2"/>
        <v>NO</v>
      </c>
      <c r="K15" s="2668">
        <f t="shared" si="2"/>
        <v>64762864.772976369</v>
      </c>
      <c r="L15" s="2668" t="str">
        <f t="shared" si="2"/>
        <v>NO</v>
      </c>
      <c r="M15" s="2668">
        <f t="shared" si="2"/>
        <v>1172753681.4322906</v>
      </c>
      <c r="N15" s="2668">
        <f t="shared" si="2"/>
        <v>9268084.0519311074</v>
      </c>
      <c r="O15" s="2668" t="str">
        <f t="shared" si="2"/>
        <v>NO</v>
      </c>
      <c r="P15" s="2668" t="str">
        <f t="shared" si="2"/>
        <v>NO</v>
      </c>
      <c r="Q15" s="2668" t="str">
        <f t="shared" si="2"/>
        <v>NO</v>
      </c>
      <c r="R15" s="2668">
        <f t="shared" si="2"/>
        <v>1302599348.6438351</v>
      </c>
      <c r="S15" s="2676"/>
      <c r="T15" s="2677"/>
      <c r="U15" s="3419">
        <f>IF(SUM(X15)=0,"NA",X15*1000/C15)</f>
        <v>3.0066625155673547E-2</v>
      </c>
      <c r="V15" s="3417"/>
      <c r="W15" s="3418"/>
      <c r="X15" s="3281">
        <f t="shared" ref="X15" si="3">X20</f>
        <v>0.84297460202760177</v>
      </c>
      <c r="Y15" s="3142"/>
      <c r="Z15" s="3420"/>
    </row>
    <row r="16" spans="1:26" ht="18" customHeight="1" x14ac:dyDescent="0.2">
      <c r="B16" s="1742" t="s">
        <v>1115</v>
      </c>
      <c r="C16" s="3456"/>
      <c r="D16" s="3456"/>
      <c r="E16" s="3456"/>
      <c r="F16" s="3236"/>
      <c r="G16" s="3236"/>
      <c r="H16" s="3236"/>
      <c r="I16" s="3236"/>
      <c r="J16" s="3236"/>
      <c r="K16" s="3236"/>
      <c r="L16" s="3236"/>
      <c r="M16" s="3236"/>
      <c r="N16" s="3236"/>
      <c r="O16" s="3236"/>
      <c r="P16" s="3236"/>
      <c r="Q16" s="3236"/>
      <c r="R16" s="3443"/>
      <c r="S16" s="2676"/>
      <c r="T16" s="2677"/>
      <c r="U16" s="3279"/>
      <c r="V16" s="3417"/>
      <c r="W16" s="3418"/>
      <c r="X16" s="3280"/>
      <c r="Y16" s="3142"/>
      <c r="Z16" s="3420"/>
    </row>
    <row r="17" spans="2:26" ht="18" customHeight="1" x14ac:dyDescent="0.2">
      <c r="B17" s="1745" t="s">
        <v>1057</v>
      </c>
      <c r="C17" s="3290" t="s">
        <v>205</v>
      </c>
      <c r="D17" s="3290" t="s">
        <v>205</v>
      </c>
      <c r="E17" s="3457" t="str">
        <f>'Table3.B(a)'!G17</f>
        <v>NA</v>
      </c>
      <c r="F17" s="3444" t="s">
        <v>205</v>
      </c>
      <c r="G17" s="3444" t="s">
        <v>205</v>
      </c>
      <c r="H17" s="3444" t="s">
        <v>205</v>
      </c>
      <c r="I17" s="3444" t="s">
        <v>205</v>
      </c>
      <c r="J17" s="3444" t="s">
        <v>205</v>
      </c>
      <c r="K17" s="3444" t="s">
        <v>205</v>
      </c>
      <c r="L17" s="3444" t="s">
        <v>205</v>
      </c>
      <c r="M17" s="3444" t="s">
        <v>205</v>
      </c>
      <c r="N17" s="3444" t="s">
        <v>205</v>
      </c>
      <c r="O17" s="3444" t="s">
        <v>205</v>
      </c>
      <c r="P17" s="3444" t="s">
        <v>205</v>
      </c>
      <c r="Q17" s="3444" t="s">
        <v>205</v>
      </c>
      <c r="R17" s="3445" t="str">
        <f>IF(SUM(F17:Q17)=0,"NA",SUM(F17:Q17))</f>
        <v>NA</v>
      </c>
      <c r="S17" s="2678"/>
      <c r="T17" s="2679"/>
      <c r="U17" s="3419" t="str">
        <f t="shared" ref="U17:U21" si="4">IF(SUM(X17)=0,"NA",X17*1000/C17)</f>
        <v>NA</v>
      </c>
      <c r="V17" s="3421"/>
      <c r="W17" s="3422"/>
      <c r="X17" s="3282" t="s">
        <v>205</v>
      </c>
      <c r="Y17" s="3423"/>
      <c r="Z17" s="3424"/>
    </row>
    <row r="18" spans="2:26" ht="18" customHeight="1" x14ac:dyDescent="0.2">
      <c r="B18" s="1745" t="s">
        <v>1058</v>
      </c>
      <c r="C18" s="3290" t="s">
        <v>205</v>
      </c>
      <c r="D18" s="3290" t="s">
        <v>205</v>
      </c>
      <c r="E18" s="3457" t="str">
        <f>'Table3.B(a)'!G18</f>
        <v>NA</v>
      </c>
      <c r="F18" s="3444" t="s">
        <v>205</v>
      </c>
      <c r="G18" s="3444" t="s">
        <v>205</v>
      </c>
      <c r="H18" s="3444" t="s">
        <v>205</v>
      </c>
      <c r="I18" s="3444" t="s">
        <v>205</v>
      </c>
      <c r="J18" s="3444" t="s">
        <v>205</v>
      </c>
      <c r="K18" s="3444" t="s">
        <v>205</v>
      </c>
      <c r="L18" s="3444" t="s">
        <v>205</v>
      </c>
      <c r="M18" s="3444" t="s">
        <v>205</v>
      </c>
      <c r="N18" s="3444" t="s">
        <v>205</v>
      </c>
      <c r="O18" s="3444" t="s">
        <v>205</v>
      </c>
      <c r="P18" s="3444" t="s">
        <v>205</v>
      </c>
      <c r="Q18" s="3444" t="s">
        <v>205</v>
      </c>
      <c r="R18" s="3445" t="str">
        <f t="shared" ref="R18:R19" si="5">IF(SUM(F18:Q18)=0,"NA",SUM(F18:Q18))</f>
        <v>NA</v>
      </c>
      <c r="S18" s="2678"/>
      <c r="T18" s="2679"/>
      <c r="U18" s="3419" t="str">
        <f t="shared" si="4"/>
        <v>NA</v>
      </c>
      <c r="V18" s="3421"/>
      <c r="W18" s="3422"/>
      <c r="X18" s="3282" t="s">
        <v>205</v>
      </c>
      <c r="Y18" s="3423"/>
      <c r="Z18" s="3424"/>
    </row>
    <row r="19" spans="2:26" ht="18" customHeight="1" x14ac:dyDescent="0.2">
      <c r="B19" s="1745" t="s">
        <v>1059</v>
      </c>
      <c r="C19" s="3290" t="s">
        <v>205</v>
      </c>
      <c r="D19" s="3290" t="s">
        <v>205</v>
      </c>
      <c r="E19" s="3457" t="str">
        <f>'Table3.B(a)'!G19</f>
        <v>NA</v>
      </c>
      <c r="F19" s="3444" t="s">
        <v>205</v>
      </c>
      <c r="G19" s="3444" t="s">
        <v>205</v>
      </c>
      <c r="H19" s="3444" t="s">
        <v>205</v>
      </c>
      <c r="I19" s="3444" t="s">
        <v>205</v>
      </c>
      <c r="J19" s="3444" t="s">
        <v>205</v>
      </c>
      <c r="K19" s="3444" t="s">
        <v>205</v>
      </c>
      <c r="L19" s="3444" t="s">
        <v>205</v>
      </c>
      <c r="M19" s="3444" t="s">
        <v>205</v>
      </c>
      <c r="N19" s="3444" t="s">
        <v>205</v>
      </c>
      <c r="O19" s="3444" t="s">
        <v>205</v>
      </c>
      <c r="P19" s="3444" t="s">
        <v>205</v>
      </c>
      <c r="Q19" s="3444" t="s">
        <v>205</v>
      </c>
      <c r="R19" s="3445" t="str">
        <f t="shared" si="5"/>
        <v>NA</v>
      </c>
      <c r="S19" s="2678"/>
      <c r="T19" s="2679"/>
      <c r="U19" s="3419" t="str">
        <f t="shared" si="4"/>
        <v>NA</v>
      </c>
      <c r="V19" s="3421"/>
      <c r="W19" s="3422"/>
      <c r="X19" s="3282" t="s">
        <v>205</v>
      </c>
      <c r="Y19" s="3423"/>
      <c r="Z19" s="3424"/>
    </row>
    <row r="20" spans="2:26" ht="18" customHeight="1" x14ac:dyDescent="0.2">
      <c r="B20" s="1743" t="s">
        <v>1060</v>
      </c>
      <c r="C20" s="3281">
        <f>IF(SUM(C21:C23)=0,"NO",SUM(C21:C23))</f>
        <v>28036.887999999999</v>
      </c>
      <c r="D20" s="3455"/>
      <c r="E20" s="3455"/>
      <c r="F20" s="2668">
        <f>IF(SUM(F21:F23)=0,"NO",SUM(F21:F23))</f>
        <v>28402438.020488694</v>
      </c>
      <c r="G20" s="2668" t="str">
        <f t="shared" ref="G20:Q20" si="6">IF(SUM(G21:G23)=0,"NO",SUM(G21:G23))</f>
        <v>NO</v>
      </c>
      <c r="H20" s="2668">
        <f t="shared" si="6"/>
        <v>8604665.8031302392</v>
      </c>
      <c r="I20" s="2668">
        <f t="shared" si="6"/>
        <v>18807614.563018065</v>
      </c>
      <c r="J20" s="2668" t="str">
        <f t="shared" si="6"/>
        <v>NO</v>
      </c>
      <c r="K20" s="2668">
        <f t="shared" si="6"/>
        <v>64762864.772976369</v>
      </c>
      <c r="L20" s="2668" t="str">
        <f t="shared" si="6"/>
        <v>NO</v>
      </c>
      <c r="M20" s="2668">
        <f t="shared" si="6"/>
        <v>1172753681.4322906</v>
      </c>
      <c r="N20" s="2668">
        <f t="shared" si="6"/>
        <v>9268084.0519311074</v>
      </c>
      <c r="O20" s="2668" t="str">
        <f t="shared" si="6"/>
        <v>NO</v>
      </c>
      <c r="P20" s="2668" t="str">
        <f t="shared" si="6"/>
        <v>NO</v>
      </c>
      <c r="Q20" s="2668" t="str">
        <f t="shared" si="6"/>
        <v>NO</v>
      </c>
      <c r="R20" s="3445">
        <f>IF(SUM(F20:Q20)=0,"NO",SUM(F20:Q20))</f>
        <v>1302599348.6438351</v>
      </c>
      <c r="S20" s="2676"/>
      <c r="T20" s="2677"/>
      <c r="U20" s="3419">
        <f t="shared" si="4"/>
        <v>3.0066625155673547E-2</v>
      </c>
      <c r="V20" s="3417"/>
      <c r="W20" s="3418"/>
      <c r="X20" s="3281">
        <f t="shared" ref="X20" si="7">IF(SUM(X21:X23)=0,"NO",SUM(X21:X23))</f>
        <v>0.84297460202760177</v>
      </c>
      <c r="Y20" s="3142"/>
      <c r="Z20" s="3420"/>
    </row>
    <row r="21" spans="2:26" ht="18" customHeight="1" x14ac:dyDescent="0.2">
      <c r="B21" s="2666" t="s">
        <v>994</v>
      </c>
      <c r="C21" s="3458">
        <f>Table3.A!C21</f>
        <v>2663.67</v>
      </c>
      <c r="D21" s="3274">
        <v>127.97895596616819</v>
      </c>
      <c r="E21" s="3457">
        <f>'Table3.B(a)'!G21</f>
        <v>465.42371045451915</v>
      </c>
      <c r="F21" s="3442">
        <v>27236706.454575118</v>
      </c>
      <c r="G21" s="3442" t="s">
        <v>199</v>
      </c>
      <c r="H21" s="3442">
        <v>8604665.8031302392</v>
      </c>
      <c r="I21" s="3442">
        <v>5637179.3313264987</v>
      </c>
      <c r="J21" s="3442" t="s">
        <v>199</v>
      </c>
      <c r="K21" s="3442" t="s">
        <v>274</v>
      </c>
      <c r="L21" s="3442" t="s">
        <v>199</v>
      </c>
      <c r="M21" s="3442">
        <v>299415100.98732734</v>
      </c>
      <c r="N21" s="3442" t="s">
        <v>199</v>
      </c>
      <c r="O21" s="3442" t="s">
        <v>199</v>
      </c>
      <c r="P21" s="3442" t="s">
        <v>199</v>
      </c>
      <c r="Q21" s="3442" t="s">
        <v>199</v>
      </c>
      <c r="R21" s="3445">
        <f t="shared" ref="R21:R46" si="8">IF(SUM(F21:Q21)=0,"NO",SUM(F21:Q21))</f>
        <v>340893652.57635921</v>
      </c>
      <c r="S21" s="2676"/>
      <c r="T21" s="2677"/>
      <c r="U21" s="3419">
        <f t="shared" si="4"/>
        <v>1.6628232220044278E-2</v>
      </c>
      <c r="V21" s="3417"/>
      <c r="W21" s="3418"/>
      <c r="X21" s="3282">
        <v>4.4292123317565345E-2</v>
      </c>
      <c r="Y21" s="3142"/>
      <c r="Z21" s="3420"/>
    </row>
    <row r="22" spans="2:26" ht="18" customHeight="1" x14ac:dyDescent="0.2">
      <c r="B22" s="2666" t="s">
        <v>965</v>
      </c>
      <c r="C22" s="3458">
        <f>Table3.A!C22</f>
        <v>24487.758000000002</v>
      </c>
      <c r="D22" s="3274">
        <v>35.664292775691614</v>
      </c>
      <c r="E22" s="3457">
        <f>'Table3.B(a)'!G22</f>
        <v>362.87243131985679</v>
      </c>
      <c r="F22" s="3446" t="s">
        <v>199</v>
      </c>
      <c r="G22" s="3442" t="s">
        <v>199</v>
      </c>
      <c r="H22" s="3446" t="s">
        <v>199</v>
      </c>
      <c r="I22" s="3446" t="s">
        <v>199</v>
      </c>
      <c r="J22" s="3446" t="s">
        <v>199</v>
      </c>
      <c r="K22" s="3446" t="s">
        <v>199</v>
      </c>
      <c r="L22" s="3446" t="s">
        <v>199</v>
      </c>
      <c r="M22" s="3446">
        <v>873338580.4449631</v>
      </c>
      <c r="N22" s="3446" t="s">
        <v>199</v>
      </c>
      <c r="O22" s="3446" t="s">
        <v>199</v>
      </c>
      <c r="P22" s="3446" t="s">
        <v>199</v>
      </c>
      <c r="Q22" s="3446" t="s">
        <v>199</v>
      </c>
      <c r="R22" s="3445">
        <f t="shared" si="8"/>
        <v>873338580.4449631</v>
      </c>
      <c r="S22" s="2676"/>
      <c r="T22" s="2677"/>
      <c r="U22" s="3419" t="str">
        <f>IF(SUM(X22)=0,"NA",X22*1000/C22)</f>
        <v>NA</v>
      </c>
      <c r="V22" s="3417"/>
      <c r="W22" s="3418"/>
      <c r="X22" s="3282" t="s">
        <v>205</v>
      </c>
      <c r="Y22" s="3142"/>
      <c r="Z22" s="3420"/>
    </row>
    <row r="23" spans="2:26" ht="18" customHeight="1" x14ac:dyDescent="0.2">
      <c r="B23" s="2666" t="s">
        <v>966</v>
      </c>
      <c r="C23" s="3458">
        <f>Table3.A!C23</f>
        <v>885.46</v>
      </c>
      <c r="D23" s="3274">
        <v>73.140363852051308</v>
      </c>
      <c r="E23" s="3457">
        <f>'Table3.B(a)'!G23</f>
        <v>530.79689268128595</v>
      </c>
      <c r="F23" s="3446">
        <v>1165731.5659135748</v>
      </c>
      <c r="G23" s="3442" t="s">
        <v>199</v>
      </c>
      <c r="H23" s="3446" t="s">
        <v>199</v>
      </c>
      <c r="I23" s="3446">
        <v>13170435.231691567</v>
      </c>
      <c r="J23" s="3446" t="s">
        <v>274</v>
      </c>
      <c r="K23" s="3446">
        <v>64762864.772976369</v>
      </c>
      <c r="L23" s="3446" t="s">
        <v>199</v>
      </c>
      <c r="M23" s="3446" t="s">
        <v>199</v>
      </c>
      <c r="N23" s="3446">
        <v>9268084.0519311074</v>
      </c>
      <c r="O23" s="3446" t="s">
        <v>199</v>
      </c>
      <c r="P23" s="3446" t="s">
        <v>199</v>
      </c>
      <c r="Q23" s="3446" t="s">
        <v>199</v>
      </c>
      <c r="R23" s="3445">
        <f t="shared" si="8"/>
        <v>88367115.622512624</v>
      </c>
      <c r="S23" s="2676"/>
      <c r="T23" s="2677"/>
      <c r="U23" s="3419">
        <f t="shared" ref="U23:U30" si="9">IF(SUM(X23)=0,"NA",X23*1000/C23)</f>
        <v>0.90199724291332917</v>
      </c>
      <c r="V23" s="3417"/>
      <c r="W23" s="3418"/>
      <c r="X23" s="3282">
        <v>0.79868247871003639</v>
      </c>
      <c r="Y23" s="3142"/>
      <c r="Z23" s="3420"/>
    </row>
    <row r="24" spans="2:26" ht="18" customHeight="1" x14ac:dyDescent="0.2">
      <c r="B24" s="349" t="s">
        <v>1062</v>
      </c>
      <c r="C24" s="3281">
        <f>C25</f>
        <v>85711.178</v>
      </c>
      <c r="D24" s="3455"/>
      <c r="E24" s="3455"/>
      <c r="F24" s="2668" t="str">
        <f>F25</f>
        <v>NO</v>
      </c>
      <c r="G24" s="2668" t="str">
        <f t="shared" ref="G24:Q25" si="10">G25</f>
        <v>NO</v>
      </c>
      <c r="H24" s="2668" t="str">
        <f t="shared" si="10"/>
        <v>NO</v>
      </c>
      <c r="I24" s="2668" t="str">
        <f t="shared" si="10"/>
        <v>NO</v>
      </c>
      <c r="J24" s="2668" t="str">
        <f t="shared" si="10"/>
        <v>NO</v>
      </c>
      <c r="K24" s="2668" t="str">
        <f t="shared" si="10"/>
        <v>NO</v>
      </c>
      <c r="L24" s="2668" t="str">
        <f t="shared" si="10"/>
        <v>NO</v>
      </c>
      <c r="M24" s="2668">
        <f t="shared" si="10"/>
        <v>603542176.80620468</v>
      </c>
      <c r="N24" s="2668" t="str">
        <f t="shared" si="10"/>
        <v>NO</v>
      </c>
      <c r="O24" s="2668" t="str">
        <f t="shared" si="10"/>
        <v>NO</v>
      </c>
      <c r="P24" s="2668" t="str">
        <f t="shared" si="10"/>
        <v>NO</v>
      </c>
      <c r="Q24" s="2668" t="str">
        <f t="shared" si="10"/>
        <v>NO</v>
      </c>
      <c r="R24" s="3445">
        <f t="shared" si="8"/>
        <v>603542176.80620468</v>
      </c>
      <c r="S24" s="2676"/>
      <c r="T24" s="2677"/>
      <c r="U24" s="3419" t="str">
        <f t="shared" si="9"/>
        <v>NA</v>
      </c>
      <c r="V24" s="3417"/>
      <c r="W24" s="3418"/>
      <c r="X24" s="3281" t="str">
        <f t="shared" ref="X24:X25" si="11">X25</f>
        <v>NA</v>
      </c>
      <c r="Y24" s="3142"/>
      <c r="Z24" s="3420"/>
    </row>
    <row r="25" spans="2:26" ht="18" customHeight="1" x14ac:dyDescent="0.2">
      <c r="B25" s="348" t="s">
        <v>1063</v>
      </c>
      <c r="C25" s="3281">
        <f>C26</f>
        <v>85711.178</v>
      </c>
      <c r="D25" s="3455"/>
      <c r="E25" s="3455"/>
      <c r="F25" s="2668" t="str">
        <f>F26</f>
        <v>NO</v>
      </c>
      <c r="G25" s="2668" t="str">
        <f t="shared" si="10"/>
        <v>NO</v>
      </c>
      <c r="H25" s="2668" t="str">
        <f t="shared" si="10"/>
        <v>NO</v>
      </c>
      <c r="I25" s="2668" t="str">
        <f t="shared" si="10"/>
        <v>NO</v>
      </c>
      <c r="J25" s="2668" t="str">
        <f t="shared" si="10"/>
        <v>NO</v>
      </c>
      <c r="K25" s="2668" t="str">
        <f t="shared" si="10"/>
        <v>NO</v>
      </c>
      <c r="L25" s="2668" t="str">
        <f t="shared" si="10"/>
        <v>NO</v>
      </c>
      <c r="M25" s="2668">
        <f t="shared" si="10"/>
        <v>603542176.80620468</v>
      </c>
      <c r="N25" s="2668" t="str">
        <f t="shared" si="10"/>
        <v>NO</v>
      </c>
      <c r="O25" s="2668" t="str">
        <f t="shared" si="10"/>
        <v>NO</v>
      </c>
      <c r="P25" s="2668" t="str">
        <f t="shared" si="10"/>
        <v>NO</v>
      </c>
      <c r="Q25" s="2668" t="str">
        <f t="shared" si="10"/>
        <v>NO</v>
      </c>
      <c r="R25" s="3445">
        <f t="shared" si="8"/>
        <v>603542176.80620468</v>
      </c>
      <c r="S25" s="2676"/>
      <c r="T25" s="2677"/>
      <c r="U25" s="3419" t="str">
        <f t="shared" si="9"/>
        <v>NA</v>
      </c>
      <c r="V25" s="3417"/>
      <c r="W25" s="3418"/>
      <c r="X25" s="3281" t="str">
        <f t="shared" si="11"/>
        <v>NA</v>
      </c>
      <c r="Y25" s="3142"/>
      <c r="Z25" s="3420"/>
    </row>
    <row r="26" spans="2:26" ht="18" customHeight="1" x14ac:dyDescent="0.2">
      <c r="B26" s="2661" t="s">
        <v>967</v>
      </c>
      <c r="C26" s="3458">
        <f>Table3.A!C26</f>
        <v>85711.178</v>
      </c>
      <c r="D26" s="3274">
        <v>7.0415806847072426</v>
      </c>
      <c r="E26" s="3457">
        <f>'Table3.B(a)'!G26</f>
        <v>45.075955774761766</v>
      </c>
      <c r="F26" s="3446" t="s">
        <v>199</v>
      </c>
      <c r="G26" s="3442" t="s">
        <v>199</v>
      </c>
      <c r="H26" s="3446" t="s">
        <v>199</v>
      </c>
      <c r="I26" s="3446" t="s">
        <v>199</v>
      </c>
      <c r="J26" s="3446" t="s">
        <v>199</v>
      </c>
      <c r="K26" s="3446" t="s">
        <v>199</v>
      </c>
      <c r="L26" s="3446" t="s">
        <v>199</v>
      </c>
      <c r="M26" s="3442">
        <v>603542176.80620468</v>
      </c>
      <c r="N26" s="3446" t="s">
        <v>199</v>
      </c>
      <c r="O26" s="3446" t="s">
        <v>199</v>
      </c>
      <c r="P26" s="3446" t="s">
        <v>199</v>
      </c>
      <c r="Q26" s="3446" t="s">
        <v>199</v>
      </c>
      <c r="R26" s="3445">
        <f t="shared" si="8"/>
        <v>603542176.80620468</v>
      </c>
      <c r="S26" s="2676"/>
      <c r="T26" s="2677"/>
      <c r="U26" s="3419" t="str">
        <f t="shared" si="9"/>
        <v>NA</v>
      </c>
      <c r="V26" s="3417"/>
      <c r="W26" s="3418"/>
      <c r="X26" s="3282" t="s">
        <v>205</v>
      </c>
      <c r="Y26" s="3142"/>
      <c r="Z26" s="3420"/>
    </row>
    <row r="27" spans="2:26" ht="18" customHeight="1" x14ac:dyDescent="0.2">
      <c r="B27" s="349" t="s">
        <v>1064</v>
      </c>
      <c r="C27" s="3281">
        <f>C28</f>
        <v>2604.681</v>
      </c>
      <c r="D27" s="3455"/>
      <c r="E27" s="3455"/>
      <c r="F27" s="2668">
        <f>F28</f>
        <v>26889731.085072093</v>
      </c>
      <c r="G27" s="2668" t="str">
        <f t="shared" ref="G27:G28" si="12">G28</f>
        <v>NO</v>
      </c>
      <c r="H27" s="2668" t="str">
        <f t="shared" ref="H27:H28" si="13">H28</f>
        <v>NO</v>
      </c>
      <c r="I27" s="2668" t="str">
        <f t="shared" ref="I27:I28" si="14">I28</f>
        <v>IE</v>
      </c>
      <c r="J27" s="2668" t="str">
        <f t="shared" ref="J27:J28" si="15">J28</f>
        <v>IE</v>
      </c>
      <c r="K27" s="2668">
        <f t="shared" ref="K27:K28" si="16">K28</f>
        <v>10198478.922044158</v>
      </c>
      <c r="L27" s="2668" t="str">
        <f t="shared" ref="L27:L28" si="17">L28</f>
        <v>IE</v>
      </c>
      <c r="M27" s="2668" t="str">
        <f t="shared" ref="M27:M28" si="18">M28</f>
        <v>NO</v>
      </c>
      <c r="N27" s="2668" t="str">
        <f t="shared" ref="N27:N28" si="19">N28</f>
        <v>NO</v>
      </c>
      <c r="O27" s="2668">
        <f t="shared" ref="O27:O28" si="20">O28</f>
        <v>237424.27712279995</v>
      </c>
      <c r="P27" s="2668" t="str">
        <f t="shared" ref="P27:P28" si="21">P28</f>
        <v>NO</v>
      </c>
      <c r="Q27" s="2668">
        <f t="shared" ref="Q27:Q28" si="22">Q28</f>
        <v>9254757.171078898</v>
      </c>
      <c r="R27" s="3445">
        <f t="shared" si="8"/>
        <v>46580391.455317952</v>
      </c>
      <c r="S27" s="2676"/>
      <c r="T27" s="2677"/>
      <c r="U27" s="3419">
        <f t="shared" si="9"/>
        <v>0.10147088094262827</v>
      </c>
      <c r="V27" s="3417"/>
      <c r="W27" s="3418"/>
      <c r="X27" s="3281">
        <f t="shared" ref="X27:X28" si="23">X28</f>
        <v>0.26429927564452593</v>
      </c>
      <c r="Y27" s="3142"/>
      <c r="Z27" s="3420"/>
    </row>
    <row r="28" spans="2:26" ht="18" customHeight="1" x14ac:dyDescent="0.2">
      <c r="B28" s="348" t="s">
        <v>1065</v>
      </c>
      <c r="C28" s="3281">
        <f>C29</f>
        <v>2604.681</v>
      </c>
      <c r="D28" s="3455"/>
      <c r="E28" s="3455"/>
      <c r="F28" s="2668">
        <f>F29</f>
        <v>26889731.085072093</v>
      </c>
      <c r="G28" s="2668" t="str">
        <f t="shared" si="12"/>
        <v>NO</v>
      </c>
      <c r="H28" s="2668" t="str">
        <f t="shared" si="13"/>
        <v>NO</v>
      </c>
      <c r="I28" s="2668" t="str">
        <f t="shared" si="14"/>
        <v>IE</v>
      </c>
      <c r="J28" s="2668" t="str">
        <f t="shared" si="15"/>
        <v>IE</v>
      </c>
      <c r="K28" s="2668">
        <f t="shared" si="16"/>
        <v>10198478.922044158</v>
      </c>
      <c r="L28" s="2668" t="str">
        <f t="shared" si="17"/>
        <v>IE</v>
      </c>
      <c r="M28" s="2668" t="str">
        <f t="shared" si="18"/>
        <v>NO</v>
      </c>
      <c r="N28" s="2668" t="str">
        <f t="shared" si="19"/>
        <v>NO</v>
      </c>
      <c r="O28" s="2668">
        <f t="shared" si="20"/>
        <v>237424.27712279995</v>
      </c>
      <c r="P28" s="2668" t="str">
        <f t="shared" si="21"/>
        <v>NO</v>
      </c>
      <c r="Q28" s="2668">
        <f t="shared" si="22"/>
        <v>9254757.171078898</v>
      </c>
      <c r="R28" s="3445">
        <f t="shared" si="8"/>
        <v>46580391.455317952</v>
      </c>
      <c r="S28" s="2676"/>
      <c r="T28" s="2677"/>
      <c r="U28" s="3419">
        <f t="shared" si="9"/>
        <v>0.10147088094262827</v>
      </c>
      <c r="V28" s="3417"/>
      <c r="W28" s="3418"/>
      <c r="X28" s="3281">
        <f t="shared" si="23"/>
        <v>0.26429927564452593</v>
      </c>
      <c r="Y28" s="3142"/>
      <c r="Z28" s="3420"/>
    </row>
    <row r="29" spans="2:26" ht="18" customHeight="1" x14ac:dyDescent="0.2">
      <c r="B29" s="2661" t="s">
        <v>968</v>
      </c>
      <c r="C29" s="3458">
        <f>Table3.A!C29</f>
        <v>2604.681</v>
      </c>
      <c r="D29" s="3274">
        <v>14.87991303097869</v>
      </c>
      <c r="E29" s="3457">
        <f>'Table3.B(a)'!G29</f>
        <v>58.125088453713389</v>
      </c>
      <c r="F29" s="3442">
        <v>26889731.085072093</v>
      </c>
      <c r="G29" s="3442" t="s">
        <v>199</v>
      </c>
      <c r="H29" s="3442" t="s">
        <v>199</v>
      </c>
      <c r="I29" s="3442" t="s">
        <v>274</v>
      </c>
      <c r="J29" s="3442" t="s">
        <v>274</v>
      </c>
      <c r="K29" s="3442">
        <v>10198478.922044158</v>
      </c>
      <c r="L29" s="3442" t="s">
        <v>274</v>
      </c>
      <c r="M29" s="3442" t="s">
        <v>199</v>
      </c>
      <c r="N29" s="3442" t="s">
        <v>199</v>
      </c>
      <c r="O29" s="3442">
        <v>237424.27712279995</v>
      </c>
      <c r="P29" s="3442" t="s">
        <v>199</v>
      </c>
      <c r="Q29" s="3442">
        <v>9254757.171078898</v>
      </c>
      <c r="R29" s="3445">
        <f t="shared" si="8"/>
        <v>46580391.455317952</v>
      </c>
      <c r="S29" s="2676"/>
      <c r="T29" s="2677"/>
      <c r="U29" s="3419">
        <f t="shared" si="9"/>
        <v>0.10147088094262827</v>
      </c>
      <c r="V29" s="3417"/>
      <c r="W29" s="3418"/>
      <c r="X29" s="3282">
        <v>0.26429927564452593</v>
      </c>
      <c r="Y29" s="3142"/>
      <c r="Z29" s="3420"/>
    </row>
    <row r="30" spans="2:26" ht="18" customHeight="1" x14ac:dyDescent="0.2">
      <c r="B30" s="349" t="s">
        <v>1116</v>
      </c>
      <c r="C30" s="3281">
        <f>IF(SUM(C32:C39)=0,"NO",SUM(C32:C39))</f>
        <v>72720.565000000002</v>
      </c>
      <c r="D30" s="3455"/>
      <c r="E30" s="3455"/>
      <c r="F30" s="2668" t="str">
        <f>IF(SUM(F32:F39)=0,"NO",SUM(F32:F39))</f>
        <v>NO</v>
      </c>
      <c r="G30" s="2668" t="str">
        <f t="shared" ref="G30:Q30" si="24">IF(SUM(G32:G39)=0,"NO",SUM(G32:G39))</f>
        <v>NO</v>
      </c>
      <c r="H30" s="2668" t="str">
        <f t="shared" si="24"/>
        <v>NO</v>
      </c>
      <c r="I30" s="2668">
        <f t="shared" si="24"/>
        <v>17792982.213132072</v>
      </c>
      <c r="J30" s="2668" t="str">
        <f t="shared" si="24"/>
        <v>NO</v>
      </c>
      <c r="K30" s="2668" t="str">
        <f t="shared" si="24"/>
        <v>NO</v>
      </c>
      <c r="L30" s="2668" t="str">
        <f t="shared" si="24"/>
        <v>NO</v>
      </c>
      <c r="M30" s="2668">
        <f t="shared" si="24"/>
        <v>16638966.593675049</v>
      </c>
      <c r="N30" s="2668">
        <f t="shared" si="24"/>
        <v>7410393.9696048489</v>
      </c>
      <c r="O30" s="2668">
        <f t="shared" si="24"/>
        <v>113959.59062612006</v>
      </c>
      <c r="P30" s="2668" t="str">
        <f t="shared" si="24"/>
        <v>NO</v>
      </c>
      <c r="Q30" s="2668">
        <f t="shared" si="24"/>
        <v>55211973.166420937</v>
      </c>
      <c r="R30" s="3445">
        <f t="shared" si="8"/>
        <v>97168275.533459038</v>
      </c>
      <c r="S30" s="2676"/>
      <c r="T30" s="2677"/>
      <c r="U30" s="3419">
        <f t="shared" si="9"/>
        <v>4.5351639866816921E-3</v>
      </c>
      <c r="V30" s="3417"/>
      <c r="W30" s="3418"/>
      <c r="X30" s="3281">
        <f t="shared" ref="X30" si="25">IF(SUM(X32:X39)=0,"NO",SUM(X32:X39))</f>
        <v>0.32979968747914512</v>
      </c>
      <c r="Y30" s="3142"/>
      <c r="Z30" s="3420"/>
    </row>
    <row r="31" spans="2:26" ht="18" customHeight="1" x14ac:dyDescent="0.2">
      <c r="B31" s="1741" t="s">
        <v>1115</v>
      </c>
      <c r="C31" s="3459"/>
      <c r="D31" s="3228"/>
      <c r="E31" s="3228"/>
      <c r="F31" s="3447"/>
      <c r="G31" s="3447"/>
      <c r="H31" s="3447"/>
      <c r="I31" s="3447"/>
      <c r="J31" s="3447"/>
      <c r="K31" s="3447"/>
      <c r="L31" s="3447"/>
      <c r="M31" s="3447"/>
      <c r="N31" s="3447"/>
      <c r="O31" s="3447"/>
      <c r="P31" s="3447"/>
      <c r="Q31" s="3447"/>
      <c r="R31" s="3447"/>
      <c r="S31" s="2680"/>
      <c r="T31" s="2680"/>
      <c r="U31" s="3228"/>
      <c r="V31" s="3228"/>
      <c r="W31" s="3228"/>
      <c r="X31" s="3228"/>
      <c r="Y31" s="3228"/>
      <c r="Z31" s="3229"/>
    </row>
    <row r="32" spans="2:26" ht="18" customHeight="1" x14ac:dyDescent="0.2">
      <c r="B32" s="348" t="s">
        <v>1067</v>
      </c>
      <c r="C32" s="3458">
        <f>Table3.A!C32</f>
        <v>2.6549999999999998</v>
      </c>
      <c r="D32" s="3274">
        <v>39.5</v>
      </c>
      <c r="E32" s="3457" t="str">
        <f>'Table3.B(a)'!G32</f>
        <v>NA</v>
      </c>
      <c r="F32" s="3442" t="s">
        <v>199</v>
      </c>
      <c r="G32" s="3442" t="s">
        <v>199</v>
      </c>
      <c r="H32" s="3442" t="s">
        <v>199</v>
      </c>
      <c r="I32" s="3442" t="s">
        <v>199</v>
      </c>
      <c r="J32" s="3442" t="s">
        <v>199</v>
      </c>
      <c r="K32" s="3442" t="s">
        <v>199</v>
      </c>
      <c r="L32" s="3442" t="s">
        <v>199</v>
      </c>
      <c r="M32" s="3442">
        <v>104868.15499999998</v>
      </c>
      <c r="N32" s="3442" t="s">
        <v>199</v>
      </c>
      <c r="O32" s="3442" t="s">
        <v>199</v>
      </c>
      <c r="P32" s="3442" t="s">
        <v>199</v>
      </c>
      <c r="Q32" s="3442" t="s">
        <v>199</v>
      </c>
      <c r="R32" s="3445">
        <f t="shared" si="8"/>
        <v>104868.15499999998</v>
      </c>
      <c r="S32" s="2676"/>
      <c r="T32" s="2677"/>
      <c r="U32" s="3419" t="str">
        <f>IF(SUM(X32)=0,"NA",X32*1000/C32)</f>
        <v>NA</v>
      </c>
      <c r="V32" s="3417"/>
      <c r="W32" s="3418"/>
      <c r="X32" s="3282" t="s">
        <v>205</v>
      </c>
      <c r="Y32" s="3142"/>
      <c r="Z32" s="3420"/>
    </row>
    <row r="33" spans="2:26" ht="18" customHeight="1" x14ac:dyDescent="0.2">
      <c r="B33" s="348" t="s">
        <v>1068</v>
      </c>
      <c r="C33" s="3458">
        <f>Table3.A!C33</f>
        <v>2.0339999999999998</v>
      </c>
      <c r="D33" s="3274">
        <v>39.5</v>
      </c>
      <c r="E33" s="3457" t="str">
        <f>'Table3.B(a)'!G33</f>
        <v>NA</v>
      </c>
      <c r="F33" s="3442" t="s">
        <v>199</v>
      </c>
      <c r="G33" s="3442" t="s">
        <v>199</v>
      </c>
      <c r="H33" s="3442" t="s">
        <v>199</v>
      </c>
      <c r="I33" s="3442" t="s">
        <v>199</v>
      </c>
      <c r="J33" s="3442" t="s">
        <v>199</v>
      </c>
      <c r="K33" s="3442" t="s">
        <v>199</v>
      </c>
      <c r="L33" s="3442" t="s">
        <v>199</v>
      </c>
      <c r="M33" s="3442">
        <v>80344.639539153519</v>
      </c>
      <c r="N33" s="3442" t="s">
        <v>199</v>
      </c>
      <c r="O33" s="3442" t="s">
        <v>199</v>
      </c>
      <c r="P33" s="3442" t="s">
        <v>199</v>
      </c>
      <c r="Q33" s="3442" t="s">
        <v>199</v>
      </c>
      <c r="R33" s="3445">
        <f t="shared" si="8"/>
        <v>80344.639539153519</v>
      </c>
      <c r="S33" s="2676"/>
      <c r="T33" s="2677"/>
      <c r="U33" s="3419" t="str">
        <f t="shared" ref="U33:U46" si="26">IF(SUM(X33)=0,"NA",X33*1000/C33)</f>
        <v>NA</v>
      </c>
      <c r="V33" s="3417"/>
      <c r="W33" s="3418"/>
      <c r="X33" s="3282" t="s">
        <v>205</v>
      </c>
      <c r="Y33" s="3142"/>
      <c r="Z33" s="3420"/>
    </row>
    <row r="34" spans="2:26" ht="18" customHeight="1" x14ac:dyDescent="0.2">
      <c r="B34" s="348" t="s">
        <v>1069</v>
      </c>
      <c r="C34" s="3458">
        <f>Table3.A!C34</f>
        <v>79.695999999999998</v>
      </c>
      <c r="D34" s="3274">
        <v>13.2</v>
      </c>
      <c r="E34" s="3457" t="str">
        <f>'Table3.B(a)'!G34</f>
        <v>NA</v>
      </c>
      <c r="F34" s="3442" t="s">
        <v>199</v>
      </c>
      <c r="G34" s="3442" t="s">
        <v>199</v>
      </c>
      <c r="H34" s="3442" t="s">
        <v>199</v>
      </c>
      <c r="I34" s="3442" t="s">
        <v>199</v>
      </c>
      <c r="J34" s="3442" t="s">
        <v>199</v>
      </c>
      <c r="K34" s="3442" t="s">
        <v>199</v>
      </c>
      <c r="L34" s="3442" t="s">
        <v>199</v>
      </c>
      <c r="M34" s="3442">
        <v>1051984.8239999998</v>
      </c>
      <c r="N34" s="3442" t="s">
        <v>199</v>
      </c>
      <c r="O34" s="3442" t="s">
        <v>199</v>
      </c>
      <c r="P34" s="3442" t="s">
        <v>199</v>
      </c>
      <c r="Q34" s="3442" t="s">
        <v>199</v>
      </c>
      <c r="R34" s="3445">
        <f t="shared" si="8"/>
        <v>1051984.8239999998</v>
      </c>
      <c r="S34" s="2676"/>
      <c r="T34" s="2677"/>
      <c r="U34" s="3419" t="str">
        <f t="shared" si="26"/>
        <v>NA</v>
      </c>
      <c r="V34" s="3417"/>
      <c r="W34" s="3418"/>
      <c r="X34" s="3282" t="s">
        <v>205</v>
      </c>
      <c r="Y34" s="3142"/>
      <c r="Z34" s="3420"/>
    </row>
    <row r="35" spans="2:26" ht="18" customHeight="1" x14ac:dyDescent="0.2">
      <c r="B35" s="348" t="s">
        <v>1070</v>
      </c>
      <c r="C35" s="3458">
        <f>Table3.A!C35</f>
        <v>518.024</v>
      </c>
      <c r="D35" s="3274">
        <v>7</v>
      </c>
      <c r="E35" s="3457" t="str">
        <f>'Table3.B(a)'!G35</f>
        <v>NA</v>
      </c>
      <c r="F35" s="3442" t="s">
        <v>199</v>
      </c>
      <c r="G35" s="3442" t="s">
        <v>199</v>
      </c>
      <c r="H35" s="3442" t="s">
        <v>199</v>
      </c>
      <c r="I35" s="3442" t="s">
        <v>199</v>
      </c>
      <c r="J35" s="3442" t="s">
        <v>199</v>
      </c>
      <c r="K35" s="3442" t="s">
        <v>199</v>
      </c>
      <c r="L35" s="3442" t="s">
        <v>199</v>
      </c>
      <c r="M35" s="3442">
        <v>3626169.4000000004</v>
      </c>
      <c r="N35" s="3442" t="s">
        <v>199</v>
      </c>
      <c r="O35" s="3442" t="s">
        <v>199</v>
      </c>
      <c r="P35" s="3442" t="s">
        <v>199</v>
      </c>
      <c r="Q35" s="3442" t="s">
        <v>199</v>
      </c>
      <c r="R35" s="3445">
        <f t="shared" si="8"/>
        <v>3626169.4000000004</v>
      </c>
      <c r="S35" s="2676"/>
      <c r="T35" s="2677"/>
      <c r="U35" s="3419" t="str">
        <f t="shared" si="26"/>
        <v>NA</v>
      </c>
      <c r="V35" s="3417"/>
      <c r="W35" s="3418"/>
      <c r="X35" s="3282" t="s">
        <v>205</v>
      </c>
      <c r="Y35" s="3142"/>
      <c r="Z35" s="3420"/>
    </row>
    <row r="36" spans="2:26" ht="18" customHeight="1" x14ac:dyDescent="0.2">
      <c r="B36" s="348" t="s">
        <v>1071</v>
      </c>
      <c r="C36" s="3458">
        <f>Table3.A!C36</f>
        <v>263.29300000000001</v>
      </c>
      <c r="D36" s="3274">
        <v>39.5</v>
      </c>
      <c r="E36" s="3457" t="str">
        <f>'Table3.B(a)'!G36</f>
        <v>NA</v>
      </c>
      <c r="F36" s="3442" t="s">
        <v>199</v>
      </c>
      <c r="G36" s="3442" t="s">
        <v>199</v>
      </c>
      <c r="H36" s="3442" t="s">
        <v>199</v>
      </c>
      <c r="I36" s="3442" t="s">
        <v>199</v>
      </c>
      <c r="J36" s="3442" t="s">
        <v>199</v>
      </c>
      <c r="K36" s="3442" t="s">
        <v>199</v>
      </c>
      <c r="L36" s="3442" t="s">
        <v>199</v>
      </c>
      <c r="M36" s="3442">
        <v>10400092.986666668</v>
      </c>
      <c r="N36" s="3442" t="s">
        <v>199</v>
      </c>
      <c r="O36" s="3442" t="s">
        <v>199</v>
      </c>
      <c r="P36" s="3442" t="s">
        <v>199</v>
      </c>
      <c r="Q36" s="3442" t="s">
        <v>199</v>
      </c>
      <c r="R36" s="3445">
        <f t="shared" si="8"/>
        <v>10400092.986666668</v>
      </c>
      <c r="S36" s="2676"/>
      <c r="T36" s="2677"/>
      <c r="U36" s="3419" t="str">
        <f t="shared" si="26"/>
        <v>NA</v>
      </c>
      <c r="V36" s="3417"/>
      <c r="W36" s="3418"/>
      <c r="X36" s="3282" t="s">
        <v>205</v>
      </c>
      <c r="Y36" s="3142"/>
      <c r="Z36" s="3420"/>
    </row>
    <row r="37" spans="2:26" ht="18" customHeight="1" x14ac:dyDescent="0.2">
      <c r="B37" s="348" t="s">
        <v>1117</v>
      </c>
      <c r="C37" s="3458">
        <f>Table3.A!C37</f>
        <v>0.36599999999999999</v>
      </c>
      <c r="D37" s="3274">
        <v>13.2</v>
      </c>
      <c r="E37" s="3457" t="str">
        <f>'Table3.B(a)'!G37</f>
        <v>NA</v>
      </c>
      <c r="F37" s="3442" t="s">
        <v>199</v>
      </c>
      <c r="G37" s="3442" t="s">
        <v>199</v>
      </c>
      <c r="H37" s="3442" t="s">
        <v>199</v>
      </c>
      <c r="I37" s="3442" t="s">
        <v>199</v>
      </c>
      <c r="J37" s="3442" t="s">
        <v>199</v>
      </c>
      <c r="K37" s="3442" t="s">
        <v>199</v>
      </c>
      <c r="L37" s="3442" t="s">
        <v>199</v>
      </c>
      <c r="M37" s="3442">
        <v>4830.0450551885351</v>
      </c>
      <c r="N37" s="3442" t="s">
        <v>199</v>
      </c>
      <c r="O37" s="3442" t="s">
        <v>199</v>
      </c>
      <c r="P37" s="3442" t="s">
        <v>199</v>
      </c>
      <c r="Q37" s="3442" t="s">
        <v>199</v>
      </c>
      <c r="R37" s="3445">
        <f t="shared" si="8"/>
        <v>4830.0450551885351</v>
      </c>
      <c r="S37" s="2676"/>
      <c r="T37" s="2677"/>
      <c r="U37" s="3419" t="str">
        <f t="shared" si="26"/>
        <v>NA</v>
      </c>
      <c r="V37" s="3417"/>
      <c r="W37" s="3418"/>
      <c r="X37" s="3282" t="s">
        <v>205</v>
      </c>
      <c r="Y37" s="3142"/>
      <c r="Z37" s="3420"/>
    </row>
    <row r="38" spans="2:26" ht="18" customHeight="1" x14ac:dyDescent="0.2">
      <c r="B38" s="348" t="s">
        <v>1073</v>
      </c>
      <c r="C38" s="3458">
        <f>Table3.A!C38</f>
        <v>71723.482000000004</v>
      </c>
      <c r="D38" s="3274">
        <v>0.65888114910395001</v>
      </c>
      <c r="E38" s="3457" t="str">
        <f>'Table3.B(a)'!G38</f>
        <v>NA</v>
      </c>
      <c r="F38" s="3442" t="s">
        <v>199</v>
      </c>
      <c r="G38" s="3442" t="s">
        <v>199</v>
      </c>
      <c r="H38" s="3442" t="s">
        <v>199</v>
      </c>
      <c r="I38" s="3442">
        <v>17792982.213132072</v>
      </c>
      <c r="J38" s="3442" t="s">
        <v>274</v>
      </c>
      <c r="K38" s="3442" t="s">
        <v>274</v>
      </c>
      <c r="L38" s="3442" t="s">
        <v>274</v>
      </c>
      <c r="M38" s="3442">
        <v>453572.29915524216</v>
      </c>
      <c r="N38" s="3442">
        <v>7410393.9696048489</v>
      </c>
      <c r="O38" s="3442">
        <v>113959.59062612006</v>
      </c>
      <c r="P38" s="3442" t="s">
        <v>199</v>
      </c>
      <c r="Q38" s="3442">
        <v>55211973.166420937</v>
      </c>
      <c r="R38" s="3445">
        <f t="shared" si="8"/>
        <v>80982881.238939226</v>
      </c>
      <c r="S38" s="2676"/>
      <c r="T38" s="2677"/>
      <c r="U38" s="3419">
        <f t="shared" si="26"/>
        <v>4.5982107711829319E-3</v>
      </c>
      <c r="V38" s="3417"/>
      <c r="W38" s="3418"/>
      <c r="X38" s="3282">
        <v>0.32979968747914512</v>
      </c>
      <c r="Y38" s="3142"/>
      <c r="Z38" s="3420"/>
    </row>
    <row r="39" spans="2:26" ht="18" customHeight="1" x14ac:dyDescent="0.2">
      <c r="B39" s="348" t="s">
        <v>1074</v>
      </c>
      <c r="C39" s="3281">
        <f>IF(SUM(C41:C45)=0,"NO",SUM(C41:C45))</f>
        <v>131.01499999999999</v>
      </c>
      <c r="D39" s="3455"/>
      <c r="E39" s="3455"/>
      <c r="F39" s="2668" t="str">
        <f>IF(SUM(F41:F45)=0,"NO",SUM(F41:F45))</f>
        <v>NO</v>
      </c>
      <c r="G39" s="2668" t="str">
        <f t="shared" ref="G39:Q39" si="27">IF(SUM(G41:G45)=0,"NO",SUM(G41:G45))</f>
        <v>NO</v>
      </c>
      <c r="H39" s="2668" t="str">
        <f t="shared" si="27"/>
        <v>NO</v>
      </c>
      <c r="I39" s="2668" t="str">
        <f t="shared" si="27"/>
        <v>NO</v>
      </c>
      <c r="J39" s="2668" t="str">
        <f t="shared" si="27"/>
        <v>NO</v>
      </c>
      <c r="K39" s="2668" t="str">
        <f t="shared" si="27"/>
        <v>NO</v>
      </c>
      <c r="L39" s="2668" t="str">
        <f t="shared" si="27"/>
        <v>NO</v>
      </c>
      <c r="M39" s="2668">
        <f t="shared" si="27"/>
        <v>917104.24425879668</v>
      </c>
      <c r="N39" s="2668" t="str">
        <f t="shared" si="27"/>
        <v>NO</v>
      </c>
      <c r="O39" s="2668" t="str">
        <f t="shared" si="27"/>
        <v>NO</v>
      </c>
      <c r="P39" s="2668" t="str">
        <f t="shared" si="27"/>
        <v>NO</v>
      </c>
      <c r="Q39" s="2668" t="str">
        <f t="shared" si="27"/>
        <v>NO</v>
      </c>
      <c r="R39" s="3445">
        <f t="shared" si="8"/>
        <v>917104.24425879668</v>
      </c>
      <c r="S39" s="2676"/>
      <c r="T39" s="2677"/>
      <c r="U39" s="3419" t="str">
        <f t="shared" si="26"/>
        <v>NA</v>
      </c>
      <c r="V39" s="3417"/>
      <c r="W39" s="3418"/>
      <c r="X39" s="3281" t="str">
        <f>IF(SUM(X41:X45)=0,"NO",SUM(X41:X45))</f>
        <v>NO</v>
      </c>
      <c r="Y39" s="3142"/>
      <c r="Z39" s="3420"/>
    </row>
    <row r="40" spans="2:26" ht="18" customHeight="1" x14ac:dyDescent="0.2">
      <c r="B40" s="4231" t="s">
        <v>271</v>
      </c>
      <c r="C40" s="4232"/>
      <c r="D40" s="2680"/>
      <c r="E40" s="2680"/>
      <c r="F40" s="2680"/>
      <c r="G40" s="2680"/>
      <c r="H40" s="2680"/>
      <c r="I40" s="2680"/>
      <c r="J40" s="2680"/>
      <c r="K40" s="2680"/>
      <c r="L40" s="2680"/>
      <c r="M40" s="2680"/>
      <c r="N40" s="2680"/>
      <c r="O40" s="2680"/>
      <c r="P40" s="2680"/>
      <c r="Q40" s="2680"/>
      <c r="R40" s="2680"/>
      <c r="S40" s="2680"/>
      <c r="T40" s="2680"/>
      <c r="U40" s="2680"/>
      <c r="V40" s="2680"/>
      <c r="W40" s="2680"/>
      <c r="X40" s="2680"/>
      <c r="Y40" s="2680"/>
      <c r="Z40" s="4230"/>
    </row>
    <row r="41" spans="2:26" ht="18" customHeight="1" x14ac:dyDescent="0.2">
      <c r="B41" s="350" t="s">
        <v>1075</v>
      </c>
      <c r="C41" s="3458" t="str">
        <f>Table3.A!C41</f>
        <v>NO</v>
      </c>
      <c r="D41" s="3274" t="s">
        <v>199</v>
      </c>
      <c r="E41" s="3457" t="str">
        <f>'Table3.B(a)'!G41</f>
        <v>NA</v>
      </c>
      <c r="F41" s="3444" t="s">
        <v>205</v>
      </c>
      <c r="G41" s="3444" t="s">
        <v>205</v>
      </c>
      <c r="H41" s="3444" t="s">
        <v>205</v>
      </c>
      <c r="I41" s="3444" t="s">
        <v>205</v>
      </c>
      <c r="J41" s="3444" t="s">
        <v>205</v>
      </c>
      <c r="K41" s="3444" t="s">
        <v>205</v>
      </c>
      <c r="L41" s="3444" t="s">
        <v>205</v>
      </c>
      <c r="M41" s="3444" t="s">
        <v>205</v>
      </c>
      <c r="N41" s="3444" t="s">
        <v>205</v>
      </c>
      <c r="O41" s="3444" t="s">
        <v>205</v>
      </c>
      <c r="P41" s="3444" t="s">
        <v>205</v>
      </c>
      <c r="Q41" s="3444" t="s">
        <v>205</v>
      </c>
      <c r="R41" s="3445" t="str">
        <f t="shared" si="8"/>
        <v>NO</v>
      </c>
      <c r="S41" s="2676"/>
      <c r="T41" s="2677"/>
      <c r="U41" s="3419" t="str">
        <f t="shared" si="26"/>
        <v>NA</v>
      </c>
      <c r="V41" s="3417"/>
      <c r="W41" s="3418"/>
      <c r="X41" s="3282" t="s">
        <v>205</v>
      </c>
      <c r="Y41" s="3142"/>
      <c r="Z41" s="3420"/>
    </row>
    <row r="42" spans="2:26" ht="18" customHeight="1" x14ac:dyDescent="0.2">
      <c r="B42" s="350" t="s">
        <v>1076</v>
      </c>
      <c r="C42" s="3458" t="str">
        <f>Table3.A!C42</f>
        <v>NO</v>
      </c>
      <c r="D42" s="3274" t="s">
        <v>199</v>
      </c>
      <c r="E42" s="3457" t="str">
        <f>'Table3.B(a)'!G42</f>
        <v>NA</v>
      </c>
      <c r="F42" s="3444" t="s">
        <v>205</v>
      </c>
      <c r="G42" s="3444" t="s">
        <v>205</v>
      </c>
      <c r="H42" s="3444" t="s">
        <v>205</v>
      </c>
      <c r="I42" s="3444" t="s">
        <v>205</v>
      </c>
      <c r="J42" s="3444" t="s">
        <v>205</v>
      </c>
      <c r="K42" s="3444" t="s">
        <v>205</v>
      </c>
      <c r="L42" s="3444" t="s">
        <v>205</v>
      </c>
      <c r="M42" s="3444" t="s">
        <v>205</v>
      </c>
      <c r="N42" s="3444" t="s">
        <v>205</v>
      </c>
      <c r="O42" s="3444" t="s">
        <v>205</v>
      </c>
      <c r="P42" s="3444" t="s">
        <v>205</v>
      </c>
      <c r="Q42" s="3444" t="s">
        <v>205</v>
      </c>
      <c r="R42" s="3445" t="str">
        <f t="shared" si="8"/>
        <v>NO</v>
      </c>
      <c r="S42" s="2676"/>
      <c r="T42" s="2677"/>
      <c r="U42" s="3419" t="str">
        <f t="shared" si="26"/>
        <v>NA</v>
      </c>
      <c r="V42" s="3417"/>
      <c r="W42" s="3418"/>
      <c r="X42" s="3282" t="s">
        <v>205</v>
      </c>
      <c r="Y42" s="3142"/>
      <c r="Z42" s="3420"/>
    </row>
    <row r="43" spans="2:26" ht="18" customHeight="1" x14ac:dyDescent="0.2">
      <c r="B43" s="350" t="s">
        <v>1077</v>
      </c>
      <c r="C43" s="3458">
        <f>Table3.A!C43</f>
        <v>32.899000000000001</v>
      </c>
      <c r="D43" s="3274">
        <v>7</v>
      </c>
      <c r="E43" s="3457" t="str">
        <f>'Table3.B(a)'!G43</f>
        <v>NA</v>
      </c>
      <c r="F43" s="3442" t="s">
        <v>199</v>
      </c>
      <c r="G43" s="3442" t="s">
        <v>199</v>
      </c>
      <c r="H43" s="3442" t="s">
        <v>199</v>
      </c>
      <c r="I43" s="3442" t="s">
        <v>199</v>
      </c>
      <c r="J43" s="3442" t="s">
        <v>199</v>
      </c>
      <c r="K43" s="3442" t="s">
        <v>199</v>
      </c>
      <c r="L43" s="3442" t="s">
        <v>199</v>
      </c>
      <c r="M43" s="3442">
        <v>230293.87739495793</v>
      </c>
      <c r="N43" s="3442" t="s">
        <v>199</v>
      </c>
      <c r="O43" s="3442" t="s">
        <v>199</v>
      </c>
      <c r="P43" s="3442" t="s">
        <v>199</v>
      </c>
      <c r="Q43" s="3442" t="s">
        <v>199</v>
      </c>
      <c r="R43" s="3445">
        <f t="shared" si="8"/>
        <v>230293.87739495793</v>
      </c>
      <c r="S43" s="2676"/>
      <c r="T43" s="2677"/>
      <c r="U43" s="3419" t="str">
        <f t="shared" si="26"/>
        <v>NA</v>
      </c>
      <c r="V43" s="3417"/>
      <c r="W43" s="3418"/>
      <c r="X43" s="3282" t="s">
        <v>205</v>
      </c>
      <c r="Y43" s="3142"/>
      <c r="Z43" s="3420"/>
    </row>
    <row r="44" spans="2:26" ht="18" customHeight="1" x14ac:dyDescent="0.2">
      <c r="B44" s="350" t="s">
        <v>1118</v>
      </c>
      <c r="C44" s="3458" t="str">
        <f>Table3.A!C44</f>
        <v>NO</v>
      </c>
      <c r="D44" s="3274" t="s">
        <v>199</v>
      </c>
      <c r="E44" s="3457" t="str">
        <f>'Table3.B(a)'!G44</f>
        <v>NA</v>
      </c>
      <c r="F44" s="3444" t="s">
        <v>205</v>
      </c>
      <c r="G44" s="3444" t="s">
        <v>205</v>
      </c>
      <c r="H44" s="3444" t="s">
        <v>205</v>
      </c>
      <c r="I44" s="3444" t="s">
        <v>205</v>
      </c>
      <c r="J44" s="3444" t="s">
        <v>205</v>
      </c>
      <c r="K44" s="3444" t="s">
        <v>205</v>
      </c>
      <c r="L44" s="3444" t="s">
        <v>205</v>
      </c>
      <c r="M44" s="3444" t="s">
        <v>205</v>
      </c>
      <c r="N44" s="3444" t="s">
        <v>205</v>
      </c>
      <c r="O44" s="3444" t="s">
        <v>205</v>
      </c>
      <c r="P44" s="3444" t="s">
        <v>205</v>
      </c>
      <c r="Q44" s="3444" t="s">
        <v>205</v>
      </c>
      <c r="R44" s="3445" t="str">
        <f t="shared" si="8"/>
        <v>NO</v>
      </c>
      <c r="S44" s="2676"/>
      <c r="T44" s="2677"/>
      <c r="U44" s="3419" t="str">
        <f t="shared" si="26"/>
        <v>NA</v>
      </c>
      <c r="V44" s="3417"/>
      <c r="W44" s="3418"/>
      <c r="X44" s="3282" t="s">
        <v>205</v>
      </c>
      <c r="Y44" s="3142"/>
      <c r="Z44" s="3420"/>
    </row>
    <row r="45" spans="2:26" ht="18" customHeight="1" x14ac:dyDescent="0.2">
      <c r="B45" s="351" t="s">
        <v>1079</v>
      </c>
      <c r="C45" s="3281">
        <f>C46</f>
        <v>98.116</v>
      </c>
      <c r="D45" s="3455"/>
      <c r="E45" s="3455"/>
      <c r="F45" s="2668" t="str">
        <f>F46</f>
        <v>NO</v>
      </c>
      <c r="G45" s="2668" t="str">
        <f t="shared" ref="G45:Q45" si="28">G46</f>
        <v>NO</v>
      </c>
      <c r="H45" s="2668" t="str">
        <f t="shared" si="28"/>
        <v>NO</v>
      </c>
      <c r="I45" s="2668" t="str">
        <f t="shared" si="28"/>
        <v>NO</v>
      </c>
      <c r="J45" s="2668" t="str">
        <f t="shared" si="28"/>
        <v>NO</v>
      </c>
      <c r="K45" s="2668" t="str">
        <f t="shared" si="28"/>
        <v>NO</v>
      </c>
      <c r="L45" s="2668" t="str">
        <f t="shared" si="28"/>
        <v>NO</v>
      </c>
      <c r="M45" s="2668">
        <f t="shared" si="28"/>
        <v>686810.36686383875</v>
      </c>
      <c r="N45" s="2668" t="str">
        <f t="shared" si="28"/>
        <v>NO</v>
      </c>
      <c r="O45" s="2668" t="str">
        <f t="shared" si="28"/>
        <v>NO</v>
      </c>
      <c r="P45" s="2668" t="str">
        <f t="shared" si="28"/>
        <v>NO</v>
      </c>
      <c r="Q45" s="2668" t="str">
        <f t="shared" si="28"/>
        <v>NO</v>
      </c>
      <c r="R45" s="3445">
        <f t="shared" si="8"/>
        <v>686810.36686383875</v>
      </c>
      <c r="S45" s="2676"/>
      <c r="T45" s="2677"/>
      <c r="U45" s="3419" t="str">
        <f t="shared" si="26"/>
        <v>NA</v>
      </c>
      <c r="V45" s="3417"/>
      <c r="W45" s="3418"/>
      <c r="X45" s="3281" t="str">
        <f>X46</f>
        <v>NA</v>
      </c>
      <c r="Y45" s="3142"/>
      <c r="Z45" s="3420"/>
    </row>
    <row r="46" spans="2:26" ht="18" customHeight="1" x14ac:dyDescent="0.2">
      <c r="B46" s="2665" t="s">
        <v>1013</v>
      </c>
      <c r="C46" s="3458">
        <f>Table3.A!C46</f>
        <v>98.116</v>
      </c>
      <c r="D46" s="3274">
        <v>7</v>
      </c>
      <c r="E46" s="3457" t="str">
        <f>'Table3.B(a)'!G46</f>
        <v>NA</v>
      </c>
      <c r="F46" s="3442" t="s">
        <v>199</v>
      </c>
      <c r="G46" s="3442" t="s">
        <v>199</v>
      </c>
      <c r="H46" s="3442" t="s">
        <v>199</v>
      </c>
      <c r="I46" s="3442" t="s">
        <v>199</v>
      </c>
      <c r="J46" s="3442" t="s">
        <v>199</v>
      </c>
      <c r="K46" s="3442" t="s">
        <v>199</v>
      </c>
      <c r="L46" s="3442" t="s">
        <v>199</v>
      </c>
      <c r="M46" s="3442">
        <v>686810.36686383875</v>
      </c>
      <c r="N46" s="3442" t="s">
        <v>199</v>
      </c>
      <c r="O46" s="3442" t="s">
        <v>199</v>
      </c>
      <c r="P46" s="3442" t="s">
        <v>199</v>
      </c>
      <c r="Q46" s="3442" t="s">
        <v>199</v>
      </c>
      <c r="R46" s="3445">
        <f t="shared" si="8"/>
        <v>686810.36686383875</v>
      </c>
      <c r="S46" s="2681"/>
      <c r="T46" s="2682"/>
      <c r="U46" s="3419" t="str">
        <f t="shared" si="26"/>
        <v>NA</v>
      </c>
      <c r="V46" s="3425"/>
      <c r="W46" s="3426"/>
      <c r="X46" s="3282" t="s">
        <v>205</v>
      </c>
      <c r="Y46" s="3427"/>
      <c r="Z46" s="3428"/>
    </row>
    <row r="47" spans="2:26" s="955" customFormat="1" ht="18" customHeight="1" thickBot="1" x14ac:dyDescent="0.35">
      <c r="B47" s="354" t="s">
        <v>941</v>
      </c>
      <c r="C47" s="42"/>
      <c r="D47" s="42"/>
      <c r="E47" s="42"/>
      <c r="F47" s="2683"/>
      <c r="G47" s="2683"/>
      <c r="H47" s="2683"/>
      <c r="I47" s="2683"/>
      <c r="J47" s="2683"/>
      <c r="K47" s="2683"/>
      <c r="L47" s="2683"/>
      <c r="M47" s="42"/>
      <c r="N47" s="2684"/>
      <c r="O47" s="2684"/>
      <c r="P47" s="42"/>
      <c r="Q47" s="2684"/>
      <c r="R47" s="355"/>
      <c r="S47" s="3409">
        <v>94842943.134948701</v>
      </c>
      <c r="T47" s="3410">
        <v>298228.81815352873</v>
      </c>
      <c r="U47" s="3429"/>
      <c r="V47" s="3430">
        <f>IF(SUM(S47)=0,"NA",Y47*1000000/S47)</f>
        <v>6.2420171618581361E-3</v>
      </c>
      <c r="W47" s="3431">
        <f>IF(SUM(T47)=0,"NA",Z47*1000000/T47)</f>
        <v>1.7285714285714283E-2</v>
      </c>
      <c r="X47" s="3283"/>
      <c r="Y47" s="3287">
        <v>0.59201127872948511</v>
      </c>
      <c r="Z47" s="3288">
        <v>5.1550981423681384E-3</v>
      </c>
    </row>
    <row r="48" spans="2:26" ht="18" customHeight="1" x14ac:dyDescent="0.2">
      <c r="B48" s="356" t="s">
        <v>1119</v>
      </c>
      <c r="C48" s="357"/>
      <c r="D48" s="357"/>
      <c r="E48" s="357"/>
      <c r="F48" s="3448">
        <f>IF(SUM(F30,F27,F24,F10)=0,"NO",SUM(F30,F27,F24,F10))</f>
        <v>55292169.105560787</v>
      </c>
      <c r="G48" s="3448" t="str">
        <f t="shared" ref="G48:Q48" si="29">IF(SUM(G30,G27,G24,G10)=0,"NO",SUM(G30,G27,G24,G10))</f>
        <v>NO</v>
      </c>
      <c r="H48" s="3448">
        <f t="shared" si="29"/>
        <v>8604665.8031302392</v>
      </c>
      <c r="I48" s="3448">
        <f t="shared" si="29"/>
        <v>36600596.776150137</v>
      </c>
      <c r="J48" s="3448" t="str">
        <f t="shared" si="29"/>
        <v>NO</v>
      </c>
      <c r="K48" s="3448">
        <f t="shared" si="29"/>
        <v>74961343.695020527</v>
      </c>
      <c r="L48" s="3448" t="str">
        <f t="shared" si="29"/>
        <v>NO</v>
      </c>
      <c r="M48" s="3374"/>
      <c r="N48" s="3448">
        <f t="shared" si="29"/>
        <v>16678478.021535955</v>
      </c>
      <c r="O48" s="3448">
        <f t="shared" si="29"/>
        <v>351383.86774891999</v>
      </c>
      <c r="P48" s="3374"/>
      <c r="Q48" s="3448">
        <f t="shared" si="29"/>
        <v>64466730.337499835</v>
      </c>
      <c r="R48" s="357"/>
      <c r="S48" s="357"/>
      <c r="T48" s="358"/>
      <c r="U48" s="3284"/>
      <c r="V48" s="3432"/>
      <c r="W48" s="3433"/>
      <c r="X48" s="3284"/>
      <c r="Y48" s="3432"/>
      <c r="Z48" s="3433"/>
    </row>
    <row r="49" spans="2:26" ht="18" customHeight="1" thickBot="1" x14ac:dyDescent="0.25">
      <c r="B49" s="359" t="s">
        <v>1120</v>
      </c>
      <c r="C49" s="355"/>
      <c r="D49" s="355"/>
      <c r="E49" s="355"/>
      <c r="F49" s="3449" t="str">
        <f>IF(SUM(F50)=0,"NA",F50*1000000/F48)</f>
        <v>NA</v>
      </c>
      <c r="G49" s="3449" t="str">
        <f t="shared" ref="G49:Q49" si="30">IF(SUM(G50)=0,"NA",G50*1000000/G48)</f>
        <v>NA</v>
      </c>
      <c r="H49" s="3449" t="str">
        <f t="shared" si="30"/>
        <v>NA</v>
      </c>
      <c r="I49" s="3449">
        <f t="shared" si="30"/>
        <v>2.6286573124481818E-2</v>
      </c>
      <c r="J49" s="3449" t="str">
        <f t="shared" si="30"/>
        <v>NA</v>
      </c>
      <c r="K49" s="3449" t="str">
        <f t="shared" si="30"/>
        <v>NA</v>
      </c>
      <c r="L49" s="3449" t="str">
        <f t="shared" si="30"/>
        <v>NA</v>
      </c>
      <c r="M49" s="87"/>
      <c r="N49" s="3449">
        <f t="shared" si="30"/>
        <v>1.5714285714285712E-2</v>
      </c>
      <c r="O49" s="3449" t="str">
        <f t="shared" si="30"/>
        <v>NA</v>
      </c>
      <c r="P49" s="87"/>
      <c r="Q49" s="3449">
        <f t="shared" si="30"/>
        <v>3.3021518474878795E-3</v>
      </c>
      <c r="R49" s="355"/>
      <c r="S49" s="355"/>
      <c r="T49" s="57"/>
      <c r="U49" s="3285"/>
      <c r="V49" s="3434"/>
      <c r="W49" s="3435"/>
      <c r="X49" s="3285"/>
      <c r="Y49" s="3434"/>
      <c r="Z49" s="3435"/>
    </row>
    <row r="50" spans="2:26" ht="18" customHeight="1" thickBot="1" x14ac:dyDescent="0.25">
      <c r="B50" s="1310" t="s">
        <v>1121</v>
      </c>
      <c r="C50" s="1311"/>
      <c r="D50" s="1311"/>
      <c r="E50" s="1311"/>
      <c r="F50" s="3450" t="s">
        <v>205</v>
      </c>
      <c r="G50" s="3450" t="s">
        <v>199</v>
      </c>
      <c r="H50" s="3450" t="s">
        <v>205</v>
      </c>
      <c r="I50" s="3450">
        <v>0.96210426355594414</v>
      </c>
      <c r="J50" s="3450" t="s">
        <v>274</v>
      </c>
      <c r="K50" s="3450" t="s">
        <v>274</v>
      </c>
      <c r="L50" s="3450" t="s">
        <v>274</v>
      </c>
      <c r="M50" s="3437"/>
      <c r="N50" s="3451">
        <v>0.26209036890985066</v>
      </c>
      <c r="O50" s="3451" t="s">
        <v>205</v>
      </c>
      <c r="P50" s="3437"/>
      <c r="Q50" s="3451">
        <v>0.212878932685478</v>
      </c>
      <c r="R50" s="1311"/>
      <c r="S50" s="1312"/>
      <c r="T50" s="1313"/>
      <c r="U50" s="3436">
        <f>X50*1000/SUM(C10,C24,C27,C30)</f>
        <v>7.6006156022235061E-3</v>
      </c>
      <c r="V50" s="3437"/>
      <c r="W50" s="3438"/>
      <c r="X50" s="3286">
        <f>SUM(X10,X24,X27,X30)</f>
        <v>1.4370735651512727</v>
      </c>
      <c r="Y50" s="3439"/>
      <c r="Z50" s="3440"/>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21" t="s">
        <v>1122</v>
      </c>
      <c r="C68" s="4522"/>
      <c r="D68" s="4522"/>
      <c r="E68" s="4522"/>
      <c r="F68" s="4522"/>
      <c r="G68" s="4522"/>
      <c r="H68" s="4522"/>
      <c r="I68" s="4522"/>
      <c r="J68" s="4522"/>
      <c r="K68" s="4522"/>
      <c r="L68" s="4522"/>
      <c r="M68" s="4522"/>
      <c r="N68" s="4522"/>
      <c r="O68" s="4522"/>
      <c r="P68" s="4522"/>
      <c r="Q68" s="4522"/>
      <c r="R68" s="4522"/>
      <c r="S68" s="4522"/>
      <c r="T68" s="4522"/>
      <c r="U68" s="4522"/>
      <c r="V68" s="4522"/>
      <c r="W68" s="4522"/>
      <c r="X68" s="4522"/>
      <c r="Y68" s="4522"/>
      <c r="Z68" s="4523"/>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2460</v>
      </c>
    </row>
    <row r="2" spans="1:9" ht="15.75" customHeight="1" x14ac:dyDescent="0.2">
      <c r="B2" s="3" t="s">
        <v>1124</v>
      </c>
      <c r="G2" s="14" t="s">
        <v>2461</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5" t="s">
        <v>62</v>
      </c>
    </row>
    <row r="7" spans="1:9" ht="25.5" x14ac:dyDescent="0.2">
      <c r="B7" s="1813" t="s">
        <v>475</v>
      </c>
      <c r="C7" s="830" t="s">
        <v>962</v>
      </c>
      <c r="D7" s="830"/>
      <c r="E7" s="1094"/>
      <c r="F7" s="2327" t="s">
        <v>1125</v>
      </c>
      <c r="G7" s="203" t="s">
        <v>233</v>
      </c>
    </row>
    <row r="8" spans="1:9" ht="13.5" x14ac:dyDescent="0.2">
      <c r="B8" s="425" t="s">
        <v>479</v>
      </c>
      <c r="C8" s="1814" t="s">
        <v>1126</v>
      </c>
      <c r="D8" s="333" t="s">
        <v>1127</v>
      </c>
      <c r="E8" s="329"/>
      <c r="F8" s="2328" t="s">
        <v>482</v>
      </c>
      <c r="G8" s="2325" t="s">
        <v>482</v>
      </c>
    </row>
    <row r="9" spans="1:9" ht="15" thickBot="1" x14ac:dyDescent="0.25">
      <c r="B9" s="1815"/>
      <c r="C9" s="1622" t="s">
        <v>1128</v>
      </c>
      <c r="D9" s="1816" t="s">
        <v>1129</v>
      </c>
      <c r="E9" s="1817" t="s">
        <v>1130</v>
      </c>
      <c r="F9" s="400" t="s">
        <v>1131</v>
      </c>
      <c r="G9" s="2326" t="s">
        <v>171</v>
      </c>
    </row>
    <row r="10" spans="1:9" ht="18" customHeight="1" thickTop="1" x14ac:dyDescent="0.2">
      <c r="B10" s="1623" t="s">
        <v>1132</v>
      </c>
      <c r="C10" s="374"/>
      <c r="D10" s="134"/>
      <c r="E10" s="375"/>
      <c r="F10" s="2329"/>
      <c r="G10" s="3136">
        <f>IF(SUM(G11:G12)=0,"NO",SUM(G11:G12))</f>
        <v>3.1597074319999998</v>
      </c>
    </row>
    <row r="11" spans="1:9" ht="18" customHeight="1" x14ac:dyDescent="0.2">
      <c r="B11" s="432" t="s">
        <v>1133</v>
      </c>
      <c r="C11" s="4462">
        <v>0.19884880000000002</v>
      </c>
      <c r="D11" s="243" t="s">
        <v>199</v>
      </c>
      <c r="E11" s="283" t="s">
        <v>199</v>
      </c>
      <c r="F11" s="2330">
        <f>IF(SUM(C11)=0,"NA",G11/C11)</f>
        <v>15.889999999999997</v>
      </c>
      <c r="G11" s="3072">
        <v>3.1597074319999998</v>
      </c>
    </row>
    <row r="12" spans="1:9" ht="18" customHeight="1" x14ac:dyDescent="0.2">
      <c r="B12" s="354" t="s">
        <v>1134</v>
      </c>
      <c r="C12" s="434" t="str">
        <f>IF(SUM(C13:C14)=0,"NO",SUM(C13:C14))</f>
        <v>NO</v>
      </c>
      <c r="D12" s="276" t="str">
        <f>IF(SUM(D13:D14)=0,"NO",SUM(D13:D14))</f>
        <v>NO</v>
      </c>
      <c r="E12" s="438" t="str">
        <f>IF(SUM(E13:E14)=0,"NO",SUM(E13:E14))</f>
        <v>NO</v>
      </c>
      <c r="F12" s="2330" t="str">
        <f t="shared" ref="F12:F22" si="0">IF(SUM(C12)=0,"NA",G12/C12)</f>
        <v>NA</v>
      </c>
      <c r="G12" s="1852" t="str">
        <f>IF(SUM(G13:G14)=0,"NO",SUM(G13:G14))</f>
        <v>NO</v>
      </c>
      <c r="I12" s="377"/>
    </row>
    <row r="13" spans="1:9" ht="18" customHeight="1" x14ac:dyDescent="0.2">
      <c r="B13" s="1624" t="s">
        <v>1135</v>
      </c>
      <c r="C13" s="376" t="s">
        <v>199</v>
      </c>
      <c r="D13" s="243" t="s">
        <v>199</v>
      </c>
      <c r="E13" s="283" t="s">
        <v>199</v>
      </c>
      <c r="F13" s="2331" t="str">
        <f t="shared" si="0"/>
        <v>NA</v>
      </c>
      <c r="G13" s="2191" t="s">
        <v>199</v>
      </c>
      <c r="I13" s="377"/>
    </row>
    <row r="14" spans="1:9" ht="18" customHeight="1" thickBot="1" x14ac:dyDescent="0.25">
      <c r="B14" s="1625" t="s">
        <v>1136</v>
      </c>
      <c r="C14" s="376" t="s">
        <v>199</v>
      </c>
      <c r="D14" s="243" t="s">
        <v>199</v>
      </c>
      <c r="E14" s="283" t="s">
        <v>199</v>
      </c>
      <c r="F14" s="2332" t="str">
        <f t="shared" si="0"/>
        <v>NA</v>
      </c>
      <c r="G14" s="2194" t="s">
        <v>199</v>
      </c>
    </row>
    <row r="15" spans="1:9" ht="18" customHeight="1" x14ac:dyDescent="0.2">
      <c r="B15" s="1626" t="s">
        <v>1137</v>
      </c>
      <c r="C15" s="378"/>
      <c r="D15" s="379"/>
      <c r="E15" s="380"/>
      <c r="F15" s="2333"/>
      <c r="G15" s="2196" t="str">
        <f>IF(SUM(G16:G17)=0,"NO",SUM(G16:G17))</f>
        <v>NO</v>
      </c>
    </row>
    <row r="16" spans="1:9" ht="18" customHeight="1" x14ac:dyDescent="0.2">
      <c r="B16" s="432" t="s">
        <v>1138</v>
      </c>
      <c r="C16" s="376" t="s">
        <v>199</v>
      </c>
      <c r="D16" s="243" t="s">
        <v>199</v>
      </c>
      <c r="E16" s="283" t="s">
        <v>199</v>
      </c>
      <c r="F16" s="2331" t="str">
        <f t="shared" si="0"/>
        <v>NA</v>
      </c>
      <c r="G16" s="2191" t="s">
        <v>199</v>
      </c>
    </row>
    <row r="17" spans="2:7" ht="18" customHeight="1" thickBot="1" x14ac:dyDescent="0.25">
      <c r="B17" s="1627" t="s">
        <v>1139</v>
      </c>
      <c r="C17" s="376" t="s">
        <v>199</v>
      </c>
      <c r="D17" s="243" t="s">
        <v>199</v>
      </c>
      <c r="E17" s="283" t="s">
        <v>199</v>
      </c>
      <c r="F17" s="2332" t="str">
        <f t="shared" si="0"/>
        <v>NA</v>
      </c>
      <c r="G17" s="2194" t="s">
        <v>199</v>
      </c>
    </row>
    <row r="18" spans="2:7" ht="18" customHeight="1" x14ac:dyDescent="0.2">
      <c r="B18" s="1626" t="s">
        <v>1140</v>
      </c>
      <c r="C18" s="378"/>
      <c r="D18" s="379"/>
      <c r="E18" s="380"/>
      <c r="F18" s="2333"/>
      <c r="G18" s="2196" t="str">
        <f>IF(SUM(G19:G20)=0,"NO",SUM(G19:G20))</f>
        <v>NO</v>
      </c>
    </row>
    <row r="19" spans="2:7" ht="18" customHeight="1" x14ac:dyDescent="0.2">
      <c r="B19" s="432" t="s">
        <v>1141</v>
      </c>
      <c r="C19" s="376" t="s">
        <v>199</v>
      </c>
      <c r="D19" s="243" t="s">
        <v>199</v>
      </c>
      <c r="E19" s="283" t="s">
        <v>199</v>
      </c>
      <c r="F19" s="2331" t="str">
        <f t="shared" si="0"/>
        <v>NA</v>
      </c>
      <c r="G19" s="2191" t="s">
        <v>199</v>
      </c>
    </row>
    <row r="20" spans="2:7" ht="18" customHeight="1" thickBot="1" x14ac:dyDescent="0.25">
      <c r="B20" s="1627" t="s">
        <v>1142</v>
      </c>
      <c r="C20" s="376" t="s">
        <v>199</v>
      </c>
      <c r="D20" s="243" t="s">
        <v>199</v>
      </c>
      <c r="E20" s="283" t="s">
        <v>199</v>
      </c>
      <c r="F20" s="2332" t="str">
        <f t="shared" si="0"/>
        <v>NA</v>
      </c>
      <c r="G20" s="2194" t="s">
        <v>199</v>
      </c>
    </row>
    <row r="21" spans="2:7" ht="18" customHeight="1" x14ac:dyDescent="0.2">
      <c r="B21" s="1628" t="s">
        <v>1143</v>
      </c>
      <c r="C21" s="378"/>
      <c r="D21" s="379"/>
      <c r="E21" s="380"/>
      <c r="F21" s="2333"/>
      <c r="G21" s="2193" t="str">
        <f>G22</f>
        <v>NO</v>
      </c>
    </row>
    <row r="22" spans="2:7" ht="18" customHeight="1" thickBot="1" x14ac:dyDescent="0.25">
      <c r="B22" s="2685" t="s">
        <v>205</v>
      </c>
      <c r="C22" s="376" t="s">
        <v>199</v>
      </c>
      <c r="D22" s="243" t="s">
        <v>199</v>
      </c>
      <c r="E22" s="283" t="s">
        <v>199</v>
      </c>
      <c r="F22" s="2332"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4"/>
      <c r="E24" s="2335"/>
      <c r="F24" s="2335"/>
      <c r="G24" s="2336"/>
    </row>
    <row r="25" spans="2:7" ht="18" customHeight="1" thickBot="1" x14ac:dyDescent="0.25">
      <c r="B25" s="1621" t="s">
        <v>1145</v>
      </c>
      <c r="C25" s="4463">
        <f>C11</f>
        <v>0.19884880000000002</v>
      </c>
      <c r="D25" s="2337"/>
      <c r="E25" s="2338"/>
      <c r="F25" s="2339"/>
      <c r="G25" s="2340"/>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8" workbookViewId="0">
      <selection activeCell="H20" sqref="H20"/>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2460</v>
      </c>
    </row>
    <row r="2" spans="2:10" ht="17.25" x14ac:dyDescent="0.2">
      <c r="B2" s="213" t="s">
        <v>1147</v>
      </c>
      <c r="C2" s="213"/>
      <c r="F2" s="14" t="s">
        <v>2461</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5"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9">
        <f>IF(SUM(F11:F12,F16:F20)=0,"NO",SUM(F11:F12,F16:F20))</f>
        <v>24.799983679083745</v>
      </c>
      <c r="H10" s="395" t="s">
        <v>1157</v>
      </c>
      <c r="I10" s="396" t="s">
        <v>1158</v>
      </c>
      <c r="J10" s="397">
        <v>0.21</v>
      </c>
    </row>
    <row r="11" spans="2:10" ht="24" customHeight="1" x14ac:dyDescent="0.2">
      <c r="B11" s="2453" t="s">
        <v>1159</v>
      </c>
      <c r="C11" s="2454" t="s">
        <v>1160</v>
      </c>
      <c r="D11" s="3639">
        <v>848005.71296220005</v>
      </c>
      <c r="E11" s="3634">
        <f>IF(SUM(D11)=0,"NA",F11*1000/D11/(44/28))</f>
        <v>5.028407873496849E-3</v>
      </c>
      <c r="F11" s="3390">
        <v>6.7007578060176849</v>
      </c>
      <c r="H11" s="395" t="s">
        <v>1161</v>
      </c>
      <c r="I11" s="396" t="s">
        <v>1162</v>
      </c>
      <c r="J11" s="397">
        <v>0.24</v>
      </c>
    </row>
    <row r="12" spans="2:10" ht="24" customHeight="1" x14ac:dyDescent="0.2">
      <c r="B12" s="2453" t="s">
        <v>1163</v>
      </c>
      <c r="C12" s="2455" t="s">
        <v>1164</v>
      </c>
      <c r="D12" s="3640">
        <f>IF(SUM(D13:D15)=0,"NO",SUM(D13:D15))</f>
        <v>101697.73363413663</v>
      </c>
      <c r="E12" s="3635">
        <f t="shared" ref="E12:E23" si="0">IF(SUM(D12)=0,"NA",F12*1000/D12/(44/28))</f>
        <v>8.2304045126037947E-3</v>
      </c>
      <c r="F12" s="3391">
        <f>IF(SUM(F13:F15)=0,"NO",SUM(F13:F15))</f>
        <v>1.3153069062948206</v>
      </c>
      <c r="H12" s="4233" t="s">
        <v>1165</v>
      </c>
      <c r="I12" s="4234"/>
      <c r="J12" s="4235"/>
    </row>
    <row r="13" spans="2:10" ht="24" customHeight="1" thickBot="1" x14ac:dyDescent="0.25">
      <c r="B13" s="2453" t="s">
        <v>1166</v>
      </c>
      <c r="C13" s="2454" t="s">
        <v>1167</v>
      </c>
      <c r="D13" s="3641">
        <v>94506.675275083209</v>
      </c>
      <c r="E13" s="3634">
        <f t="shared" si="0"/>
        <v>8.1718456219580099E-3</v>
      </c>
      <c r="F13" s="3390">
        <v>1.2136047952167794</v>
      </c>
      <c r="H13" s="4236"/>
      <c r="I13" s="4237"/>
      <c r="J13" s="4238"/>
    </row>
    <row r="14" spans="2:10" ht="24" customHeight="1" x14ac:dyDescent="0.2">
      <c r="B14" s="2453" t="s">
        <v>1168</v>
      </c>
      <c r="C14" s="2454" t="s">
        <v>1169</v>
      </c>
      <c r="D14" s="3641">
        <v>7191.0583590534243</v>
      </c>
      <c r="E14" s="3634">
        <f t="shared" si="0"/>
        <v>8.9999999999999993E-3</v>
      </c>
      <c r="F14" s="3390">
        <v>0.10170211107804127</v>
      </c>
      <c r="H14" s="1435" t="s">
        <v>1170</v>
      </c>
      <c r="I14" s="1076"/>
      <c r="J14" s="1076"/>
    </row>
    <row r="15" spans="2:10" ht="24" customHeight="1" x14ac:dyDescent="0.2">
      <c r="B15" s="2456" t="s">
        <v>1171</v>
      </c>
      <c r="C15" s="2454" t="s">
        <v>1172</v>
      </c>
      <c r="D15" s="3641" t="s">
        <v>221</v>
      </c>
      <c r="E15" s="3634" t="str">
        <f t="shared" si="0"/>
        <v>NA</v>
      </c>
      <c r="F15" s="3390" t="s">
        <v>221</v>
      </c>
      <c r="H15" s="1436" t="s">
        <v>1173</v>
      </c>
      <c r="I15" s="1076"/>
      <c r="J15" s="1076"/>
    </row>
    <row r="16" spans="2:10" ht="24" customHeight="1" x14ac:dyDescent="0.2">
      <c r="B16" s="2453" t="s">
        <v>1174</v>
      </c>
      <c r="C16" s="2454" t="s">
        <v>1175</v>
      </c>
      <c r="D16" s="3641">
        <v>1792934.8248321705</v>
      </c>
      <c r="E16" s="3634">
        <f t="shared" si="0"/>
        <v>3.9999999999999983E-3</v>
      </c>
      <c r="F16" s="3390">
        <v>11.26987604180221</v>
      </c>
    </row>
    <row r="17" spans="2:11" ht="24" customHeight="1" x14ac:dyDescent="0.2">
      <c r="B17" s="2453" t="s">
        <v>1176</v>
      </c>
      <c r="C17" s="2454" t="s">
        <v>1177</v>
      </c>
      <c r="D17" s="3641">
        <v>558913.17296109383</v>
      </c>
      <c r="E17" s="3634">
        <f t="shared" si="0"/>
        <v>5.0299999999999997E-3</v>
      </c>
      <c r="F17" s="3390">
        <v>4.4178094085624746</v>
      </c>
    </row>
    <row r="18" spans="2:11" ht="24" customHeight="1" x14ac:dyDescent="0.2">
      <c r="B18" s="2453" t="s">
        <v>1178</v>
      </c>
      <c r="C18" s="2454" t="s">
        <v>1179</v>
      </c>
      <c r="D18" s="3641">
        <v>156488.57239126149</v>
      </c>
      <c r="E18" s="3636">
        <f t="shared" si="0"/>
        <v>4.1000000000000003E-3</v>
      </c>
      <c r="F18" s="3392">
        <v>1.0082335164065563</v>
      </c>
    </row>
    <row r="19" spans="2:11" ht="24" customHeight="1" x14ac:dyDescent="0.2">
      <c r="B19" s="2453" t="s">
        <v>1180</v>
      </c>
      <c r="C19" s="2454" t="s">
        <v>1181</v>
      </c>
      <c r="D19" s="3641">
        <v>4000</v>
      </c>
      <c r="E19" s="3636">
        <f>IF(SUM(D19)=0,"NA",F19*1000000/D19/(44/28))</f>
        <v>14</v>
      </c>
      <c r="F19" s="3390">
        <v>8.7999999999999995E-2</v>
      </c>
    </row>
    <row r="20" spans="2:11" ht="24" customHeight="1" thickBot="1" x14ac:dyDescent="0.25">
      <c r="B20" s="4240" t="s">
        <v>1182</v>
      </c>
      <c r="C20" s="4241"/>
      <c r="D20" s="3643" t="s">
        <v>199</v>
      </c>
      <c r="E20" s="4242" t="s">
        <v>205</v>
      </c>
      <c r="F20" s="3394" t="s">
        <v>199</v>
      </c>
    </row>
    <row r="21" spans="2:11" ht="24" customHeight="1" x14ac:dyDescent="0.2">
      <c r="B21" s="405" t="s">
        <v>1183</v>
      </c>
      <c r="C21" s="4239"/>
      <c r="D21" s="3642"/>
      <c r="E21" s="3637"/>
      <c r="F21" s="3393">
        <f>IF(SUM(F22:F23)=0,"NO",SUM(F22:F23))</f>
        <v>9.7427418090540563</v>
      </c>
    </row>
    <row r="22" spans="2:11" ht="24" customHeight="1" x14ac:dyDescent="0.2">
      <c r="B22" s="2457" t="s">
        <v>1184</v>
      </c>
      <c r="C22" s="2454" t="s">
        <v>1185</v>
      </c>
      <c r="D22" s="3641">
        <v>491153.46570376633</v>
      </c>
      <c r="E22" s="3634">
        <f t="shared" si="0"/>
        <v>3.0514014680657945E-3</v>
      </c>
      <c r="F22" s="3390">
        <v>2.3551100670335474</v>
      </c>
    </row>
    <row r="23" spans="2:11" ht="24" customHeight="1" thickBot="1" x14ac:dyDescent="0.25">
      <c r="B23" s="406" t="s">
        <v>1186</v>
      </c>
      <c r="C23" s="407" t="s">
        <v>1187</v>
      </c>
      <c r="D23" s="3643">
        <v>427383.65449705417</v>
      </c>
      <c r="E23" s="3638">
        <f t="shared" si="0"/>
        <v>1.1000000000000001E-2</v>
      </c>
      <c r="F23" s="3394">
        <v>7.387631742020508</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24" t="s">
        <v>1188</v>
      </c>
      <c r="C44" s="4525"/>
      <c r="D44" s="4525"/>
      <c r="E44" s="4525"/>
      <c r="F44" s="4526"/>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2460</v>
      </c>
    </row>
    <row r="2" spans="2:11" ht="15.75" customHeight="1" x14ac:dyDescent="0.25">
      <c r="B2" s="13" t="s">
        <v>1190</v>
      </c>
      <c r="K2" s="14" t="s">
        <v>2461</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5"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2"/>
      <c r="C9" s="373" t="s">
        <v>1197</v>
      </c>
      <c r="D9" s="411" t="s">
        <v>1198</v>
      </c>
      <c r="E9" s="411"/>
      <c r="F9" s="411" t="s">
        <v>1199</v>
      </c>
      <c r="G9" s="399"/>
      <c r="H9" s="1092" t="s">
        <v>1200</v>
      </c>
      <c r="I9" s="1093"/>
      <c r="J9" s="2051" t="s">
        <v>171</v>
      </c>
      <c r="K9" s="2253"/>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243" t="s">
        <v>274</v>
      </c>
      <c r="C11" s="4244" t="s">
        <v>205</v>
      </c>
      <c r="D11" s="2141" t="s">
        <v>205</v>
      </c>
      <c r="E11" s="2141" t="s">
        <v>205</v>
      </c>
      <c r="F11" s="2141" t="s">
        <v>205</v>
      </c>
      <c r="G11" s="4245" t="s">
        <v>205</v>
      </c>
      <c r="H11" s="4246"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94" t="s">
        <v>1203</v>
      </c>
      <c r="C27" s="4495"/>
      <c r="D27" s="4495"/>
      <c r="E27" s="4495"/>
      <c r="F27" s="4495"/>
      <c r="G27" s="4495"/>
      <c r="H27" s="4495"/>
      <c r="I27" s="4495"/>
      <c r="J27" s="4495"/>
      <c r="K27" s="4496"/>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2460</v>
      </c>
    </row>
    <row r="2" spans="2:24" ht="15.75" x14ac:dyDescent="0.25">
      <c r="B2" s="208" t="s">
        <v>1205</v>
      </c>
      <c r="C2" s="208"/>
      <c r="D2" s="208"/>
      <c r="J2" s="14" t="s">
        <v>2461</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5"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6"/>
      <c r="Q8" s="2656"/>
      <c r="R8" s="2656"/>
      <c r="S8" s="2656"/>
      <c r="T8" s="2656"/>
      <c r="U8" s="2656"/>
      <c r="V8" s="2656"/>
      <c r="W8" s="2656"/>
      <c r="X8" s="272"/>
    </row>
    <row r="9" spans="2:24" ht="18" customHeight="1" thickBot="1" x14ac:dyDescent="0.25">
      <c r="B9" s="398"/>
      <c r="C9" s="373" t="s">
        <v>1224</v>
      </c>
      <c r="D9" s="411" t="s">
        <v>1198</v>
      </c>
      <c r="E9" s="411"/>
      <c r="F9" s="399" t="s">
        <v>1199</v>
      </c>
      <c r="G9" s="1092" t="s">
        <v>1200</v>
      </c>
      <c r="H9" s="1093"/>
      <c r="I9" s="1092" t="s">
        <v>171</v>
      </c>
      <c r="J9" s="1093"/>
      <c r="L9" s="1322" t="s">
        <v>1225</v>
      </c>
      <c r="M9" s="4167">
        <v>10821628.16</v>
      </c>
      <c r="N9" s="4167">
        <v>4257032.16</v>
      </c>
      <c r="O9" s="4167">
        <v>239878.93000000002</v>
      </c>
      <c r="P9" s="4168">
        <v>1283008.77</v>
      </c>
      <c r="Q9" s="4168">
        <v>748303.17999999993</v>
      </c>
      <c r="R9" s="4168">
        <v>305682.20800000004</v>
      </c>
      <c r="S9" s="4168">
        <v>162806.37</v>
      </c>
      <c r="T9" s="4168">
        <v>199254.14</v>
      </c>
      <c r="U9" s="4168">
        <v>1041342.0956099998</v>
      </c>
      <c r="V9" s="4168">
        <v>36054089.699999996</v>
      </c>
      <c r="W9" s="4168">
        <v>17587.130860000001</v>
      </c>
      <c r="X9" s="4169">
        <v>172418</v>
      </c>
    </row>
    <row r="10" spans="2:24" ht="18" customHeight="1" thickTop="1" x14ac:dyDescent="0.2">
      <c r="B10" s="430" t="s">
        <v>1226</v>
      </c>
      <c r="C10" s="374"/>
      <c r="D10" s="431"/>
      <c r="E10" s="431"/>
      <c r="F10" s="4137">
        <f>IF(SUM(F11:F14)=0,"NO",SUM(F11:F14))</f>
        <v>1746.7974508234774</v>
      </c>
      <c r="G10" s="4138">
        <f>IF(SUM($F10)=0,"NA",I10/$F10*1000)</f>
        <v>1.875300443825157</v>
      </c>
      <c r="H10" s="4139">
        <f>IF(SUM($F10)=0,"NA",J10/$F10*1000)</f>
        <v>7.6004001006995087E-2</v>
      </c>
      <c r="I10" s="3161">
        <f>IF(SUM(I11:I14)=0,"NO",SUM(I11:I14))</f>
        <v>3.2757700348019201</v>
      </c>
      <c r="J10" s="416">
        <f>IF(SUM(J11:J14)=0,"NO",SUM(J11:J14))</f>
        <v>0.13276359521140405</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140">
        <v>1019.1671500809982</v>
      </c>
      <c r="G11" s="4141">
        <f>IF(SUM($F11)=0,"NA",I11/$F11*1000)</f>
        <v>1.8666666666666669</v>
      </c>
      <c r="H11" s="4142">
        <f>IF(SUM($F11)=0,"NA",J11/$F11*1000)</f>
        <v>7.1657142857142864E-2</v>
      </c>
      <c r="I11" s="3291">
        <v>1.9024453468178635</v>
      </c>
      <c r="J11" s="3292">
        <v>7.3030606068661241E-2</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140">
        <v>355.42617210708312</v>
      </c>
      <c r="G12" s="4143">
        <f t="shared" ref="G12:G28" si="0">IF(SUM($F12)=0,"NA",I12/$F12*1000)</f>
        <v>1.8666666666666665</v>
      </c>
      <c r="H12" s="4142">
        <f t="shared" ref="H12:H28" si="1">IF(SUM($F12)=0,"NA",J12/$F12*1000)</f>
        <v>8.3599999999999994E-2</v>
      </c>
      <c r="I12" s="3149">
        <v>0.66346218793322176</v>
      </c>
      <c r="J12" s="3292">
        <v>2.971362798815215E-2</v>
      </c>
      <c r="L12" s="1323" t="s">
        <v>1231</v>
      </c>
      <c r="M12" s="4165">
        <v>0.14864066555792541</v>
      </c>
      <c r="N12" s="4165">
        <v>0.15940314235681791</v>
      </c>
      <c r="O12" s="4165">
        <v>0.17718747472775062</v>
      </c>
      <c r="P12" s="4166">
        <v>0.11837227432470447</v>
      </c>
      <c r="Q12" s="4166">
        <v>0.1478138794833555</v>
      </c>
      <c r="R12" s="4166">
        <v>0.16377393785897845</v>
      </c>
      <c r="S12" s="4166">
        <v>0.81500000000000006</v>
      </c>
      <c r="T12" s="4166">
        <v>0.20531084929393853</v>
      </c>
      <c r="U12" s="4166">
        <v>0.148675913103822</v>
      </c>
      <c r="V12" s="4166">
        <v>0.47724239505622573</v>
      </c>
      <c r="W12" s="4166">
        <v>6.4688362470555927E-2</v>
      </c>
      <c r="X12" s="4140">
        <v>0.13010857182605193</v>
      </c>
    </row>
    <row r="13" spans="2:24" ht="18" customHeight="1" thickBot="1" x14ac:dyDescent="0.25">
      <c r="B13" s="432" t="s">
        <v>1232</v>
      </c>
      <c r="C13" s="433" t="s">
        <v>205</v>
      </c>
      <c r="D13" s="433" t="s">
        <v>205</v>
      </c>
      <c r="E13" s="433" t="s">
        <v>205</v>
      </c>
      <c r="F13" s="4140">
        <v>28.093141019255818</v>
      </c>
      <c r="G13" s="4143">
        <f t="shared" si="0"/>
        <v>1.9599999999999995</v>
      </c>
      <c r="H13" s="4142">
        <f t="shared" si="1"/>
        <v>5.971428571428572E-2</v>
      </c>
      <c r="I13" s="3149">
        <v>5.5062556397741394E-2</v>
      </c>
      <c r="J13" s="3292">
        <v>1.6775618494355618E-3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144">
        <f>IF(SUM(F15:F19)=0,"NO",SUM(F15:F19))</f>
        <v>344.11098761614011</v>
      </c>
      <c r="G14" s="4145">
        <f t="shared" si="0"/>
        <v>1.902874267948486</v>
      </c>
      <c r="H14" s="4146">
        <f t="shared" si="1"/>
        <v>8.2362378200985298E-2</v>
      </c>
      <c r="I14" s="3168">
        <f>IF(SUM(I15:I19)=0,"NO",SUM(I15:I19))</f>
        <v>0.65479994365309313</v>
      </c>
      <c r="J14" s="3064">
        <f>IF(SUM(J15:J19)=0,"NO",SUM(J15:J19))</f>
        <v>2.8341799305155096E-2</v>
      </c>
      <c r="L14" s="1437" t="s">
        <v>1235</v>
      </c>
      <c r="M14" s="173"/>
      <c r="N14" s="173"/>
      <c r="O14" s="173"/>
      <c r="P14" s="173"/>
      <c r="Q14" s="173"/>
      <c r="R14" s="173"/>
      <c r="S14" s="173"/>
      <c r="T14" s="173"/>
      <c r="U14" s="173"/>
      <c r="V14" s="173"/>
      <c r="W14" s="173"/>
      <c r="X14" s="173"/>
    </row>
    <row r="15" spans="2:24" ht="18" customHeight="1" x14ac:dyDescent="0.2">
      <c r="B15" s="2687" t="s">
        <v>1210</v>
      </c>
      <c r="C15" s="433" t="s">
        <v>205</v>
      </c>
      <c r="D15" s="433" t="s">
        <v>205</v>
      </c>
      <c r="E15" s="433" t="s">
        <v>205</v>
      </c>
      <c r="F15" s="4140">
        <v>87.478655664062401</v>
      </c>
      <c r="G15" s="4147">
        <f t="shared" si="0"/>
        <v>1.8666666666666667</v>
      </c>
      <c r="H15" s="4148">
        <f t="shared" si="1"/>
        <v>9.5542857142857124E-2</v>
      </c>
      <c r="I15" s="3293">
        <v>0.16329349057291648</v>
      </c>
      <c r="J15" s="3292">
        <v>8.3579607011607035E-3</v>
      </c>
      <c r="L15" s="1438" t="s">
        <v>1236</v>
      </c>
      <c r="M15" s="173"/>
      <c r="N15" s="173"/>
      <c r="O15" s="173"/>
      <c r="P15" s="173"/>
      <c r="Q15" s="173"/>
      <c r="R15" s="173"/>
      <c r="S15" s="173"/>
      <c r="T15" s="173"/>
      <c r="U15" s="173"/>
      <c r="V15" s="173"/>
      <c r="W15" s="173"/>
      <c r="X15" s="173"/>
    </row>
    <row r="16" spans="2:24" ht="18" customHeight="1" x14ac:dyDescent="0.2">
      <c r="B16" s="2688" t="s">
        <v>1211</v>
      </c>
      <c r="C16" s="433" t="s">
        <v>205</v>
      </c>
      <c r="D16" s="433" t="s">
        <v>205</v>
      </c>
      <c r="E16" s="433" t="s">
        <v>205</v>
      </c>
      <c r="F16" s="4140">
        <v>66.344520596874403</v>
      </c>
      <c r="G16" s="4149">
        <f t="shared" si="0"/>
        <v>1.8666666666666667</v>
      </c>
      <c r="H16" s="4150">
        <f t="shared" si="1"/>
        <v>7.1657142857142864E-2</v>
      </c>
      <c r="I16" s="3294">
        <v>0.12384310511416555</v>
      </c>
      <c r="J16" s="3292">
        <v>4.7540587901988857E-3</v>
      </c>
      <c r="L16" s="1438"/>
      <c r="M16" s="173"/>
      <c r="N16" s="173"/>
      <c r="O16" s="173"/>
      <c r="P16" s="173"/>
      <c r="Q16" s="173"/>
      <c r="R16" s="173"/>
      <c r="S16" s="173"/>
      <c r="T16" s="173"/>
      <c r="U16" s="173"/>
      <c r="V16" s="173"/>
      <c r="W16" s="173"/>
      <c r="X16" s="173"/>
    </row>
    <row r="17" spans="2:24" ht="18" customHeight="1" x14ac:dyDescent="0.2">
      <c r="B17" s="2688" t="s">
        <v>1212</v>
      </c>
      <c r="C17" s="433" t="s">
        <v>205</v>
      </c>
      <c r="D17" s="433" t="s">
        <v>205</v>
      </c>
      <c r="E17" s="433" t="s">
        <v>205</v>
      </c>
      <c r="F17" s="4140">
        <v>30.873916021925861</v>
      </c>
      <c r="G17" s="4149">
        <f t="shared" si="0"/>
        <v>1.8666666666666667</v>
      </c>
      <c r="H17" s="4150">
        <f t="shared" si="1"/>
        <v>7.1657142857142864E-2</v>
      </c>
      <c r="I17" s="3294">
        <v>5.7631309907594942E-2</v>
      </c>
      <c r="J17" s="3292">
        <v>2.2123366109425731E-3</v>
      </c>
      <c r="L17" s="1438"/>
      <c r="M17" s="173"/>
      <c r="N17" s="173"/>
      <c r="O17" s="173"/>
      <c r="P17" s="173"/>
      <c r="Q17" s="173"/>
      <c r="R17" s="173"/>
      <c r="S17" s="173"/>
      <c r="T17" s="173"/>
      <c r="U17" s="173"/>
      <c r="V17" s="173"/>
      <c r="W17" s="173"/>
      <c r="X17" s="173"/>
    </row>
    <row r="18" spans="2:24" ht="18" customHeight="1" x14ac:dyDescent="0.2">
      <c r="B18" s="2688" t="s">
        <v>1213</v>
      </c>
      <c r="C18" s="433" t="s">
        <v>205</v>
      </c>
      <c r="D18" s="433" t="s">
        <v>205</v>
      </c>
      <c r="E18" s="433" t="s">
        <v>205</v>
      </c>
      <c r="F18" s="4140">
        <v>133.49392967462401</v>
      </c>
      <c r="G18" s="4149">
        <f t="shared" si="0"/>
        <v>1.96</v>
      </c>
      <c r="H18" s="4150">
        <f t="shared" si="1"/>
        <v>8.359999999999998E-2</v>
      </c>
      <c r="I18" s="3294">
        <v>0.26164810216226303</v>
      </c>
      <c r="J18" s="3292">
        <v>1.1160092520798566E-2</v>
      </c>
      <c r="L18" s="1438"/>
      <c r="M18" s="173"/>
      <c r="N18" s="173"/>
      <c r="O18" s="173"/>
      <c r="P18" s="173"/>
      <c r="Q18" s="173"/>
      <c r="R18" s="173"/>
      <c r="S18" s="173"/>
      <c r="T18" s="173"/>
      <c r="U18" s="173"/>
      <c r="V18" s="173"/>
      <c r="W18" s="173"/>
      <c r="X18" s="173"/>
    </row>
    <row r="19" spans="2:24" ht="18" customHeight="1" thickBot="1" x14ac:dyDescent="0.25">
      <c r="B19" s="2688" t="s">
        <v>1214</v>
      </c>
      <c r="C19" s="433" t="s">
        <v>205</v>
      </c>
      <c r="D19" s="433" t="s">
        <v>205</v>
      </c>
      <c r="E19" s="433" t="s">
        <v>205</v>
      </c>
      <c r="F19" s="4151">
        <v>25.919965658653439</v>
      </c>
      <c r="G19" s="4149">
        <f t="shared" si="0"/>
        <v>1.8666666666666669</v>
      </c>
      <c r="H19" s="4150">
        <f t="shared" si="1"/>
        <v>7.1657142857142878E-2</v>
      </c>
      <c r="I19" s="3294">
        <v>4.8383935896153092E-2</v>
      </c>
      <c r="J19" s="3292">
        <v>1.8573506820543668E-3</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52">
        <f>F21</f>
        <v>88.575802635781997</v>
      </c>
      <c r="G20" s="4153">
        <f t="shared" si="0"/>
        <v>1.866666666666666</v>
      </c>
      <c r="H20" s="4154">
        <f t="shared" si="1"/>
        <v>0.10748571428571425</v>
      </c>
      <c r="I20" s="3187">
        <f>I21</f>
        <v>0.16534149825345967</v>
      </c>
      <c r="J20" s="442">
        <f>J21</f>
        <v>9.5206334147374793E-3</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55">
        <f>F22</f>
        <v>88.575802635781997</v>
      </c>
      <c r="G21" s="4156">
        <f t="shared" si="0"/>
        <v>1.866666666666666</v>
      </c>
      <c r="H21" s="4146">
        <f t="shared" si="1"/>
        <v>0.10748571428571425</v>
      </c>
      <c r="I21" s="3168">
        <f>I22</f>
        <v>0.16534149825345967</v>
      </c>
      <c r="J21" s="3064">
        <f>J22</f>
        <v>9.5206334147374793E-3</v>
      </c>
      <c r="L21" s="159"/>
      <c r="M21" s="159"/>
      <c r="N21" s="159"/>
      <c r="O21" s="159"/>
      <c r="P21" s="159"/>
      <c r="Q21" s="159"/>
      <c r="R21" s="159"/>
      <c r="S21" s="159"/>
      <c r="T21" s="159"/>
      <c r="U21" s="159"/>
      <c r="V21" s="159"/>
      <c r="W21" s="159"/>
      <c r="X21" s="159"/>
    </row>
    <row r="22" spans="2:24" ht="18" customHeight="1" thickBot="1" x14ac:dyDescent="0.25">
      <c r="B22" s="2689" t="s">
        <v>1215</v>
      </c>
      <c r="C22" s="445" t="s">
        <v>205</v>
      </c>
      <c r="D22" s="308" t="s">
        <v>205</v>
      </c>
      <c r="E22" s="308" t="s">
        <v>205</v>
      </c>
      <c r="F22" s="4157">
        <v>88.575802635781997</v>
      </c>
      <c r="G22" s="4158">
        <f t="shared" si="0"/>
        <v>1.866666666666666</v>
      </c>
      <c r="H22" s="4159">
        <f t="shared" si="1"/>
        <v>0.10748571428571425</v>
      </c>
      <c r="I22" s="3295">
        <v>0.16534149825345967</v>
      </c>
      <c r="J22" s="3296">
        <v>9.5206334147374793E-3</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52" t="str">
        <f>F24</f>
        <v>NA</v>
      </c>
      <c r="G23" s="4153" t="str">
        <f t="shared" si="0"/>
        <v>NA</v>
      </c>
      <c r="H23" s="4154" t="str">
        <f t="shared" si="1"/>
        <v>NA</v>
      </c>
      <c r="I23" s="3187"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55" t="str">
        <f>F25</f>
        <v>NA</v>
      </c>
      <c r="G24" s="4156" t="str">
        <f t="shared" si="0"/>
        <v>NA</v>
      </c>
      <c r="H24" s="4160" t="str">
        <f t="shared" si="1"/>
        <v>NA</v>
      </c>
      <c r="I24" s="3168" t="str">
        <f>I25</f>
        <v>NA</v>
      </c>
      <c r="J24" s="3064" t="str">
        <f>J25</f>
        <v>NA</v>
      </c>
      <c r="L24" s="159"/>
    </row>
    <row r="25" spans="2:24" ht="18" customHeight="1" thickBot="1" x14ac:dyDescent="0.25">
      <c r="B25" s="2689" t="s">
        <v>205</v>
      </c>
      <c r="C25" s="445" t="s">
        <v>205</v>
      </c>
      <c r="D25" s="308" t="s">
        <v>205</v>
      </c>
      <c r="E25" s="308" t="s">
        <v>205</v>
      </c>
      <c r="F25" s="4161" t="s">
        <v>205</v>
      </c>
      <c r="G25" s="4158" t="str">
        <f t="shared" si="0"/>
        <v>NA</v>
      </c>
      <c r="H25" s="4159" t="str">
        <f t="shared" si="1"/>
        <v>NA</v>
      </c>
      <c r="I25" s="3295" t="s">
        <v>205</v>
      </c>
      <c r="J25" s="3296" t="s">
        <v>205</v>
      </c>
      <c r="L25" s="159"/>
    </row>
    <row r="26" spans="2:24" ht="18" customHeight="1" thickBot="1" x14ac:dyDescent="0.25">
      <c r="B26" s="447" t="s">
        <v>1241</v>
      </c>
      <c r="C26" s="448" t="s">
        <v>205</v>
      </c>
      <c r="D26" s="449" t="s">
        <v>205</v>
      </c>
      <c r="E26" s="449" t="s">
        <v>205</v>
      </c>
      <c r="F26" s="4162">
        <v>825.91392575999998</v>
      </c>
      <c r="G26" s="4163">
        <f t="shared" si="0"/>
        <v>1.8666666666666667</v>
      </c>
      <c r="H26" s="4164">
        <f t="shared" si="1"/>
        <v>5.9714285714285713E-2</v>
      </c>
      <c r="I26" s="3297">
        <v>1.541705994752</v>
      </c>
      <c r="J26" s="3298">
        <v>4.9318860138239995E-2</v>
      </c>
      <c r="L26" s="159"/>
    </row>
    <row r="27" spans="2:24" ht="18" customHeight="1" x14ac:dyDescent="0.2">
      <c r="B27" s="439" t="s">
        <v>1242</v>
      </c>
      <c r="C27" s="440"/>
      <c r="D27" s="441"/>
      <c r="E27" s="441"/>
      <c r="F27" s="4152">
        <f>IF(SUM(F28:F29)=0,"NO",SUM(F28:F29))</f>
        <v>74.165779338485819</v>
      </c>
      <c r="G27" s="4153">
        <f t="shared" si="0"/>
        <v>1.867254926731581</v>
      </c>
      <c r="H27" s="4154">
        <f t="shared" si="1"/>
        <v>0.10801262722957349</v>
      </c>
      <c r="I27" s="3187">
        <f>IF(SUM(I28:I29)=0,"NO",SUM(I28:I29))</f>
        <v>0.13848641686467494</v>
      </c>
      <c r="J27" s="442">
        <f>IF(SUM(J28:J29)=0,"NO",SUM(J28:J29))</f>
        <v>8.0108406768786729E-3</v>
      </c>
      <c r="L27" s="159"/>
      <c r="M27" s="159"/>
      <c r="N27" s="159"/>
      <c r="O27" s="159"/>
      <c r="P27" s="159"/>
      <c r="Q27" s="159"/>
      <c r="R27" s="159"/>
      <c r="S27" s="159"/>
      <c r="T27" s="159"/>
      <c r="U27" s="159"/>
      <c r="V27" s="159"/>
      <c r="W27" s="159"/>
      <c r="X27" s="159"/>
    </row>
    <row r="28" spans="2:24" ht="18" customHeight="1" x14ac:dyDescent="0.2">
      <c r="B28" s="2688" t="s">
        <v>1217</v>
      </c>
      <c r="C28" s="433" t="s">
        <v>205</v>
      </c>
      <c r="D28" s="433" t="s">
        <v>205</v>
      </c>
      <c r="E28" s="433" t="s">
        <v>205</v>
      </c>
      <c r="F28" s="4151">
        <v>0.46745106608678194</v>
      </c>
      <c r="G28" s="4149">
        <f t="shared" si="0"/>
        <v>1.9599999999999995</v>
      </c>
      <c r="H28" s="4150">
        <f t="shared" si="1"/>
        <v>0.1910857142857143</v>
      </c>
      <c r="I28" s="3294">
        <v>9.1620408953009243E-4</v>
      </c>
      <c r="J28" s="3292">
        <v>8.9323220856811367E-5</v>
      </c>
      <c r="L28" s="159"/>
      <c r="M28" s="159"/>
      <c r="N28" s="159"/>
      <c r="O28" s="159"/>
      <c r="P28" s="159"/>
      <c r="Q28" s="159"/>
      <c r="R28" s="159"/>
      <c r="S28" s="159"/>
      <c r="T28" s="159"/>
      <c r="U28" s="159"/>
      <c r="V28" s="159"/>
      <c r="W28" s="159"/>
      <c r="X28" s="159"/>
    </row>
    <row r="29" spans="2:24" ht="18" customHeight="1" thickBot="1" x14ac:dyDescent="0.25">
      <c r="B29" s="2688" t="s">
        <v>1218</v>
      </c>
      <c r="C29" s="433" t="s">
        <v>205</v>
      </c>
      <c r="D29" s="433" t="s">
        <v>205</v>
      </c>
      <c r="E29" s="433" t="s">
        <v>205</v>
      </c>
      <c r="F29" s="4151">
        <v>73.698328272399038</v>
      </c>
      <c r="G29" s="4149">
        <f t="shared" ref="G29" si="2">IF(SUM($F29)=0,"NA",I29/$F29*1000)</f>
        <v>1.8666666666666665</v>
      </c>
      <c r="H29" s="4150">
        <f t="shared" ref="H29" si="3">IF(SUM($F29)=0,"NA",J29/$F29*1000)</f>
        <v>0.10748571428571428</v>
      </c>
      <c r="I29" s="3294">
        <v>0.13757021277514486</v>
      </c>
      <c r="J29" s="3292">
        <v>7.9215174560218621E-3</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21" t="s">
        <v>1243</v>
      </c>
      <c r="C41" s="4522"/>
      <c r="D41" s="4522"/>
      <c r="E41" s="4522"/>
      <c r="F41" s="4522"/>
      <c r="G41" s="4522"/>
      <c r="H41" s="4522"/>
      <c r="I41" s="4522"/>
      <c r="J41" s="4523"/>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2460</v>
      </c>
    </row>
    <row r="2" spans="2:5" s="83" customFormat="1" ht="17.25" x14ac:dyDescent="0.3">
      <c r="B2" s="208" t="s">
        <v>1353</v>
      </c>
      <c r="C2" s="208"/>
      <c r="E2" s="14" t="s">
        <v>2461</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5"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90"/>
      <c r="D10" s="2690"/>
      <c r="E10" s="3397">
        <f>IF(SUM(E11:E12)=0,"NO",SUM(E11:E12))</f>
        <v>1069.5072182802071</v>
      </c>
    </row>
    <row r="11" spans="2:5" s="83" customFormat="1" ht="18" customHeight="1" x14ac:dyDescent="0.2">
      <c r="B11" s="1858" t="s">
        <v>1361</v>
      </c>
      <c r="C11" s="4175">
        <v>2477077.5680413241</v>
      </c>
      <c r="D11" s="3534">
        <f>IF(SUM(C11)=0,"NA",E11*1000/(44/12)/C11)</f>
        <v>0.108</v>
      </c>
      <c r="E11" s="3395">
        <v>980.9227169443642</v>
      </c>
    </row>
    <row r="12" spans="2:5" s="83" customFormat="1" ht="18" customHeight="1" x14ac:dyDescent="0.2">
      <c r="B12" s="1858" t="s">
        <v>1362</v>
      </c>
      <c r="C12" s="4175">
        <v>195622.7486253432</v>
      </c>
      <c r="D12" s="3534">
        <f t="shared" ref="D12:D16" si="0">IF(SUM(C12)=0,"NA",E12*1000/(44/12)/C12)</f>
        <v>0.12349999999999987</v>
      </c>
      <c r="E12" s="3395">
        <v>88.584501335842816</v>
      </c>
    </row>
    <row r="13" spans="2:5" s="83" customFormat="1" ht="18" customHeight="1" x14ac:dyDescent="0.2">
      <c r="B13" s="853" t="s">
        <v>1363</v>
      </c>
      <c r="C13" s="4176">
        <v>1017654.5950300001</v>
      </c>
      <c r="D13" s="4177">
        <f t="shared" si="0"/>
        <v>0.2</v>
      </c>
      <c r="E13" s="3396">
        <v>746.28003635533344</v>
      </c>
    </row>
    <row r="14" spans="2:5" s="83" customFormat="1" ht="18" customHeight="1" x14ac:dyDescent="0.2">
      <c r="B14" s="853" t="s">
        <v>1364</v>
      </c>
      <c r="C14" s="4176" t="s">
        <v>221</v>
      </c>
      <c r="D14" s="4177" t="str">
        <f t="shared" si="0"/>
        <v>NA</v>
      </c>
      <c r="E14" s="4178" t="s">
        <v>221</v>
      </c>
    </row>
    <row r="15" spans="2:5" s="83" customFormat="1" ht="18" customHeight="1" x14ac:dyDescent="0.2">
      <c r="B15" s="853" t="s">
        <v>1365</v>
      </c>
      <c r="C15" s="4247"/>
      <c r="D15" s="4247"/>
      <c r="E15" s="3534" t="str">
        <f>E16</f>
        <v>NO</v>
      </c>
    </row>
    <row r="16" spans="2:5" s="83" customFormat="1" ht="18" customHeight="1" thickBot="1" x14ac:dyDescent="0.25">
      <c r="B16" s="2691" t="s">
        <v>205</v>
      </c>
      <c r="C16" s="4179" t="s">
        <v>199</v>
      </c>
      <c r="D16" s="3538" t="str">
        <f t="shared" si="0"/>
        <v>NA</v>
      </c>
      <c r="E16" s="4180"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2460</v>
      </c>
    </row>
    <row r="2" spans="2:10" ht="15.75" customHeight="1" x14ac:dyDescent="0.25">
      <c r="B2" s="13" t="s">
        <v>162</v>
      </c>
      <c r="I2" s="14" t="s">
        <v>2461</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5" t="s">
        <v>62</v>
      </c>
    </row>
    <row r="8" spans="2:10" ht="27" x14ac:dyDescent="0.2">
      <c r="B8" s="1329" t="s">
        <v>164</v>
      </c>
      <c r="C8" s="4263" t="s">
        <v>1245</v>
      </c>
      <c r="D8" s="4264" t="s">
        <v>1246</v>
      </c>
      <c r="E8" s="4264" t="s">
        <v>1247</v>
      </c>
      <c r="F8" s="4264" t="s">
        <v>1248</v>
      </c>
      <c r="G8" s="4264" t="s">
        <v>75</v>
      </c>
      <c r="H8" s="4263" t="s">
        <v>143</v>
      </c>
      <c r="I8" s="4265" t="s">
        <v>1249</v>
      </c>
    </row>
    <row r="9" spans="2:10" ht="14.25" thickBot="1" x14ac:dyDescent="0.25">
      <c r="B9" s="1330"/>
      <c r="C9" s="4266" t="s">
        <v>171</v>
      </c>
      <c r="D9" s="4267"/>
      <c r="E9" s="4267"/>
      <c r="F9" s="4267"/>
      <c r="G9" s="4267"/>
      <c r="H9" s="4267"/>
      <c r="I9" s="4268" t="s">
        <v>1250</v>
      </c>
    </row>
    <row r="10" spans="2:10" ht="18" customHeight="1" thickTop="1" thickBot="1" x14ac:dyDescent="0.25">
      <c r="B10" s="463" t="s">
        <v>1251</v>
      </c>
      <c r="C10" s="4269">
        <f>IF(SUM(C11,C14,C17,C20,C23,C26,C29:C30)=0,"NO",SUM(C11,C14,C17,C20,C23,C26,C29:C30))</f>
        <v>53745.012522106052</v>
      </c>
      <c r="D10" s="4269">
        <f t="shared" ref="D10:H10" si="0">IF(SUM(D11,D14,D17,D20,D23,D26,D29:D30)=0,"NO",SUM(D11,D14,D17,D20,D23,D26,D29:D30))</f>
        <v>770.39823790037201</v>
      </c>
      <c r="E10" s="4269">
        <f t="shared" si="0"/>
        <v>18.447372493142026</v>
      </c>
      <c r="F10" s="4269">
        <f t="shared" si="0"/>
        <v>1005.3158530661846</v>
      </c>
      <c r="G10" s="4269">
        <f t="shared" si="0"/>
        <v>26686.124999380601</v>
      </c>
      <c r="H10" s="4270">
        <f t="shared" si="0"/>
        <v>808.54679728910628</v>
      </c>
      <c r="I10" s="4271">
        <f>IF(SUM(C10:E10)=0,"NO",SUM(C10)+28*SUM(D10)+265*SUM(E10))</f>
        <v>80204.71689399911</v>
      </c>
      <c r="J10" s="4259"/>
    </row>
    <row r="11" spans="2:10" ht="18" customHeight="1" x14ac:dyDescent="0.2">
      <c r="B11" s="464" t="s">
        <v>1252</v>
      </c>
      <c r="C11" s="4272">
        <f>IF(SUM(C12:C13)=0,"NO",SUM(C12:C13))</f>
        <v>-39411.955402476699</v>
      </c>
      <c r="D11" s="4272">
        <f t="shared" ref="D11:H11" si="1">IF(SUM(D12:D13)=0,"NO",SUM(D12:D13))</f>
        <v>283.90008259136266</v>
      </c>
      <c r="E11" s="4272">
        <f t="shared" si="1"/>
        <v>5.4116143689676184</v>
      </c>
      <c r="F11" s="4272">
        <f t="shared" si="1"/>
        <v>286.45095235107425</v>
      </c>
      <c r="G11" s="4272">
        <f t="shared" si="1"/>
        <v>7760.3629566133877</v>
      </c>
      <c r="H11" s="4273">
        <f t="shared" si="1"/>
        <v>281.44566444708789</v>
      </c>
      <c r="I11" s="4274">
        <f t="shared" ref="I11:I32" si="2">IF(SUM(C11:E11)=0,"NO",SUM(C11)+28*SUM(D11)+265*SUM(E11))</f>
        <v>-30028.675282142125</v>
      </c>
    </row>
    <row r="12" spans="2:10" ht="18" customHeight="1" x14ac:dyDescent="0.2">
      <c r="B12" s="465" t="s">
        <v>1253</v>
      </c>
      <c r="C12" s="4275">
        <f>IF(SUM(Table4.A!U11,'Table4(IV)'!J12)=0,"NO",SUM(Table4.A!U11,'Table4(IV)'!J12))</f>
        <v>-17884.133609094359</v>
      </c>
      <c r="D12" s="4275">
        <f>'Table4(IV)'!K12</f>
        <v>281.18148136804314</v>
      </c>
      <c r="E12" s="4275">
        <f>IF(SUM('Table4(III)'!I12,'Table4(IV)'!L12)=0,"NO",SUM('Table4(III)'!I12,'Table4(IV)'!L12))</f>
        <v>4.7239007093348793</v>
      </c>
      <c r="F12" s="4276">
        <v>284.63404703870924</v>
      </c>
      <c r="G12" s="4276">
        <v>7691.8120044894076</v>
      </c>
      <c r="H12" s="4277">
        <v>273.65463439579634</v>
      </c>
      <c r="I12" s="4278">
        <f t="shared" si="2"/>
        <v>-8759.2184428154069</v>
      </c>
    </row>
    <row r="13" spans="2:10" ht="18" customHeight="1" thickBot="1" x14ac:dyDescent="0.25">
      <c r="B13" s="466" t="s">
        <v>1254</v>
      </c>
      <c r="C13" s="4279">
        <f>IF(SUM(Table4.A!U16,'Table4(IV)'!J19)=0,"NO",SUM(Table4.A!U16,'Table4(IV)'!J19))</f>
        <v>-21527.82179338234</v>
      </c>
      <c r="D13" s="4279">
        <f>'Table4(IV)'!K19</f>
        <v>2.718601223319506</v>
      </c>
      <c r="E13" s="4279">
        <f>IF(SUM('Table4(III)'!I13,'Table4(IV)'!L19)=0,"NO",SUM('Table4(III)'!I13,'Table4(IV)'!L19))</f>
        <v>0.68771365963273945</v>
      </c>
      <c r="F13" s="4280">
        <v>1.8169053123650116</v>
      </c>
      <c r="G13" s="4280">
        <v>68.550952123979982</v>
      </c>
      <c r="H13" s="4281">
        <v>7.7910300512915569</v>
      </c>
      <c r="I13" s="4282">
        <f t="shared" si="2"/>
        <v>-21269.456839326718</v>
      </c>
    </row>
    <row r="14" spans="2:10" ht="18" customHeight="1" x14ac:dyDescent="0.2">
      <c r="B14" s="464" t="s">
        <v>1255</v>
      </c>
      <c r="C14" s="4272">
        <f>IF(SUM(C15:C16)=0,"NO",SUM(C15:C16))</f>
        <v>9016.0798520951339</v>
      </c>
      <c r="D14" s="4272">
        <f t="shared" ref="D14" si="3">IF(SUM(D15:D16)=0,"NO",SUM(D15:D16))</f>
        <v>3.5173822008307143</v>
      </c>
      <c r="E14" s="4272">
        <f t="shared" ref="E14" si="4">IF(SUM(E15:E16)=0,"NO",SUM(E15:E16))</f>
        <v>0.22167883968747498</v>
      </c>
      <c r="F14" s="4272">
        <f t="shared" ref="F14" si="5">IF(SUM(F15:F16)=0,"NO",SUM(F15:F16))</f>
        <v>2.6485050500302707</v>
      </c>
      <c r="G14" s="4272">
        <f t="shared" ref="G14" si="6">IF(SUM(G15:G16)=0,"NO",SUM(G15:G16))</f>
        <v>103.73020657079471</v>
      </c>
      <c r="H14" s="4273">
        <f t="shared" ref="H14" si="7">IF(SUM(H15:H16)=0,"NO",SUM(H15:H16))</f>
        <v>12.538816178887268</v>
      </c>
      <c r="I14" s="4283">
        <f t="shared" si="2"/>
        <v>9173.3114462355752</v>
      </c>
    </row>
    <row r="15" spans="2:10" ht="18" customHeight="1" x14ac:dyDescent="0.2">
      <c r="B15" s="465" t="s">
        <v>1256</v>
      </c>
      <c r="C15" s="4275">
        <f>IF(SUM(Table4.B!S11,'Table4(IV)'!J26)=0,"NO",SUM(Table4.B!S11,'Table4(IV)'!J26))</f>
        <v>5707.7965769903676</v>
      </c>
      <c r="D15" s="4275" t="str">
        <f>'Table4(IV)'!K26</f>
        <v>IE</v>
      </c>
      <c r="E15" s="4275" t="str">
        <f>'Table4(IV)'!L26</f>
        <v>IE</v>
      </c>
      <c r="F15" s="4276" t="s">
        <v>274</v>
      </c>
      <c r="G15" s="4276" t="s">
        <v>274</v>
      </c>
      <c r="H15" s="4277" t="s">
        <v>274</v>
      </c>
      <c r="I15" s="4278">
        <f t="shared" si="2"/>
        <v>5707.7965769903676</v>
      </c>
    </row>
    <row r="16" spans="2:10" ht="18" customHeight="1" thickBot="1" x14ac:dyDescent="0.25">
      <c r="B16" s="466" t="s">
        <v>1257</v>
      </c>
      <c r="C16" s="4279">
        <f>IF(SUM(Table4.B!S13,'Table4(IV)'!J31)=0,"IE",SUM(Table4.B!S13,'Table4(IV)'!J31))</f>
        <v>3308.2832751047663</v>
      </c>
      <c r="D16" s="4279">
        <f>'Table4(IV)'!K31</f>
        <v>3.5173822008307143</v>
      </c>
      <c r="E16" s="4279">
        <f>IF(SUM('Table4(III)'!I21,'Table4(IV)'!L31)=0,"IE",SUM('Table4(III)'!I21,'Table4(IV)'!L31))</f>
        <v>0.22167883968747498</v>
      </c>
      <c r="F16" s="4280">
        <v>2.6485050500302707</v>
      </c>
      <c r="G16" s="4280">
        <v>103.73020657079471</v>
      </c>
      <c r="H16" s="4281">
        <v>12.538816178887268</v>
      </c>
      <c r="I16" s="4282">
        <f t="shared" si="2"/>
        <v>3465.5148692452071</v>
      </c>
    </row>
    <row r="17" spans="2:9" ht="18" customHeight="1" x14ac:dyDescent="0.2">
      <c r="B17" s="464" t="s">
        <v>1258</v>
      </c>
      <c r="C17" s="4272">
        <f>IF(SUM(C18:C19)=0,"NO",SUM(C18:C19))</f>
        <v>84789.598346893748</v>
      </c>
      <c r="D17" s="4272">
        <f t="shared" ref="D17" si="8">IF(SUM(D18:D19)=0,"NO",SUM(D18:D19))</f>
        <v>405.75634088485094</v>
      </c>
      <c r="E17" s="4272">
        <f t="shared" ref="E17" si="9">IF(SUM(E18:E19)=0,"NO",SUM(E18:E19))</f>
        <v>12.213681916345003</v>
      </c>
      <c r="F17" s="4272">
        <f t="shared" ref="F17" si="10">IF(SUM(F18:F19)=0,"NO",SUM(F18:F19))</f>
        <v>685.07398068812176</v>
      </c>
      <c r="G17" s="4272">
        <f t="shared" ref="G17" si="11">IF(SUM(G18:G19)=0,"NO",SUM(G18:G19))</f>
        <v>18027.261215480416</v>
      </c>
      <c r="H17" s="4273">
        <f t="shared" ref="H17" si="12">IF(SUM(H18:H19)=0,"NO",SUM(H18:H19))</f>
        <v>499.16536887789698</v>
      </c>
      <c r="I17" s="4283">
        <f t="shared" si="2"/>
        <v>99387.401599500998</v>
      </c>
    </row>
    <row r="18" spans="2:9" ht="18" customHeight="1" x14ac:dyDescent="0.2">
      <c r="B18" s="465" t="s">
        <v>1259</v>
      </c>
      <c r="C18" s="4275">
        <f>IF(SUM(Table4.C!S11,'Table4(IV)'!J37)=0,"IE",SUM(Table4.C!S11,'Table4(IV)'!J37))</f>
        <v>11990.777365974545</v>
      </c>
      <c r="D18" s="4275">
        <f>'Table4(IV)'!K37</f>
        <v>295.40431086098613</v>
      </c>
      <c r="E18" s="4275">
        <f>IF(SUM('Table4(III)'!I29,'Table4(IV)'!L37)=0,"NO",SUM('Table4(III)'!I29,'Table4(IV)'!L37))</f>
        <v>9.4931459200820232</v>
      </c>
      <c r="F18" s="4276">
        <v>601.00530300754781</v>
      </c>
      <c r="G18" s="4276">
        <v>14761.391261715824</v>
      </c>
      <c r="H18" s="4277">
        <v>109.46408152571129</v>
      </c>
      <c r="I18" s="4278">
        <f t="shared" si="2"/>
        <v>22777.781738903894</v>
      </c>
    </row>
    <row r="19" spans="2:9" ht="18" customHeight="1" thickBot="1" x14ac:dyDescent="0.25">
      <c r="B19" s="466" t="s">
        <v>1260</v>
      </c>
      <c r="C19" s="4279">
        <f>IF(SUM(Table4.C!S15,'Table4(IV)'!J42)=0,"IE",SUM(Table4.C!S15,'Table4(IV)'!J42))</f>
        <v>72798.820980919205</v>
      </c>
      <c r="D19" s="4279">
        <f>'Table4(IV)'!K42</f>
        <v>110.35203002386481</v>
      </c>
      <c r="E19" s="4279">
        <f>IF(SUM('Table4(III)'!I30,'Table4(IV)'!L42)=0,"NO",SUM('Table4(III)'!I30,'Table4(IV)'!L42))</f>
        <v>2.7205359962629792</v>
      </c>
      <c r="F19" s="4280">
        <v>84.068677680573913</v>
      </c>
      <c r="G19" s="4280">
        <v>3265.8699537645916</v>
      </c>
      <c r="H19" s="4281">
        <v>389.70128735218572</v>
      </c>
      <c r="I19" s="4282">
        <f t="shared" si="2"/>
        <v>76609.619860597115</v>
      </c>
    </row>
    <row r="20" spans="2:9" ht="18" customHeight="1" x14ac:dyDescent="0.2">
      <c r="B20" s="464" t="s">
        <v>1261</v>
      </c>
      <c r="C20" s="4272">
        <f>IF(SUM(C21:C22)=0,"NO",SUM(C21:C22))</f>
        <v>1137.0405416596707</v>
      </c>
      <c r="D20" s="4272">
        <f t="shared" ref="D20" si="13">IF(SUM(D21:D22)=0,"NO",SUM(D21:D22))</f>
        <v>73.026060785709078</v>
      </c>
      <c r="E20" s="4272">
        <f t="shared" ref="E20" si="14">IF(SUM(E21:E22)=0,"NO",SUM(E21:E22))</f>
        <v>0.38535903832457352</v>
      </c>
      <c r="F20" s="4272">
        <f t="shared" ref="F20" si="15">IF(SUM(F21:F22)=0,"NO",SUM(F21:F22))</f>
        <v>27.981141245656161</v>
      </c>
      <c r="G20" s="4272">
        <f t="shared" ref="G20" si="16">IF(SUM(G21:G22)=0,"NO",SUM(G21:G22))</f>
        <v>670.95753711586576</v>
      </c>
      <c r="H20" s="4273">
        <f t="shared" ref="H20" si="17">IF(SUM(H21:H22)=0,"NO",SUM(H21:H22))</f>
        <v>0.43053108631601389</v>
      </c>
      <c r="I20" s="4283">
        <f t="shared" si="2"/>
        <v>3283.8903888155364</v>
      </c>
    </row>
    <row r="21" spans="2:9" ht="18" customHeight="1" x14ac:dyDescent="0.2">
      <c r="B21" s="465" t="s">
        <v>1262</v>
      </c>
      <c r="C21" s="4275">
        <f>IF(SUM(Table4.D!S11,'Table4(IV)'!J49)=0,"IE",SUM(Table4.D!S11,'Table4(IV)'!J49))</f>
        <v>998.09188159610608</v>
      </c>
      <c r="D21" s="4275">
        <f>IF(SUM('Table4(IV)'!K49,'Table4(II)'!J270)=0,"NO",SUM('Table4(IV)'!K49,'Table4(II)'!J270))</f>
        <v>64.87234613675075</v>
      </c>
      <c r="E21" s="4275">
        <f>IF(SUM('Table4(II)'!I270,'Table4(III)'!I38,'Table4(IV)'!L49)=0,"NO",SUM('Table4(II)'!I270,'Table4(III)'!I38,'Table4(IV)'!L49))</f>
        <v>0.38535903832457352</v>
      </c>
      <c r="F21" s="4276">
        <v>27.981141245656161</v>
      </c>
      <c r="G21" s="4276">
        <v>670.95753711586576</v>
      </c>
      <c r="H21" s="4277">
        <v>0.43053108631601389</v>
      </c>
      <c r="I21" s="4278">
        <f t="shared" si="2"/>
        <v>2916.6377185811389</v>
      </c>
    </row>
    <row r="22" spans="2:9" ht="18" customHeight="1" thickBot="1" x14ac:dyDescent="0.25">
      <c r="B22" s="466" t="s">
        <v>1263</v>
      </c>
      <c r="C22" s="4279">
        <f>IF(SUM(Table4.D!S23,'Table4(II)'!H320,'Table4(IV)'!J54)=0,"NO",SUM(Table4.D!S23,'Table4(II)'!H320,'Table4(IV)'!J54))</f>
        <v>138.9486600635646</v>
      </c>
      <c r="D22" s="4279">
        <f>IF(SUM('Table4(IV)'!K54,'Table4(II)'!J320)=0,"NO",SUM('Table4(IV)'!K54,'Table4(II)'!J320))</f>
        <v>8.1537146489583332</v>
      </c>
      <c r="E22" s="4279" t="str">
        <f>IF(SUM('Table4(II)'!I320,'Table4(III)'!I39,'Table4(IV)'!L54)=0,"NO",SUM('Table4(II)'!I320,'Table4(III)'!I39,'Table4(IV)'!L54))</f>
        <v>NO</v>
      </c>
      <c r="F22" s="4280" t="s">
        <v>274</v>
      </c>
      <c r="G22" s="4280" t="s">
        <v>274</v>
      </c>
      <c r="H22" s="4281" t="s">
        <v>274</v>
      </c>
      <c r="I22" s="4282">
        <f t="shared" si="2"/>
        <v>367.2526702343979</v>
      </c>
    </row>
    <row r="23" spans="2:9" ht="18" customHeight="1" x14ac:dyDescent="0.2">
      <c r="B23" s="464" t="s">
        <v>1264</v>
      </c>
      <c r="C23" s="4272">
        <f>IF(SUM(C24:C25)=0,"NO",SUM(C24:C25))</f>
        <v>4685.7284849017178</v>
      </c>
      <c r="D23" s="4272">
        <f t="shared" ref="D23" si="18">IF(SUM(D24:D25)=0,"NO",SUM(D24:D25))</f>
        <v>4.1983714376185857</v>
      </c>
      <c r="E23" s="4272">
        <f t="shared" ref="E23" si="19">IF(SUM(E24:E25)=0,"NO",SUM(E24:E25))</f>
        <v>0.11145134067917029</v>
      </c>
      <c r="F23" s="4272">
        <f>IF(SUM(F24:F25)=0,"NO",SUM(F24:F25))</f>
        <v>3.1612737313020891</v>
      </c>
      <c r="G23" s="4272">
        <f t="shared" ref="G23" si="20">IF(SUM(G24:G25)=0,"NO",SUM(G24:G25))</f>
        <v>123.81308360014069</v>
      </c>
      <c r="H23" s="4273">
        <f t="shared" ref="H23" si="21">IF(SUM(H24:H25)=0,"NO",SUM(H24:H25))</f>
        <v>14.966416698918106</v>
      </c>
      <c r="I23" s="4283">
        <f t="shared" si="2"/>
        <v>4832.817490435019</v>
      </c>
    </row>
    <row r="24" spans="2:9" ht="18" customHeight="1" thickBot="1" x14ac:dyDescent="0.25">
      <c r="B24" s="465" t="s">
        <v>1265</v>
      </c>
      <c r="C24" s="4275">
        <f>IF(SUM(Table4.E!S11,'Table4(IV)'!J60)=0,"IE",SUM(Table4.E!S11,'Table4(IV)'!J60))</f>
        <v>33.091840608909138</v>
      </c>
      <c r="D24" s="4275" t="str">
        <f>'Table4(IV)'!K60</f>
        <v>IE</v>
      </c>
      <c r="E24" s="4275">
        <f>IF(SUM('Table4(III)'!I47,'Table4(IV)'!L60)=0,"IE",SUM('Table4(III)'!I47,'Table4(IV)'!L60))</f>
        <v>1.0507300317994148E-3</v>
      </c>
      <c r="F24" s="4280" t="s">
        <v>274</v>
      </c>
      <c r="G24" s="4280" t="s">
        <v>274</v>
      </c>
      <c r="H24" s="4281" t="s">
        <v>274</v>
      </c>
      <c r="I24" s="4278">
        <f t="shared" si="2"/>
        <v>33.37028406733598</v>
      </c>
    </row>
    <row r="25" spans="2:9" ht="18" customHeight="1" thickBot="1" x14ac:dyDescent="0.25">
      <c r="B25" s="466" t="s">
        <v>1266</v>
      </c>
      <c r="C25" s="4279">
        <f>IF(SUM(Table4.E!S13,'Table4(IV)'!J65)=0,"IE",SUM(Table4.E!S13,'Table4(IV)'!J65))</f>
        <v>4652.6366442928083</v>
      </c>
      <c r="D25" s="4279">
        <f>'Table4(IV)'!K65</f>
        <v>4.1983714376185857</v>
      </c>
      <c r="E25" s="4279">
        <f>IF(SUM('Table4(III)'!I48,'Table4(IV)'!L65)=0,"NO",SUM('Table4(III)'!I48,'Table4(IV)'!L65))</f>
        <v>0.11040061064737088</v>
      </c>
      <c r="F25" s="4280">
        <v>3.1612737313020891</v>
      </c>
      <c r="G25" s="4280">
        <v>123.81308360014069</v>
      </c>
      <c r="H25" s="4281">
        <v>14.966416698918106</v>
      </c>
      <c r="I25" s="4282">
        <f t="shared" si="2"/>
        <v>4799.4472063676822</v>
      </c>
    </row>
    <row r="26" spans="2:9" ht="18" customHeight="1" x14ac:dyDescent="0.2">
      <c r="B26" s="464" t="s">
        <v>1267</v>
      </c>
      <c r="C26" s="4272" t="str">
        <f>IF(SUM(C27:C28)=0,"NO",SUM(C27:C28))</f>
        <v>NO</v>
      </c>
      <c r="D26" s="4272" t="str">
        <f t="shared" ref="D26" si="22">IF(SUM(D27:D28)=0,"NO",SUM(D27:D28))</f>
        <v>NO</v>
      </c>
      <c r="E26" s="4272" t="str">
        <f t="shared" ref="E26" si="23">IF(SUM(E27:E28)=0,"NO",SUM(E27:E28))</f>
        <v>NO</v>
      </c>
      <c r="F26" s="4272" t="str">
        <f t="shared" ref="F26" si="24">IF(SUM(F27:F28)=0,"NO",SUM(F27:F28))</f>
        <v>NO</v>
      </c>
      <c r="G26" s="4272" t="str">
        <f t="shared" ref="G26" si="25">IF(SUM(G27:G28)=0,"NO",SUM(G27:G28))</f>
        <v>NO</v>
      </c>
      <c r="H26" s="4273" t="str">
        <f t="shared" ref="H26" si="26">IF(SUM(H27:H28)=0,"NO",SUM(H27:H28))</f>
        <v>NO</v>
      </c>
      <c r="I26" s="4283" t="str">
        <f t="shared" si="2"/>
        <v>NO</v>
      </c>
    </row>
    <row r="27" spans="2:9" ht="18" customHeight="1" x14ac:dyDescent="0.2">
      <c r="B27" s="465" t="s">
        <v>1268</v>
      </c>
      <c r="C27" s="4284"/>
      <c r="D27" s="4284"/>
      <c r="E27" s="4284"/>
      <c r="F27" s="4284"/>
      <c r="G27" s="4284"/>
      <c r="H27" s="4285"/>
      <c r="I27" s="4286"/>
    </row>
    <row r="28" spans="2:9" ht="18" customHeight="1" thickBot="1" x14ac:dyDescent="0.25">
      <c r="B28" s="466" t="s">
        <v>1269</v>
      </c>
      <c r="C28" s="4279" t="str">
        <f>IF(SUM(Table4.F!S12,'Table4(IV)'!J71)=0,"NO",SUM(Table4.F!S12,'Table4(IV)'!J71))</f>
        <v>NO</v>
      </c>
      <c r="D28" s="4279" t="str">
        <f>'Table4(IV)'!K71</f>
        <v>NO</v>
      </c>
      <c r="E28" s="4279" t="str">
        <f>IF(SUM('Table4(III)'!I56,'Table4(IV)'!L71)=0,"NO",SUM('Table4(III)'!I56,'Table4(IV)'!L71))</f>
        <v>NO</v>
      </c>
      <c r="F28" s="4280" t="s">
        <v>199</v>
      </c>
      <c r="G28" s="4280" t="s">
        <v>199</v>
      </c>
      <c r="H28" s="4281" t="s">
        <v>199</v>
      </c>
      <c r="I28" s="4282" t="str">
        <f t="shared" si="2"/>
        <v>NO</v>
      </c>
    </row>
    <row r="29" spans="2:9" ht="18" customHeight="1" thickBot="1" x14ac:dyDescent="0.25">
      <c r="B29" s="1166" t="s">
        <v>1270</v>
      </c>
      <c r="C29" s="4287">
        <f>'Table4.Gs1 '!G10</f>
        <v>-6472.1362233364061</v>
      </c>
      <c r="D29" s="4288"/>
      <c r="E29" s="4288"/>
      <c r="F29" s="4288"/>
      <c r="G29" s="4288"/>
      <c r="H29" s="4289"/>
      <c r="I29" s="4290">
        <f t="shared" si="2"/>
        <v>-6472.1362233364061</v>
      </c>
    </row>
    <row r="30" spans="2:9" ht="18" customHeight="1" x14ac:dyDescent="0.2">
      <c r="B30" s="1167" t="s">
        <v>1271</v>
      </c>
      <c r="C30" s="4291">
        <f>IF(SUM(C31:C32)=0,"NO",SUM(C31:C32))</f>
        <v>0.65692236888666677</v>
      </c>
      <c r="D30" s="4291" t="str">
        <f t="shared" ref="D30" si="27">IF(SUM(D31:D32)=0,"NO",SUM(D31:D32))</f>
        <v>NO</v>
      </c>
      <c r="E30" s="4291">
        <f t="shared" ref="E30" si="28">IF(SUM(E31:E32)=0,"NO",SUM(E31:E32))</f>
        <v>0.1035869891381873</v>
      </c>
      <c r="F30" s="4291" t="str">
        <f t="shared" ref="F30" si="29">IF(SUM(F31:F32)=0,"NO",SUM(F31:F32))</f>
        <v>NO</v>
      </c>
      <c r="G30" s="4291" t="str">
        <f t="shared" ref="G30" si="30">IF(SUM(G31:G32)=0,"NO",SUM(G31:G32))</f>
        <v>NO</v>
      </c>
      <c r="H30" s="4292" t="str">
        <f t="shared" ref="H30" si="31">IF(SUM(H31:H32)=0,"NO",SUM(H31:H32))</f>
        <v>NO</v>
      </c>
      <c r="I30" s="4293">
        <f t="shared" si="2"/>
        <v>28.107474490506299</v>
      </c>
    </row>
    <row r="31" spans="2:9" ht="18" customHeight="1" x14ac:dyDescent="0.2">
      <c r="B31" s="2693" t="s">
        <v>1272</v>
      </c>
      <c r="C31" s="4294" t="s">
        <v>199</v>
      </c>
      <c r="D31" s="4294" t="s">
        <v>199</v>
      </c>
      <c r="E31" s="4294">
        <v>0.1035869891381873</v>
      </c>
      <c r="F31" s="4294" t="s">
        <v>199</v>
      </c>
      <c r="G31" s="4294" t="s">
        <v>199</v>
      </c>
      <c r="H31" s="4295" t="s">
        <v>199</v>
      </c>
      <c r="I31" s="4296">
        <f t="shared" si="2"/>
        <v>27.450552121619634</v>
      </c>
    </row>
    <row r="32" spans="2:9" ht="18" customHeight="1" thickBot="1" x14ac:dyDescent="0.25">
      <c r="B32" s="2692" t="s">
        <v>1273</v>
      </c>
      <c r="C32" s="4297">
        <v>0.65692236888666677</v>
      </c>
      <c r="D32" s="4297" t="s">
        <v>199</v>
      </c>
      <c r="E32" s="4297" t="s">
        <v>199</v>
      </c>
      <c r="F32" s="4298" t="s">
        <v>199</v>
      </c>
      <c r="G32" s="4298" t="s">
        <v>199</v>
      </c>
      <c r="H32" s="4298" t="s">
        <v>199</v>
      </c>
      <c r="I32" s="4282">
        <f t="shared" si="2"/>
        <v>0.65692236888666677</v>
      </c>
    </row>
    <row r="33" spans="2:9" ht="18" customHeight="1" thickBot="1" x14ac:dyDescent="0.25">
      <c r="B33" s="1557"/>
      <c r="C33" s="4299"/>
      <c r="D33" s="4299"/>
      <c r="E33" s="4299"/>
      <c r="F33" s="4299"/>
      <c r="G33" s="4299"/>
      <c r="H33" s="4299"/>
      <c r="I33" s="4299"/>
    </row>
    <row r="34" spans="2:9" ht="18" customHeight="1" x14ac:dyDescent="0.2">
      <c r="B34" s="1558" t="s">
        <v>1274</v>
      </c>
      <c r="C34" s="4300"/>
      <c r="D34" s="4300"/>
      <c r="E34" s="4300"/>
      <c r="F34" s="4300"/>
      <c r="G34" s="4300"/>
      <c r="H34" s="4300"/>
      <c r="I34" s="4301"/>
    </row>
    <row r="35" spans="2:9" ht="18" customHeight="1" thickBot="1" x14ac:dyDescent="0.25">
      <c r="B35" s="1804" t="s">
        <v>1275</v>
      </c>
      <c r="C35" s="4297">
        <v>78304.139729871647</v>
      </c>
      <c r="D35" s="4297">
        <v>423.00691958849779</v>
      </c>
      <c r="E35" s="4297">
        <v>3.9624421292036653</v>
      </c>
      <c r="F35" s="4297">
        <v>163.42971276516857</v>
      </c>
      <c r="G35" s="4297">
        <v>6400.8176479568456</v>
      </c>
      <c r="H35" s="4297">
        <v>773.72521019258556</v>
      </c>
      <c r="I35" s="4302">
        <f t="shared" ref="I35" si="32">IF(SUM(C35:E35)=0,"NO",SUM(C35)+28*SUM(D35)+265*SUM(E35))</f>
        <v>91198.380642588556</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94" t="s">
        <v>1276</v>
      </c>
      <c r="C60" s="4495"/>
      <c r="D60" s="4495"/>
      <c r="E60" s="4495"/>
      <c r="F60" s="4495"/>
      <c r="G60" s="4495"/>
      <c r="H60" s="4495"/>
      <c r="I60" s="4496"/>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E45" sqref="E45"/>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2460</v>
      </c>
    </row>
    <row r="2" spans="2:10" ht="16.350000000000001" customHeight="1" x14ac:dyDescent="0.2">
      <c r="B2" s="3" t="s">
        <v>162</v>
      </c>
      <c r="I2" s="14"/>
      <c r="J2" s="14" t="s">
        <v>2461</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6"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3"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89">
        <f>IF(SUM(C11,C37,C47)=0,"NO",SUM(C11,C37,C47))</f>
        <v>372938.50135631009</v>
      </c>
      <c r="D10" s="4489">
        <f t="shared" ref="D10:I10" si="0">IF(SUM(D11,D37,D47)=0,"NO",SUM(D11,D37,D47))</f>
        <v>1484.1467133997639</v>
      </c>
      <c r="E10" s="4489">
        <f t="shared" si="0"/>
        <v>12.691427854044349</v>
      </c>
      <c r="F10" s="4489">
        <f t="shared" si="0"/>
        <v>2158.8652258263442</v>
      </c>
      <c r="G10" s="4489">
        <f t="shared" si="0"/>
        <v>3169.1880086236638</v>
      </c>
      <c r="H10" s="4489">
        <f t="shared" si="0"/>
        <v>694.25055244311727</v>
      </c>
      <c r="I10" s="4490">
        <f t="shared" si="0"/>
        <v>763.1895034549168</v>
      </c>
      <c r="J10" s="4427">
        <f t="shared" ref="J10:J40" si="1">IF(SUM(C10:E10)=0,"NO",SUM(C10,IFERROR(28*D10,0),IFERROR(265*E10,0)))</f>
        <v>417857.83771282528</v>
      </c>
    </row>
    <row r="11" spans="2:10" s="83" customFormat="1" ht="18" customHeight="1" thickBot="1" x14ac:dyDescent="0.25">
      <c r="B11" s="18" t="s">
        <v>174</v>
      </c>
      <c r="C11" s="3010">
        <f>IF(SUM(C12,C16,C24,C30,C34)=0,"NO",SUM(C12,C16,C24,C30,C34))</f>
        <v>365433.45730423921</v>
      </c>
      <c r="D11" s="3010">
        <f t="shared" ref="D11:I11" si="2">IF(SUM(D12,D16,D24,D30,D34)=0,"NO",SUM(D12,D16,D24,D30,D34))</f>
        <v>82.650852150785511</v>
      </c>
      <c r="E11" s="3010">
        <f t="shared" si="2"/>
        <v>12.600964652673378</v>
      </c>
      <c r="F11" s="3010">
        <f t="shared" si="2"/>
        <v>2156.0415392129335</v>
      </c>
      <c r="G11" s="3010">
        <f t="shared" si="2"/>
        <v>3152.8124188571369</v>
      </c>
      <c r="H11" s="3010">
        <f t="shared" si="2"/>
        <v>494.65676951781506</v>
      </c>
      <c r="I11" s="3011">
        <f t="shared" si="2"/>
        <v>763.1895034549168</v>
      </c>
      <c r="J11" s="3012">
        <f t="shared" si="1"/>
        <v>371086.93679741962</v>
      </c>
    </row>
    <row r="12" spans="2:10" s="83" customFormat="1" ht="18" customHeight="1" x14ac:dyDescent="0.2">
      <c r="B12" s="26" t="s">
        <v>175</v>
      </c>
      <c r="C12" s="3010">
        <f>IF(SUM(C13:C15)=0,"NO",SUM(C13:C15))</f>
        <v>222727.89215060015</v>
      </c>
      <c r="D12" s="3010">
        <f t="shared" ref="D12:I12" si="3">IF(SUM(D13:D15)=0,"NO",SUM(D13:D15))</f>
        <v>12.976423252243976</v>
      </c>
      <c r="E12" s="3010">
        <f t="shared" si="3"/>
        <v>3.7612196537347939</v>
      </c>
      <c r="F12" s="3010">
        <f t="shared" si="3"/>
        <v>925.89908171321508</v>
      </c>
      <c r="G12" s="3010">
        <f t="shared" si="3"/>
        <v>169.17300665691886</v>
      </c>
      <c r="H12" s="3010">
        <f>IF(SUM(H13:H15)=0,"NO",SUM(H13:H15))</f>
        <v>36.912890057789745</v>
      </c>
      <c r="I12" s="3011">
        <f t="shared" si="3"/>
        <v>630.58180481275531</v>
      </c>
      <c r="J12" s="3012">
        <f t="shared" si="1"/>
        <v>224087.95520990269</v>
      </c>
    </row>
    <row r="13" spans="2:10" s="83" customFormat="1" ht="18" customHeight="1" x14ac:dyDescent="0.2">
      <c r="B13" s="20" t="s">
        <v>176</v>
      </c>
      <c r="C13" s="3013">
        <f>'Table1.A(a)s1'!H24</f>
        <v>202966.71922491211</v>
      </c>
      <c r="D13" s="3013">
        <f>'Table1.A(a)s1'!I24</f>
        <v>6.45389829140277</v>
      </c>
      <c r="E13" s="3013">
        <f>'Table1.A(a)s1'!J24</f>
        <v>3.3454264933759181</v>
      </c>
      <c r="F13" s="3014">
        <v>647.40564320520548</v>
      </c>
      <c r="G13" s="3014">
        <v>92.192634064088438</v>
      </c>
      <c r="H13" s="3014">
        <v>6.7930048886841892</v>
      </c>
      <c r="I13" s="3015">
        <v>613.74114685865914</v>
      </c>
      <c r="J13" s="3016">
        <f t="shared" si="1"/>
        <v>204033.96639781602</v>
      </c>
    </row>
    <row r="14" spans="2:10" s="83" customFormat="1" ht="18" customHeight="1" x14ac:dyDescent="0.2">
      <c r="B14" s="20" t="s">
        <v>177</v>
      </c>
      <c r="C14" s="3013">
        <f>'Table1.A(a)s1'!H53</f>
        <v>5319.7742183309902</v>
      </c>
      <c r="D14" s="3013">
        <f>'Table1.A(a)s1'!I53</f>
        <v>6.6274166312862648E-2</v>
      </c>
      <c r="E14" s="3013">
        <f>'Table1.A(a)s1'!J53</f>
        <v>4.4137277865418219E-2</v>
      </c>
      <c r="F14" s="3014">
        <v>34.749395128755928</v>
      </c>
      <c r="G14" s="3014">
        <v>4.2650126929736913</v>
      </c>
      <c r="H14" s="3014">
        <v>8.195587004870919E-2</v>
      </c>
      <c r="I14" s="3015">
        <v>3.6508852865504244</v>
      </c>
      <c r="J14" s="3016">
        <f t="shared" si="1"/>
        <v>5333.3262736220859</v>
      </c>
    </row>
    <row r="15" spans="2:10" s="83" customFormat="1" ht="18" customHeight="1" thickBot="1" x14ac:dyDescent="0.25">
      <c r="B15" s="21" t="s">
        <v>178</v>
      </c>
      <c r="C15" s="3017">
        <f>'Table1.A(a)s1'!H60</f>
        <v>14441.398707357019</v>
      </c>
      <c r="D15" s="3017">
        <f>'Table1.A(a)s1'!I60</f>
        <v>6.4562507945283416</v>
      </c>
      <c r="E15" s="3017">
        <f>'Table1.A(a)s1'!J60</f>
        <v>0.37165588249345727</v>
      </c>
      <c r="F15" s="3018">
        <v>243.7440433792537</v>
      </c>
      <c r="G15" s="3018">
        <v>72.715359899856722</v>
      </c>
      <c r="H15" s="3018">
        <v>30.037929299056845</v>
      </c>
      <c r="I15" s="3019">
        <v>13.189772667545807</v>
      </c>
      <c r="J15" s="3020">
        <f t="shared" si="1"/>
        <v>14720.662538464578</v>
      </c>
    </row>
    <row r="16" spans="2:10" s="83" customFormat="1" ht="18" customHeight="1" x14ac:dyDescent="0.2">
      <c r="B16" s="25" t="s">
        <v>179</v>
      </c>
      <c r="C16" s="3010">
        <f>IF(SUM(C17:C23)=0,"NO",SUM(C17:C23))</f>
        <v>40457.906147434805</v>
      </c>
      <c r="D16" s="3010">
        <f t="shared" ref="D16:I16" si="4">IF(SUM(D17:D23)=0,"NO",SUM(D17:D23))</f>
        <v>2.3972548946445911</v>
      </c>
      <c r="E16" s="3010">
        <f t="shared" si="4"/>
        <v>1.3715263252857557</v>
      </c>
      <c r="F16" s="3010">
        <f t="shared" si="4"/>
        <v>553.98226275236061</v>
      </c>
      <c r="G16" s="3010">
        <f t="shared" si="4"/>
        <v>175.60836775353175</v>
      </c>
      <c r="H16" s="3010">
        <f t="shared" si="4"/>
        <v>70.106821987791108</v>
      </c>
      <c r="I16" s="3011">
        <f t="shared" si="4"/>
        <v>95.518215015732054</v>
      </c>
      <c r="J16" s="3012">
        <f t="shared" si="1"/>
        <v>40888.48376068558</v>
      </c>
    </row>
    <row r="17" spans="2:10" s="83" customFormat="1" ht="18" customHeight="1" x14ac:dyDescent="0.2">
      <c r="B17" s="20" t="s">
        <v>180</v>
      </c>
      <c r="C17" s="3013">
        <f>'Table1.A(a)s2'!H17</f>
        <v>2468.3691529140879</v>
      </c>
      <c r="D17" s="3013">
        <f>'Table1.A(a)s2'!I17</f>
        <v>5.5951362752233599E-2</v>
      </c>
      <c r="E17" s="3013">
        <f>'Table1.A(a)s2'!J17</f>
        <v>3.1074065043802005E-2</v>
      </c>
      <c r="F17" s="3014">
        <v>27.413221833730312</v>
      </c>
      <c r="G17" s="3014">
        <v>4.5227261913379939</v>
      </c>
      <c r="H17" s="3014">
        <v>0.52388255539006123</v>
      </c>
      <c r="I17" s="3015">
        <v>10.694420077624395</v>
      </c>
      <c r="J17" s="3016">
        <f t="shared" si="1"/>
        <v>2478.1704183077582</v>
      </c>
    </row>
    <row r="18" spans="2:10" s="83" customFormat="1" ht="18" customHeight="1" x14ac:dyDescent="0.2">
      <c r="B18" s="20" t="s">
        <v>181</v>
      </c>
      <c r="C18" s="3013">
        <f>'Table1.A(a)s2'!H24</f>
        <v>14142.186150274872</v>
      </c>
      <c r="D18" s="3013">
        <f>'Table1.A(a)s2'!I24</f>
        <v>0.27264937347377993</v>
      </c>
      <c r="E18" s="3013">
        <f>'Table1.A(a)s2'!J24</f>
        <v>0.16202614903776927</v>
      </c>
      <c r="F18" s="3014">
        <v>104.53000956126647</v>
      </c>
      <c r="G18" s="3014">
        <v>17.380702419387557</v>
      </c>
      <c r="H18" s="3014">
        <v>2.9869469802839492</v>
      </c>
      <c r="I18" s="3015">
        <v>54.03940593104695</v>
      </c>
      <c r="J18" s="3016">
        <f t="shared" si="1"/>
        <v>14192.757262227147</v>
      </c>
    </row>
    <row r="19" spans="2:10" s="83" customFormat="1" ht="18" customHeight="1" x14ac:dyDescent="0.2">
      <c r="B19" s="20" t="s">
        <v>182</v>
      </c>
      <c r="C19" s="3013">
        <f>'Table1.A(a)s2'!H31</f>
        <v>6194.2634957450955</v>
      </c>
      <c r="D19" s="3013">
        <f>'Table1.A(a)s2'!I31</f>
        <v>0.24324921594536092</v>
      </c>
      <c r="E19" s="3013">
        <f>'Table1.A(a)s2'!J31</f>
        <v>7.2232683187622646E-2</v>
      </c>
      <c r="F19" s="3014">
        <v>43.237433169745337</v>
      </c>
      <c r="G19" s="3014">
        <v>18.3260176104713</v>
      </c>
      <c r="H19" s="3014">
        <v>12.702947643723348</v>
      </c>
      <c r="I19" s="3015">
        <v>4.5184608506593458</v>
      </c>
      <c r="J19" s="3016">
        <f t="shared" si="1"/>
        <v>6220.2161348362861</v>
      </c>
    </row>
    <row r="20" spans="2:10" s="83" customFormat="1" ht="18" customHeight="1" x14ac:dyDescent="0.2">
      <c r="B20" s="20" t="s">
        <v>183</v>
      </c>
      <c r="C20" s="3013">
        <f>'Table1.A(a)s2'!H38</f>
        <v>1707.8179514715935</v>
      </c>
      <c r="D20" s="3013">
        <f>'Table1.A(a)s2'!I38</f>
        <v>0.26075530406167141</v>
      </c>
      <c r="E20" s="3013">
        <f>'Table1.A(a)s2'!J38</f>
        <v>0.17301398954984779</v>
      </c>
      <c r="F20" s="3014">
        <v>7.2710788091499143</v>
      </c>
      <c r="G20" s="3014">
        <v>6.2637301547783846</v>
      </c>
      <c r="H20" s="3014">
        <v>0.20643614760414181</v>
      </c>
      <c r="I20" s="3015">
        <v>2.1891673752923766</v>
      </c>
      <c r="J20" s="3016">
        <f t="shared" si="1"/>
        <v>1760.9678072160298</v>
      </c>
    </row>
    <row r="21" spans="2:10" s="83" customFormat="1" ht="18" customHeight="1" x14ac:dyDescent="0.2">
      <c r="B21" s="20" t="s">
        <v>184</v>
      </c>
      <c r="C21" s="3013">
        <f>'Table1.A(a)s2'!H45</f>
        <v>2999.0193553957861</v>
      </c>
      <c r="D21" s="3013">
        <f>'Table1.A(a)s2'!I45</f>
        <v>0.94548216687347364</v>
      </c>
      <c r="E21" s="3013">
        <f>'Table1.A(a)s2'!J45</f>
        <v>0.61400549502935953</v>
      </c>
      <c r="F21" s="3014">
        <v>24.776813489416934</v>
      </c>
      <c r="G21" s="3014">
        <v>23.835582155271752</v>
      </c>
      <c r="H21" s="3014">
        <v>1.1859950747683572</v>
      </c>
      <c r="I21" s="3015">
        <v>5.5837394574511361</v>
      </c>
      <c r="J21" s="3016">
        <f t="shared" si="1"/>
        <v>3188.2043122510236</v>
      </c>
    </row>
    <row r="22" spans="2:10" s="83" customFormat="1" ht="18" customHeight="1" x14ac:dyDescent="0.2">
      <c r="B22" s="20" t="s">
        <v>185</v>
      </c>
      <c r="C22" s="3013">
        <f>'Table1.A(a)s2'!H52</f>
        <v>6773.021815868271</v>
      </c>
      <c r="D22" s="3013">
        <f>'Table1.A(a)s2'!I52</f>
        <v>0.29387967260961428</v>
      </c>
      <c r="E22" s="3013">
        <f>'Table1.A(a)s2'!J52</f>
        <v>5.4842683789692419E-2</v>
      </c>
      <c r="F22" s="3014">
        <v>95.096272514789703</v>
      </c>
      <c r="G22" s="3014">
        <v>24.32151375066714</v>
      </c>
      <c r="H22" s="3014">
        <v>14.462834463080098</v>
      </c>
      <c r="I22" s="3015">
        <v>12.503577338788691</v>
      </c>
      <c r="J22" s="3016">
        <f t="shared" si="1"/>
        <v>6795.7837579056086</v>
      </c>
    </row>
    <row r="23" spans="2:10" s="83" customFormat="1" ht="18" customHeight="1" thickBot="1" x14ac:dyDescent="0.25">
      <c r="B23" s="3039" t="s">
        <v>186</v>
      </c>
      <c r="C23" s="3013">
        <f>'Table1.A(a)s2'!H59</f>
        <v>6173.2282257650932</v>
      </c>
      <c r="D23" s="3013">
        <f>'Table1.A(a)s2'!I59</f>
        <v>0.32528779892845716</v>
      </c>
      <c r="E23" s="3013">
        <f>'Table1.A(a)s2'!J59</f>
        <v>0.26433125964766196</v>
      </c>
      <c r="F23" s="3014">
        <v>251.65743337426196</v>
      </c>
      <c r="G23" s="3014">
        <v>80.958095471617639</v>
      </c>
      <c r="H23" s="3014">
        <v>38.037779122941153</v>
      </c>
      <c r="I23" s="3015">
        <v>5.9894439848691707</v>
      </c>
      <c r="J23" s="3016">
        <f t="shared" si="1"/>
        <v>6252.3840679417208</v>
      </c>
    </row>
    <row r="24" spans="2:10" s="83" customFormat="1" ht="18" customHeight="1" x14ac:dyDescent="0.2">
      <c r="B24" s="25" t="s">
        <v>187</v>
      </c>
      <c r="C24" s="3010">
        <f>IF(SUM(C25:C29)=0,"NO",SUM(C25:C29))</f>
        <v>82772.894979733159</v>
      </c>
      <c r="D24" s="3010">
        <f t="shared" ref="D24:I24" si="5">IF(SUM(D25:D29)=0,"NO",SUM(D25:D29))</f>
        <v>19.84797658284041</v>
      </c>
      <c r="E24" s="3010">
        <f t="shared" si="5"/>
        <v>6.7968941140769177</v>
      </c>
      <c r="F24" s="3010">
        <f t="shared" si="5"/>
        <v>321.54172438541775</v>
      </c>
      <c r="G24" s="3010">
        <f t="shared" si="5"/>
        <v>2043.8386100457883</v>
      </c>
      <c r="H24" s="3010">
        <f t="shared" si="5"/>
        <v>264.16444111633228</v>
      </c>
      <c r="I24" s="3011">
        <f t="shared" si="5"/>
        <v>29.325038651348681</v>
      </c>
      <c r="J24" s="3012">
        <f t="shared" si="1"/>
        <v>85129.815264283068</v>
      </c>
    </row>
    <row r="25" spans="2:10" s="83" customFormat="1" ht="18" customHeight="1" x14ac:dyDescent="0.2">
      <c r="B25" s="20" t="s">
        <v>188</v>
      </c>
      <c r="C25" s="1884">
        <f>'Table1.A(a)s3'!H16</f>
        <v>6117.2957125230123</v>
      </c>
      <c r="D25" s="1884">
        <f>'Table1.A(a)s3'!I16</f>
        <v>2.9418044055001608E-2</v>
      </c>
      <c r="E25" s="1884">
        <f>'Table1.A(a)s3'!J16</f>
        <v>4.8243052490112667E-2</v>
      </c>
      <c r="F25" s="3014">
        <v>20.662046956843611</v>
      </c>
      <c r="G25" s="3014">
        <v>13.676142064923978</v>
      </c>
      <c r="H25" s="3014">
        <v>1.3433532191213668</v>
      </c>
      <c r="I25" s="3015">
        <v>0.72161135409098565</v>
      </c>
      <c r="J25" s="3016">
        <f t="shared" si="1"/>
        <v>6130.903826666432</v>
      </c>
    </row>
    <row r="26" spans="2:10" s="83" customFormat="1" ht="18" customHeight="1" x14ac:dyDescent="0.2">
      <c r="B26" s="20" t="s">
        <v>189</v>
      </c>
      <c r="C26" s="1884">
        <f>'Table1.A(a)s3'!H20</f>
        <v>71544.886560288302</v>
      </c>
      <c r="D26" s="1884">
        <f>'Table1.A(a)s3'!I20</f>
        <v>15.309054118584058</v>
      </c>
      <c r="E26" s="1884">
        <f>'Table1.A(a)s3'!J20</f>
        <v>5.8744397031814515</v>
      </c>
      <c r="F26" s="3014">
        <v>230.78285214977384</v>
      </c>
      <c r="G26" s="3014">
        <v>1796.4173364310532</v>
      </c>
      <c r="H26" s="3014">
        <v>222.2816872328483</v>
      </c>
      <c r="I26" s="3015">
        <v>14.92220988595964</v>
      </c>
      <c r="J26" s="3016">
        <f t="shared" si="1"/>
        <v>73530.26659695174</v>
      </c>
    </row>
    <row r="27" spans="2:10" s="83" customFormat="1" ht="18" customHeight="1" x14ac:dyDescent="0.2">
      <c r="B27" s="20" t="s">
        <v>190</v>
      </c>
      <c r="C27" s="1884">
        <f>'Table1.A(a)s3'!H81</f>
        <v>1933.6271227186467</v>
      </c>
      <c r="D27" s="1884">
        <f>'Table1.A(a)s3'!I81</f>
        <v>0.11065105137159637</v>
      </c>
      <c r="E27" s="1884">
        <f>'Table1.A(a)s3'!J81</f>
        <v>0.82988288528697274</v>
      </c>
      <c r="F27" s="3014">
        <v>42.324027149635612</v>
      </c>
      <c r="G27" s="3014">
        <v>5.5878780942656165</v>
      </c>
      <c r="H27" s="3014">
        <v>1.9640561618458352</v>
      </c>
      <c r="I27" s="3015">
        <v>1.5772627936740706</v>
      </c>
      <c r="J27" s="3016">
        <f t="shared" si="1"/>
        <v>2156.6443167580992</v>
      </c>
    </row>
    <row r="28" spans="2:10" s="83" customFormat="1" ht="18" customHeight="1" x14ac:dyDescent="0.2">
      <c r="B28" s="20" t="s">
        <v>191</v>
      </c>
      <c r="C28" s="1884">
        <f>'Table1.A(a)s3'!H88</f>
        <v>2308.3737498642713</v>
      </c>
      <c r="D28" s="1884">
        <f>'Table1.A(a)s3'!I88</f>
        <v>4.2396845605437976</v>
      </c>
      <c r="E28" s="1884">
        <f>'Table1.A(a)s3'!J88</f>
        <v>4.2592714646773985E-2</v>
      </c>
      <c r="F28" s="3014">
        <v>24.515279246367832</v>
      </c>
      <c r="G28" s="3014">
        <v>222.78732193501151</v>
      </c>
      <c r="H28" s="3014">
        <v>37.821372054734162</v>
      </c>
      <c r="I28" s="3015">
        <v>12.098531331344391</v>
      </c>
      <c r="J28" s="3016">
        <f t="shared" si="1"/>
        <v>2438.3719869408928</v>
      </c>
    </row>
    <row r="29" spans="2:10" s="83" customFormat="1" ht="18" customHeight="1" thickBot="1" x14ac:dyDescent="0.25">
      <c r="B29" s="22" t="s">
        <v>192</v>
      </c>
      <c r="C29" s="1888">
        <f>'Table1.A(a)s3'!H99</f>
        <v>868.71183433890849</v>
      </c>
      <c r="D29" s="1888">
        <f>'Table1.A(a)s3'!I99</f>
        <v>0.15916880828595803</v>
      </c>
      <c r="E29" s="1888">
        <f>'Table1.A(a)s3'!J99</f>
        <v>1.7357584716060164E-3</v>
      </c>
      <c r="F29" s="3021">
        <v>3.2575188827968913</v>
      </c>
      <c r="G29" s="3021">
        <v>5.3699315205340277</v>
      </c>
      <c r="H29" s="3021">
        <v>0.75397244778262262</v>
      </c>
      <c r="I29" s="3022">
        <v>5.423286279591987E-3</v>
      </c>
      <c r="J29" s="3023">
        <f t="shared" si="1"/>
        <v>873.62853696589093</v>
      </c>
    </row>
    <row r="30" spans="2:10" ht="18" customHeight="1" x14ac:dyDescent="0.2">
      <c r="B30" s="26" t="s">
        <v>193</v>
      </c>
      <c r="C30" s="3010">
        <f>IF(SUM(C31:C33)=0,"NO",SUM(C31:C33))</f>
        <v>18698.623052534163</v>
      </c>
      <c r="D30" s="3010">
        <f t="shared" ref="D30" si="6">IF(SUM(D31:D33)=0,"NO",SUM(D31:D33))</f>
        <v>47.398315614454816</v>
      </c>
      <c r="E30" s="3010">
        <f t="shared" ref="E30" si="7">IF(SUM(E31:E33)=0,"NO",SUM(E31:E33))</f>
        <v>0.64964649649280681</v>
      </c>
      <c r="F30" s="3010">
        <f t="shared" ref="F30" si="8">IF(SUM(F31:F33)=0,"NO",SUM(F31:F33))</f>
        <v>347.89035528949313</v>
      </c>
      <c r="G30" s="3010">
        <f t="shared" ref="G30" si="9">IF(SUM(G31:G33)=0,"NO",SUM(G31:G33))</f>
        <v>759.5805987361914</v>
      </c>
      <c r="H30" s="3010">
        <f t="shared" ref="H30" si="10">IF(SUM(H31:H33)=0,"NO",SUM(H31:H33))</f>
        <v>122.96449625823476</v>
      </c>
      <c r="I30" s="3011">
        <f t="shared" ref="I30" si="11">IF(SUM(I31:I33)=0,"NO",SUM(I31:I33))</f>
        <v>7.5078125791174806</v>
      </c>
      <c r="J30" s="3024">
        <f t="shared" si="1"/>
        <v>20197.932211309493</v>
      </c>
    </row>
    <row r="31" spans="2:10" ht="18" customHeight="1" x14ac:dyDescent="0.2">
      <c r="B31" s="20" t="s">
        <v>194</v>
      </c>
      <c r="C31" s="3013">
        <f>'Table1.A(a)s4'!H17</f>
        <v>4658.084936706302</v>
      </c>
      <c r="D31" s="3013">
        <f>'Table1.A(a)s4'!I17</f>
        <v>9.0576760005275814E-2</v>
      </c>
      <c r="E31" s="3013">
        <f>'Table1.A(a)s4'!J17</f>
        <v>9.0679167955145953E-2</v>
      </c>
      <c r="F31" s="3014">
        <v>32.339660849436619</v>
      </c>
      <c r="G31" s="3014">
        <v>9.6703874760284343</v>
      </c>
      <c r="H31" s="3014">
        <v>3.9524203796950137</v>
      </c>
      <c r="I31" s="3015">
        <v>2.4481433555692012</v>
      </c>
      <c r="J31" s="3016">
        <f t="shared" si="1"/>
        <v>4684.6510654945632</v>
      </c>
    </row>
    <row r="32" spans="2:10" ht="18" customHeight="1" x14ac:dyDescent="0.2">
      <c r="B32" s="20" t="s">
        <v>195</v>
      </c>
      <c r="C32" s="3013">
        <f>'Table1.A(a)s4'!H38</f>
        <v>8136.9424006796089</v>
      </c>
      <c r="D32" s="3013">
        <f>'Table1.A(a)s4'!I38</f>
        <v>46.791895903800189</v>
      </c>
      <c r="E32" s="3013">
        <f>'Table1.A(a)s4'!J38</f>
        <v>0.25236311122164351</v>
      </c>
      <c r="F32" s="3014">
        <v>11.430334067762198</v>
      </c>
      <c r="G32" s="3014">
        <v>624.72977442033618</v>
      </c>
      <c r="H32" s="3014">
        <v>72.628445581570048</v>
      </c>
      <c r="I32" s="3015">
        <v>0.5428655356535419</v>
      </c>
      <c r="J32" s="3016">
        <f t="shared" si="1"/>
        <v>9513.9917104597498</v>
      </c>
    </row>
    <row r="33" spans="2:10" ht="18" customHeight="1" thickBot="1" x14ac:dyDescent="0.25">
      <c r="B33" s="20" t="s">
        <v>196</v>
      </c>
      <c r="C33" s="3013">
        <f>'Table1.A(a)s4'!H59</f>
        <v>5903.5957151482526</v>
      </c>
      <c r="D33" s="3013">
        <f>'Table1.A(a)s4'!I59</f>
        <v>0.5158429506493506</v>
      </c>
      <c r="E33" s="3013">
        <f>'Table1.A(a)s4'!J59</f>
        <v>0.30660421731601728</v>
      </c>
      <c r="F33" s="3014">
        <v>304.12036037229433</v>
      </c>
      <c r="G33" s="3014">
        <v>125.18043683982684</v>
      </c>
      <c r="H33" s="3014">
        <v>46.383630296969692</v>
      </c>
      <c r="I33" s="3015">
        <v>4.516803687894738</v>
      </c>
      <c r="J33" s="3016">
        <f t="shared" si="1"/>
        <v>5999.2894353551792</v>
      </c>
    </row>
    <row r="34" spans="2:10" ht="18" customHeight="1" x14ac:dyDescent="0.2">
      <c r="B34" s="25" t="s">
        <v>197</v>
      </c>
      <c r="C34" s="3010">
        <f>IF(SUM(C35:C36)=0,"NO",SUM(C35:C36))</f>
        <v>776.14097393694124</v>
      </c>
      <c r="D34" s="3010">
        <f t="shared" ref="D34:E34" si="12">IF(SUM(D35:D36)=0,"NO",SUM(D35:D36))</f>
        <v>3.088180660170637E-2</v>
      </c>
      <c r="E34" s="3010">
        <f t="shared" si="12"/>
        <v>2.1678063083103615E-2</v>
      </c>
      <c r="F34" s="3010">
        <f t="shared" ref="F34:I34" si="13">IF(SUM(F35:F36)=0,"NO",SUM(F35:F36))</f>
        <v>6.7281150724468493</v>
      </c>
      <c r="G34" s="3010">
        <f t="shared" si="13"/>
        <v>4.6118356647066676</v>
      </c>
      <c r="H34" s="3010">
        <f t="shared" si="13"/>
        <v>0.50812009766714739</v>
      </c>
      <c r="I34" s="3011">
        <f t="shared" si="13"/>
        <v>0.2566323959632148</v>
      </c>
      <c r="J34" s="3012">
        <f t="shared" si="1"/>
        <v>782.75035123881139</v>
      </c>
    </row>
    <row r="35" spans="2:10" ht="18" customHeight="1" x14ac:dyDescent="0.2">
      <c r="B35" s="20" t="s">
        <v>198</v>
      </c>
      <c r="C35" s="3013" t="str">
        <f>'Table1.A(a)s4'!H100</f>
        <v>NO</v>
      </c>
      <c r="D35" s="3013" t="str">
        <f>'Table1.A(a)s4'!I100</f>
        <v>NO</v>
      </c>
      <c r="E35" s="3013" t="str">
        <f>'Table1.A(a)s4'!J100</f>
        <v>NO</v>
      </c>
      <c r="F35" s="3014" t="s">
        <v>199</v>
      </c>
      <c r="G35" s="3014" t="s">
        <v>199</v>
      </c>
      <c r="H35" s="3014" t="s">
        <v>199</v>
      </c>
      <c r="I35" s="3015" t="s">
        <v>199</v>
      </c>
      <c r="J35" s="3016" t="str">
        <f t="shared" si="1"/>
        <v>NO</v>
      </c>
    </row>
    <row r="36" spans="2:10" ht="18" customHeight="1" thickBot="1" x14ac:dyDescent="0.25">
      <c r="B36" s="22" t="s">
        <v>200</v>
      </c>
      <c r="C36" s="3025">
        <f>'Table1.A(a)s4'!H108</f>
        <v>776.14097393694124</v>
      </c>
      <c r="D36" s="3025">
        <f>'Table1.A(a)s4'!I108</f>
        <v>3.088180660170637E-2</v>
      </c>
      <c r="E36" s="3025">
        <f>'Table1.A(a)s4'!J108</f>
        <v>2.1678063083103615E-2</v>
      </c>
      <c r="F36" s="3021">
        <v>6.7281150724468493</v>
      </c>
      <c r="G36" s="3021">
        <v>4.6118356647066676</v>
      </c>
      <c r="H36" s="3021">
        <v>0.50812009766714739</v>
      </c>
      <c r="I36" s="3022">
        <v>0.2566323959632148</v>
      </c>
      <c r="J36" s="3023">
        <f t="shared" si="1"/>
        <v>782.75035123881139</v>
      </c>
    </row>
    <row r="37" spans="2:10" ht="18" customHeight="1" thickBot="1" x14ac:dyDescent="0.25">
      <c r="B37" s="18" t="s">
        <v>201</v>
      </c>
      <c r="C37" s="3010">
        <f>IF(SUM(C38,C42)=0,"NO",SUM(C38,C42))</f>
        <v>7505.0440520709017</v>
      </c>
      <c r="D37" s="3010">
        <f t="shared" ref="D37:I37" si="14">IF(SUM(D38,D42)=0,"NO",SUM(D38,D42))</f>
        <v>1401.4958612489784</v>
      </c>
      <c r="E37" s="3010">
        <f t="shared" si="14"/>
        <v>9.0463201370971594E-2</v>
      </c>
      <c r="F37" s="3010">
        <f t="shared" si="14"/>
        <v>2.8236866134105467</v>
      </c>
      <c r="G37" s="3010">
        <f t="shared" si="14"/>
        <v>16.375589766527067</v>
      </c>
      <c r="H37" s="3010">
        <f t="shared" si="14"/>
        <v>199.59378292530224</v>
      </c>
      <c r="I37" s="3011" t="str">
        <f t="shared" si="14"/>
        <v>NO</v>
      </c>
      <c r="J37" s="3012">
        <f t="shared" si="1"/>
        <v>46770.900915405604</v>
      </c>
    </row>
    <row r="38" spans="2:10" ht="18" customHeight="1" x14ac:dyDescent="0.2">
      <c r="B38" s="26" t="s">
        <v>202</v>
      </c>
      <c r="C38" s="3010">
        <f>IF(SUM(C39:C41)=0,"NO",SUM(C39:C41))</f>
        <v>1284.9645005780499</v>
      </c>
      <c r="D38" s="3010">
        <f t="shared" ref="D38" si="15">IF(SUM(D39:D41)=0,"NO",SUM(D39:D41))</f>
        <v>1192.8147241358829</v>
      </c>
      <c r="E38" s="3010">
        <f t="shared" ref="E38" si="16">IF(SUM(E39:E41)=0,"NO",SUM(E39:E41))</f>
        <v>1.2741952051547868E-4</v>
      </c>
      <c r="F38" s="3010" t="str">
        <f t="shared" ref="F38" si="17">IF(SUM(F39:F41)=0,"NO",SUM(F39:F41))</f>
        <v>NO</v>
      </c>
      <c r="G38" s="3010" t="str">
        <f t="shared" ref="G38" si="18">IF(SUM(G39:G41)=0,"NO",SUM(G39:G41))</f>
        <v>NO</v>
      </c>
      <c r="H38" s="3010" t="str">
        <f t="shared" ref="H38" si="19">IF(SUM(H39:H41)=0,"NO",SUM(H39:H41))</f>
        <v>NO</v>
      </c>
      <c r="I38" s="3011" t="str">
        <f t="shared" ref="I38" si="20">IF(SUM(I39:I41)=0,"NO",SUM(I39:I41))</f>
        <v>NO</v>
      </c>
      <c r="J38" s="3012">
        <f t="shared" si="1"/>
        <v>34683.810542555708</v>
      </c>
    </row>
    <row r="39" spans="2:10" ht="18" customHeight="1" x14ac:dyDescent="0.2">
      <c r="B39" s="20" t="s">
        <v>203</v>
      </c>
      <c r="C39" s="3013">
        <f>'Table1.B.1'!G10</f>
        <v>1284.9645005780499</v>
      </c>
      <c r="D39" s="3013">
        <f>'Table1.B.1'!F10</f>
        <v>1192.8147241358829</v>
      </c>
      <c r="E39" s="3014">
        <v>1.2741952051547868E-4</v>
      </c>
      <c r="F39" s="3014" t="s">
        <v>199</v>
      </c>
      <c r="G39" s="3014" t="s">
        <v>199</v>
      </c>
      <c r="H39" s="3014" t="s">
        <v>199</v>
      </c>
      <c r="I39" s="2940"/>
      <c r="J39" s="3016">
        <f t="shared" si="1"/>
        <v>34683.810542555708</v>
      </c>
    </row>
    <row r="40" spans="2:10" ht="18" customHeight="1" x14ac:dyDescent="0.2">
      <c r="B40" s="20" t="s">
        <v>204</v>
      </c>
      <c r="C40" s="3013" t="str">
        <f>'Table1.B.1'!F23</f>
        <v>IE,NO</v>
      </c>
      <c r="D40" s="3013" t="str">
        <f>'Table1.B.1'!G23</f>
        <v>IE,NO</v>
      </c>
      <c r="E40" s="3014" t="s">
        <v>205</v>
      </c>
      <c r="F40" s="3014" t="s">
        <v>205</v>
      </c>
      <c r="G40" s="3014" t="s">
        <v>205</v>
      </c>
      <c r="H40" s="3014" t="s">
        <v>205</v>
      </c>
      <c r="I40" s="3015" t="s">
        <v>205</v>
      </c>
      <c r="J40" s="3016" t="str">
        <f t="shared" si="1"/>
        <v>NO</v>
      </c>
    </row>
    <row r="41" spans="2:10" ht="18" customHeight="1" thickBot="1" x14ac:dyDescent="0.25">
      <c r="B41" s="21" t="s">
        <v>206</v>
      </c>
      <c r="C41" s="3013" t="str">
        <f>'Table1.B.1'!F31</f>
        <v>NA</v>
      </c>
      <c r="D41" s="3013" t="str">
        <f>'Table1.B.1'!G31</f>
        <v>NA</v>
      </c>
      <c r="E41" s="3026" t="s">
        <v>205</v>
      </c>
      <c r="F41" s="3021" t="s">
        <v>205</v>
      </c>
      <c r="G41" s="3021" t="s">
        <v>205</v>
      </c>
      <c r="H41" s="3021" t="s">
        <v>205</v>
      </c>
      <c r="I41" s="3022" t="s">
        <v>205</v>
      </c>
      <c r="J41" s="3016" t="str">
        <f>IF(SUM(C41:E41)=0,"NO",SUM(C41,IFERROR(28*D41,0),IFERROR(265*E41,0)))</f>
        <v>NO</v>
      </c>
    </row>
    <row r="42" spans="2:10" ht="18" customHeight="1" x14ac:dyDescent="0.2">
      <c r="B42" s="25" t="s">
        <v>207</v>
      </c>
      <c r="C42" s="3010">
        <f>IF(SUM(C43:C46)=0,"NO",SUM(C43:C46))</f>
        <v>6220.0795514928514</v>
      </c>
      <c r="D42" s="3010">
        <f t="shared" ref="D42:I42" si="21">IF(SUM(D43:D46)=0,"NO",SUM(D43:D46))</f>
        <v>208.6811371130955</v>
      </c>
      <c r="E42" s="4491">
        <f t="shared" si="21"/>
        <v>9.0335781850456112E-2</v>
      </c>
      <c r="F42" s="3010">
        <f t="shared" si="21"/>
        <v>2.8236866134105467</v>
      </c>
      <c r="G42" s="3010">
        <f t="shared" si="21"/>
        <v>16.375589766527067</v>
      </c>
      <c r="H42" s="3010">
        <f t="shared" si="21"/>
        <v>199.59378292530224</v>
      </c>
      <c r="I42" s="3011" t="str">
        <f t="shared" si="21"/>
        <v>NO</v>
      </c>
      <c r="J42" s="3012">
        <f t="shared" ref="J42:J59" si="22">IF(SUM(C42:E42)=0,"NO",SUM(C42,IFERROR(28*D42,0),IFERROR(265*E42,0)))</f>
        <v>12087.090372849896</v>
      </c>
    </row>
    <row r="43" spans="2:10" ht="18" customHeight="1" x14ac:dyDescent="0.2">
      <c r="B43" s="20" t="s">
        <v>208</v>
      </c>
      <c r="C43" s="3013">
        <f>'Table1.B.2'!I10</f>
        <v>425.28871112438617</v>
      </c>
      <c r="D43" s="3013">
        <f>'Table1.B.2'!J10</f>
        <v>3.348953859899531</v>
      </c>
      <c r="E43" s="4492">
        <f>'Table1.B.2'!K10</f>
        <v>1.2798498738929584E-2</v>
      </c>
      <c r="F43" s="3014">
        <v>0.23648773333333334</v>
      </c>
      <c r="G43" s="3014">
        <v>1.3716288533333332</v>
      </c>
      <c r="H43" s="3014">
        <v>98.055745841666678</v>
      </c>
      <c r="I43" s="3015" t="s">
        <v>199</v>
      </c>
      <c r="J43" s="3016">
        <f t="shared" si="22"/>
        <v>522.45102136738944</v>
      </c>
    </row>
    <row r="44" spans="2:10" ht="18" customHeight="1" x14ac:dyDescent="0.2">
      <c r="B44" s="20" t="s">
        <v>209</v>
      </c>
      <c r="C44" s="3013">
        <f>SUM('Table1.B.2'!I21)</f>
        <v>24.817570171990635</v>
      </c>
      <c r="D44" s="3013">
        <f>'Table1.B.2'!J21</f>
        <v>154.10260668668246</v>
      </c>
      <c r="E44" s="4492">
        <f>'Table1.B.2'!K21</f>
        <v>4.2879838792821449E-4</v>
      </c>
      <c r="F44" s="3014">
        <v>7.9407108875595277E-3</v>
      </c>
      <c r="G44" s="3014">
        <v>4.6056123147845261E-2</v>
      </c>
      <c r="H44" s="3014">
        <v>75.748443043829198</v>
      </c>
      <c r="I44" s="3015" t="s">
        <v>199</v>
      </c>
      <c r="J44" s="3016">
        <f t="shared" si="22"/>
        <v>4339.8041889719007</v>
      </c>
    </row>
    <row r="45" spans="2:10" ht="18" customHeight="1" x14ac:dyDescent="0.2">
      <c r="B45" s="20" t="s">
        <v>210</v>
      </c>
      <c r="C45" s="3013">
        <f>'Table1.B.2'!I31</f>
        <v>5769.9732701964749</v>
      </c>
      <c r="D45" s="3013">
        <f>'Table1.B.2'!J31</f>
        <v>51.229576566513522</v>
      </c>
      <c r="E45" s="4492">
        <f>'Table1.B.2'!K31</f>
        <v>7.7108484723598311E-2</v>
      </c>
      <c r="F45" s="3014">
        <v>2.5792581691896537</v>
      </c>
      <c r="G45" s="3014">
        <v>14.957904790045889</v>
      </c>
      <c r="H45" s="3014">
        <v>25.789594039806367</v>
      </c>
      <c r="I45" s="3015" t="s">
        <v>199</v>
      </c>
      <c r="J45" s="3016">
        <f t="shared" si="22"/>
        <v>7224.835162510607</v>
      </c>
    </row>
    <row r="46" spans="2:10" ht="18" customHeight="1" thickBot="1" x14ac:dyDescent="0.25">
      <c r="B46" s="21" t="s">
        <v>211</v>
      </c>
      <c r="C46" s="3017" t="str">
        <f>'Table1.B.2'!I40</f>
        <v>NA</v>
      </c>
      <c r="D46" s="3017" t="str">
        <f>'Table1.B.2'!J40</f>
        <v>NA</v>
      </c>
      <c r="E46" s="3017" t="str">
        <f>'Table1.B.2'!K40</f>
        <v>NA</v>
      </c>
      <c r="F46" s="3026" t="s">
        <v>199</v>
      </c>
      <c r="G46" s="3026" t="s">
        <v>199</v>
      </c>
      <c r="H46" s="3026" t="s">
        <v>199</v>
      </c>
      <c r="I46" s="3040" t="s">
        <v>199</v>
      </c>
      <c r="J46" s="3016" t="str">
        <f t="shared" si="22"/>
        <v>NO</v>
      </c>
    </row>
    <row r="47" spans="2:10" ht="18" customHeight="1" x14ac:dyDescent="0.2">
      <c r="B47" s="2484" t="s">
        <v>212</v>
      </c>
      <c r="C47" s="3010" t="str">
        <f>IF(SUM(C48:C50)=0,"NO",SUM(C48:C50))</f>
        <v>NO</v>
      </c>
      <c r="D47" s="3028"/>
      <c r="E47" s="3028"/>
      <c r="F47" s="3028"/>
      <c r="G47" s="3028"/>
      <c r="H47" s="3028"/>
      <c r="I47" s="3029"/>
      <c r="J47" s="3012" t="str">
        <f t="shared" si="22"/>
        <v>NO</v>
      </c>
    </row>
    <row r="48" spans="2:10" ht="18" customHeight="1" x14ac:dyDescent="0.2">
      <c r="B48" s="163" t="s">
        <v>213</v>
      </c>
      <c r="C48" s="3030" t="str">
        <f>Table1.C!E10</f>
        <v>NO</v>
      </c>
      <c r="D48" s="3031"/>
      <c r="E48" s="3031"/>
      <c r="F48" s="3031"/>
      <c r="G48" s="3031"/>
      <c r="H48" s="3031"/>
      <c r="I48" s="3032"/>
      <c r="J48" s="3024" t="str">
        <f t="shared" si="22"/>
        <v>NO</v>
      </c>
    </row>
    <row r="49" spans="2:10" ht="18" customHeight="1" x14ac:dyDescent="0.2">
      <c r="B49" s="163" t="s">
        <v>214</v>
      </c>
      <c r="C49" s="3030" t="str">
        <f>Table1.C!E15</f>
        <v>NO</v>
      </c>
      <c r="D49" s="3031"/>
      <c r="E49" s="3031"/>
      <c r="F49" s="3031"/>
      <c r="G49" s="3031"/>
      <c r="H49" s="3031"/>
      <c r="I49" s="3032"/>
      <c r="J49" s="3024" t="str">
        <f t="shared" si="22"/>
        <v>NO</v>
      </c>
    </row>
    <row r="50" spans="2:10" ht="18" customHeight="1" thickBot="1" x14ac:dyDescent="0.25">
      <c r="B50" s="163" t="s">
        <v>215</v>
      </c>
      <c r="C50" s="3030" t="str">
        <f>Table1.C!E18</f>
        <v>NA</v>
      </c>
      <c r="D50" s="3031"/>
      <c r="E50" s="3031"/>
      <c r="F50" s="3031"/>
      <c r="G50" s="3031"/>
      <c r="H50" s="3031"/>
      <c r="I50" s="3032"/>
      <c r="J50" s="3024" t="str">
        <f t="shared" si="22"/>
        <v>NO</v>
      </c>
    </row>
    <row r="51" spans="2:10" ht="18" customHeight="1" x14ac:dyDescent="0.2">
      <c r="B51" s="2484" t="s">
        <v>216</v>
      </c>
      <c r="C51" s="4208"/>
      <c r="D51" s="4209"/>
      <c r="E51" s="4209"/>
      <c r="F51" s="4209"/>
      <c r="G51" s="4209"/>
      <c r="H51" s="4209"/>
      <c r="I51" s="4210"/>
      <c r="J51" s="4211"/>
    </row>
    <row r="52" spans="2:10" ht="18" customHeight="1" x14ac:dyDescent="0.2">
      <c r="B52" s="2485" t="s">
        <v>217</v>
      </c>
      <c r="C52" s="3013">
        <f>IF(SUM(C53:C54)=0,"NO",SUM(C53:C54))</f>
        <v>11913.955119279999</v>
      </c>
      <c r="D52" s="3013">
        <f t="shared" ref="D52:I52" si="23">IF(SUM(D53:D54)=0,"NO",SUM(D53:D54))</f>
        <v>0.26014954234285709</v>
      </c>
      <c r="E52" s="3013">
        <f t="shared" si="23"/>
        <v>0.11699365824210525</v>
      </c>
      <c r="F52" s="3013">
        <f t="shared" si="23"/>
        <v>116.05337696586466</v>
      </c>
      <c r="G52" s="3013">
        <f t="shared" si="23"/>
        <v>16.67855291202406</v>
      </c>
      <c r="H52" s="3013">
        <f t="shared" si="23"/>
        <v>9.335215321882707</v>
      </c>
      <c r="I52" s="3034">
        <f t="shared" si="23"/>
        <v>41.906312819019483</v>
      </c>
      <c r="J52" s="3016">
        <f t="shared" si="22"/>
        <v>11952.242625899757</v>
      </c>
    </row>
    <row r="53" spans="2:10" ht="18" customHeight="1" x14ac:dyDescent="0.2">
      <c r="B53" s="164" t="s">
        <v>218</v>
      </c>
      <c r="C53" s="3013">
        <f>Table1.D!G10</f>
        <v>9349.5914995200001</v>
      </c>
      <c r="D53" s="3013">
        <f>Table1.D!H10</f>
        <v>1.5084557142857139E-2</v>
      </c>
      <c r="E53" s="3013">
        <f>Table1.D!I10</f>
        <v>4.6975091042105267E-2</v>
      </c>
      <c r="F53" s="3014">
        <v>47.433256885864658</v>
      </c>
      <c r="G53" s="3014">
        <v>14.741917749624061</v>
      </c>
      <c r="H53" s="3014">
        <v>7.1862342670827069</v>
      </c>
      <c r="I53" s="3015">
        <v>1.1015323318400001</v>
      </c>
      <c r="J53" s="3016">
        <f t="shared" si="22"/>
        <v>9362.4622662461588</v>
      </c>
    </row>
    <row r="54" spans="2:10" ht="18" customHeight="1" x14ac:dyDescent="0.2">
      <c r="B54" s="164" t="s">
        <v>219</v>
      </c>
      <c r="C54" s="3013">
        <f>Table1.D!G14</f>
        <v>2564.3636197599994</v>
      </c>
      <c r="D54" s="3013">
        <f>Table1.D!H14</f>
        <v>0.24506498519999997</v>
      </c>
      <c r="E54" s="3013">
        <f>Table1.D!I14</f>
        <v>7.0018567199999993E-2</v>
      </c>
      <c r="F54" s="3014">
        <v>68.620120080000007</v>
      </c>
      <c r="G54" s="3014">
        <v>1.9366351623999998</v>
      </c>
      <c r="H54" s="3014">
        <v>2.1489810547999997</v>
      </c>
      <c r="I54" s="3015">
        <v>40.804780487179485</v>
      </c>
      <c r="J54" s="3016">
        <f t="shared" si="22"/>
        <v>2589.7803596535996</v>
      </c>
    </row>
    <row r="55" spans="2:10" ht="18" customHeight="1" x14ac:dyDescent="0.2">
      <c r="B55" s="2485" t="s">
        <v>220</v>
      </c>
      <c r="C55" s="3013" t="str">
        <f>Table1.D!G24</f>
        <v>NE</v>
      </c>
      <c r="D55" s="3013" t="str">
        <f>Table1.D!H24</f>
        <v>NE</v>
      </c>
      <c r="E55" s="3013" t="str">
        <f>Table1.D!I24</f>
        <v>NE</v>
      </c>
      <c r="F55" s="3014" t="s">
        <v>221</v>
      </c>
      <c r="G55" s="3014" t="s">
        <v>221</v>
      </c>
      <c r="H55" s="3014" t="s">
        <v>221</v>
      </c>
      <c r="I55" s="3015" t="s">
        <v>221</v>
      </c>
      <c r="J55" s="3016" t="str">
        <f t="shared" si="22"/>
        <v>NO</v>
      </c>
    </row>
    <row r="56" spans="2:10" ht="18" customHeight="1" x14ac:dyDescent="0.2">
      <c r="B56" s="2486" t="s">
        <v>222</v>
      </c>
      <c r="C56" s="3017">
        <f>'Table1.A(a)s1'!H16</f>
        <v>19252.600125708159</v>
      </c>
      <c r="D56" s="3035"/>
      <c r="E56" s="3035"/>
      <c r="F56" s="3035"/>
      <c r="G56" s="3035"/>
      <c r="H56" s="3035"/>
      <c r="I56" s="2976"/>
      <c r="J56" s="3020">
        <f t="shared" si="22"/>
        <v>19252.600125708159</v>
      </c>
    </row>
    <row r="57" spans="2:10" ht="18" customHeight="1" x14ac:dyDescent="0.2">
      <c r="B57" s="97" t="s">
        <v>223</v>
      </c>
      <c r="C57" s="3013" t="str">
        <f>IF(SUM(C58:C59)=0,"NO",SUM(C58:C59))</f>
        <v>NO</v>
      </c>
      <c r="D57" s="3036"/>
      <c r="E57" s="3036"/>
      <c r="F57" s="3036"/>
      <c r="G57" s="3036"/>
      <c r="H57" s="3036"/>
      <c r="I57" s="2940"/>
      <c r="J57" s="3016" t="str">
        <f t="shared" si="22"/>
        <v>NO</v>
      </c>
    </row>
    <row r="58" spans="2:10" ht="18" customHeight="1" x14ac:dyDescent="0.2">
      <c r="B58" s="2487" t="s">
        <v>224</v>
      </c>
      <c r="C58" s="3026" t="str">
        <f>Table1.C!E21</f>
        <v>NO</v>
      </c>
      <c r="D58" s="3036"/>
      <c r="E58" s="3036"/>
      <c r="F58" s="3036"/>
      <c r="G58" s="3036"/>
      <c r="H58" s="3036"/>
      <c r="I58" s="2940"/>
      <c r="J58" s="3016" t="str">
        <f t="shared" si="22"/>
        <v>NO</v>
      </c>
    </row>
    <row r="59" spans="2:10" ht="18" customHeight="1" thickBot="1" x14ac:dyDescent="0.25">
      <c r="B59" s="2488" t="s">
        <v>225</v>
      </c>
      <c r="C59" s="3037" t="s">
        <v>199</v>
      </c>
      <c r="D59" s="3038"/>
      <c r="E59" s="3038"/>
      <c r="F59" s="3038"/>
      <c r="G59" s="3038"/>
      <c r="H59" s="3038"/>
      <c r="I59" s="2948"/>
      <c r="J59" s="3023"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94" t="s">
        <v>227</v>
      </c>
      <c r="C77" s="4495"/>
      <c r="D77" s="4495"/>
      <c r="E77" s="4495"/>
      <c r="F77" s="4495"/>
      <c r="G77" s="4495"/>
      <c r="H77" s="4495"/>
      <c r="I77" s="4495"/>
      <c r="J77" s="4496"/>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9" t="s">
        <v>1277</v>
      </c>
      <c r="C1" s="2290"/>
      <c r="D1" s="2290"/>
      <c r="E1" s="2291"/>
      <c r="F1" s="2291"/>
      <c r="G1" s="2291"/>
      <c r="H1" s="2292"/>
      <c r="I1" s="2292"/>
      <c r="J1" s="2292"/>
      <c r="K1" s="2292"/>
      <c r="L1" s="2292"/>
      <c r="M1" s="14" t="s">
        <v>2460</v>
      </c>
    </row>
    <row r="2" spans="2:13" ht="15.95" customHeight="1" x14ac:dyDescent="0.25">
      <c r="B2" s="2294" t="s">
        <v>1278</v>
      </c>
      <c r="C2" s="2294"/>
      <c r="D2" s="2294"/>
      <c r="E2" s="2294"/>
      <c r="F2" s="2294"/>
      <c r="G2" s="2294"/>
      <c r="H2" s="2294"/>
      <c r="I2" s="2292"/>
      <c r="J2" s="2292"/>
      <c r="K2" s="2292"/>
      <c r="L2" s="2292"/>
      <c r="M2" s="14" t="s">
        <v>2461</v>
      </c>
    </row>
    <row r="3" spans="2:13" ht="12" customHeight="1" x14ac:dyDescent="0.25">
      <c r="B3" s="2292"/>
      <c r="C3" s="2292"/>
      <c r="D3" s="2292"/>
      <c r="E3" s="2292"/>
      <c r="F3" s="2292"/>
      <c r="G3" s="2292"/>
      <c r="H3" s="2292"/>
      <c r="I3" s="2292"/>
      <c r="J3" s="2292"/>
      <c r="K3" s="2292"/>
      <c r="L3" s="2292"/>
      <c r="M3" s="14" t="s">
        <v>163</v>
      </c>
    </row>
    <row r="4" spans="2:13" ht="12" hidden="1" customHeight="1" x14ac:dyDescent="0.25">
      <c r="B4" s="2292"/>
      <c r="C4" s="2292"/>
      <c r="D4" s="2292"/>
      <c r="E4" s="2292"/>
      <c r="F4" s="2292"/>
      <c r="G4" s="2292"/>
      <c r="H4" s="2292"/>
      <c r="I4" s="2292"/>
      <c r="J4" s="2292"/>
      <c r="K4" s="2292"/>
      <c r="L4" s="2292"/>
      <c r="M4" s="2293"/>
    </row>
    <row r="5" spans="2:13" ht="12" hidden="1" customHeight="1" x14ac:dyDescent="0.25">
      <c r="B5" s="2292"/>
      <c r="C5" s="2292"/>
      <c r="D5" s="2292"/>
      <c r="E5" s="2292"/>
      <c r="F5" s="2292"/>
      <c r="G5" s="2292"/>
      <c r="H5" s="2292"/>
      <c r="I5" s="2292"/>
      <c r="J5" s="2292"/>
      <c r="K5" s="2292"/>
      <c r="L5" s="2292"/>
      <c r="M5" s="2293"/>
    </row>
    <row r="6" spans="2:13" ht="12" hidden="1" customHeight="1" x14ac:dyDescent="0.25">
      <c r="B6" s="2292"/>
      <c r="C6" s="2292"/>
      <c r="D6" s="2292"/>
      <c r="E6" s="2292"/>
      <c r="F6" s="2292"/>
      <c r="G6" s="2292"/>
      <c r="H6" s="2292"/>
      <c r="I6" s="2292"/>
      <c r="J6" s="2292"/>
      <c r="K6" s="2292"/>
      <c r="L6" s="2292"/>
      <c r="M6" s="2293"/>
    </row>
    <row r="7" spans="2:13" ht="12" customHeight="1" thickBot="1" x14ac:dyDescent="0.25">
      <c r="B7" s="2472" t="s">
        <v>62</v>
      </c>
      <c r="C7" s="2295"/>
      <c r="D7" s="2295"/>
      <c r="E7" s="2295"/>
      <c r="F7" s="2295"/>
      <c r="G7" s="2295"/>
      <c r="H7" s="2295"/>
      <c r="I7" s="2295"/>
      <c r="J7" s="2295"/>
      <c r="K7" s="2295"/>
      <c r="L7" s="2295"/>
      <c r="M7" s="2295"/>
    </row>
    <row r="8" spans="2:13" ht="69" customHeight="1" x14ac:dyDescent="0.2">
      <c r="B8" s="2296" t="s">
        <v>1279</v>
      </c>
      <c r="C8" s="2297" t="s">
        <v>1280</v>
      </c>
      <c r="D8" s="2297" t="s">
        <v>1281</v>
      </c>
      <c r="E8" s="2297" t="s">
        <v>1282</v>
      </c>
      <c r="F8" s="2297" t="s">
        <v>1283</v>
      </c>
      <c r="G8" s="2297" t="s">
        <v>1284</v>
      </c>
      <c r="H8" s="2297" t="s">
        <v>1285</v>
      </c>
      <c r="I8" s="2297" t="s">
        <v>1286</v>
      </c>
      <c r="J8" s="2297" t="s">
        <v>1287</v>
      </c>
      <c r="K8" s="2297" t="s">
        <v>1288</v>
      </c>
      <c r="L8" s="2297" t="s">
        <v>1289</v>
      </c>
      <c r="M8" s="2298" t="s">
        <v>1290</v>
      </c>
    </row>
    <row r="9" spans="2:13" x14ac:dyDescent="0.2">
      <c r="B9" s="2299" t="s">
        <v>1291</v>
      </c>
      <c r="C9" s="2300" t="s">
        <v>1292</v>
      </c>
      <c r="D9" s="2300"/>
      <c r="E9" s="2300"/>
      <c r="F9" s="2300"/>
      <c r="G9" s="2300"/>
      <c r="H9" s="2300"/>
      <c r="I9" s="2300"/>
      <c r="J9" s="2300"/>
      <c r="K9" s="2300"/>
      <c r="L9" s="2301"/>
      <c r="M9" s="2302"/>
    </row>
    <row r="10" spans="2:13" ht="18" customHeight="1" x14ac:dyDescent="0.2">
      <c r="B10" s="2303" t="s">
        <v>1293</v>
      </c>
      <c r="C10" s="3491">
        <v>134172.41804362601</v>
      </c>
      <c r="D10" s="3491" t="s">
        <v>199</v>
      </c>
      <c r="E10" s="3491">
        <v>24.736664222000002</v>
      </c>
      <c r="F10" s="3491">
        <v>661.58130323399996</v>
      </c>
      <c r="G10" s="3491" t="s">
        <v>199</v>
      </c>
      <c r="H10" s="3491">
        <v>0.35089171400000002</v>
      </c>
      <c r="I10" s="3491" t="s">
        <v>199</v>
      </c>
      <c r="J10" s="3491">
        <v>29.932201980999999</v>
      </c>
      <c r="K10" s="3491" t="s">
        <v>199</v>
      </c>
      <c r="L10" s="3491" t="s">
        <v>199</v>
      </c>
      <c r="M10" s="3492">
        <f>IF(SUM(C10:L10)=0,"NO",SUM(C10:L10))</f>
        <v>134889.01910477702</v>
      </c>
    </row>
    <row r="11" spans="2:13" ht="18" customHeight="1" x14ac:dyDescent="0.2">
      <c r="B11" s="2303" t="s">
        <v>1294</v>
      </c>
      <c r="C11" s="3491" t="s">
        <v>199</v>
      </c>
      <c r="D11" s="3491" t="s">
        <v>199</v>
      </c>
      <c r="E11" s="3491" t="s">
        <v>199</v>
      </c>
      <c r="F11" s="3491" t="s">
        <v>199</v>
      </c>
      <c r="G11" s="3491" t="s">
        <v>199</v>
      </c>
      <c r="H11" s="3491" t="s">
        <v>199</v>
      </c>
      <c r="I11" s="3491" t="s">
        <v>199</v>
      </c>
      <c r="J11" s="3491" t="s">
        <v>199</v>
      </c>
      <c r="K11" s="3491" t="s">
        <v>199</v>
      </c>
      <c r="L11" s="3491" t="s">
        <v>199</v>
      </c>
      <c r="M11" s="3492" t="str">
        <f t="shared" ref="M11:M20" si="0">IF(SUM(C11:L11)=0,"NO",SUM(C11:L11))</f>
        <v>NO</v>
      </c>
    </row>
    <row r="12" spans="2:13" ht="18" customHeight="1" x14ac:dyDescent="0.2">
      <c r="B12" s="2303" t="s">
        <v>1295</v>
      </c>
      <c r="C12" s="3491">
        <v>13.05942145</v>
      </c>
      <c r="D12" s="3491" t="s">
        <v>199</v>
      </c>
      <c r="E12" s="3491">
        <v>39948.510094035002</v>
      </c>
      <c r="F12" s="3491" t="s">
        <v>274</v>
      </c>
      <c r="G12" s="3491" t="s">
        <v>199</v>
      </c>
      <c r="H12" s="3491" t="s">
        <v>274</v>
      </c>
      <c r="I12" s="3491" t="s">
        <v>199</v>
      </c>
      <c r="J12" s="3491" t="s">
        <v>274</v>
      </c>
      <c r="K12" s="3491" t="s">
        <v>199</v>
      </c>
      <c r="L12" s="3491" t="s">
        <v>199</v>
      </c>
      <c r="M12" s="3492">
        <f t="shared" si="0"/>
        <v>39961.569515485004</v>
      </c>
    </row>
    <row r="13" spans="2:13" ht="18" customHeight="1" x14ac:dyDescent="0.2">
      <c r="B13" s="2303" t="s">
        <v>1296</v>
      </c>
      <c r="C13" s="3491">
        <v>466.48923379000001</v>
      </c>
      <c r="D13" s="3491" t="s">
        <v>199</v>
      </c>
      <c r="E13" s="3491" t="s">
        <v>274</v>
      </c>
      <c r="F13" s="3491">
        <v>518074.44402225403</v>
      </c>
      <c r="G13" s="3491" t="s">
        <v>199</v>
      </c>
      <c r="H13" s="3491" t="s">
        <v>274</v>
      </c>
      <c r="I13" s="3491" t="s">
        <v>199</v>
      </c>
      <c r="J13" s="3491" t="s">
        <v>274</v>
      </c>
      <c r="K13" s="3491" t="s">
        <v>199</v>
      </c>
      <c r="L13" s="3491" t="s">
        <v>199</v>
      </c>
      <c r="M13" s="3492">
        <f t="shared" si="0"/>
        <v>518540.93325604405</v>
      </c>
    </row>
    <row r="14" spans="2:13" ht="18" customHeight="1" x14ac:dyDescent="0.2">
      <c r="B14" s="2303" t="s">
        <v>1297</v>
      </c>
      <c r="C14" s="3491" t="s">
        <v>199</v>
      </c>
      <c r="D14" s="3491" t="s">
        <v>199</v>
      </c>
      <c r="E14" s="3491" t="s">
        <v>199</v>
      </c>
      <c r="F14" s="3491" t="s">
        <v>199</v>
      </c>
      <c r="G14" s="3491" t="s">
        <v>199</v>
      </c>
      <c r="H14" s="3491" t="s">
        <v>199</v>
      </c>
      <c r="I14" s="3491" t="s">
        <v>199</v>
      </c>
      <c r="J14" s="3491" t="s">
        <v>199</v>
      </c>
      <c r="K14" s="3491" t="s">
        <v>199</v>
      </c>
      <c r="L14" s="3491" t="s">
        <v>199</v>
      </c>
      <c r="M14" s="3492" t="str">
        <f t="shared" si="0"/>
        <v>NO</v>
      </c>
    </row>
    <row r="15" spans="2:13" ht="18" customHeight="1" x14ac:dyDescent="0.2">
      <c r="B15" s="2303" t="s">
        <v>1298</v>
      </c>
      <c r="C15" s="3491">
        <v>7.0807447100000003</v>
      </c>
      <c r="D15" s="3491" t="s">
        <v>199</v>
      </c>
      <c r="E15" s="3491">
        <v>0.63304705100000003</v>
      </c>
      <c r="F15" s="3491">
        <v>2.443871627</v>
      </c>
      <c r="G15" s="3491" t="s">
        <v>199</v>
      </c>
      <c r="H15" s="3491">
        <v>13307.605644022</v>
      </c>
      <c r="I15" s="3491" t="s">
        <v>199</v>
      </c>
      <c r="J15" s="3491" t="s">
        <v>199</v>
      </c>
      <c r="K15" s="3491" t="s">
        <v>199</v>
      </c>
      <c r="L15" s="3491" t="s">
        <v>199</v>
      </c>
      <c r="M15" s="3492">
        <f t="shared" si="0"/>
        <v>13317.763307409999</v>
      </c>
    </row>
    <row r="16" spans="2:13" ht="18" customHeight="1" x14ac:dyDescent="0.2">
      <c r="B16" s="2303" t="s">
        <v>1299</v>
      </c>
      <c r="C16" s="3491" t="s">
        <v>199</v>
      </c>
      <c r="D16" s="3491" t="s">
        <v>199</v>
      </c>
      <c r="E16" s="3491" t="s">
        <v>199</v>
      </c>
      <c r="F16" s="3491" t="s">
        <v>199</v>
      </c>
      <c r="G16" s="3491" t="s">
        <v>199</v>
      </c>
      <c r="H16" s="3491" t="s">
        <v>199</v>
      </c>
      <c r="I16" s="3491" t="s">
        <v>199</v>
      </c>
      <c r="J16" s="3491" t="s">
        <v>199</v>
      </c>
      <c r="K16" s="3491" t="s">
        <v>199</v>
      </c>
      <c r="L16" s="3491" t="s">
        <v>199</v>
      </c>
      <c r="M16" s="3492" t="str">
        <f t="shared" si="0"/>
        <v>NO</v>
      </c>
    </row>
    <row r="17" spans="2:13" ht="18" customHeight="1" x14ac:dyDescent="0.2">
      <c r="B17" s="2303" t="s">
        <v>1300</v>
      </c>
      <c r="C17" s="3491">
        <v>10.584437833999999</v>
      </c>
      <c r="D17" s="3491" t="s">
        <v>199</v>
      </c>
      <c r="E17" s="3491" t="s">
        <v>199</v>
      </c>
      <c r="F17" s="3491" t="s">
        <v>199</v>
      </c>
      <c r="G17" s="3491" t="s">
        <v>199</v>
      </c>
      <c r="H17" s="3491" t="s">
        <v>199</v>
      </c>
      <c r="I17" s="3491" t="s">
        <v>199</v>
      </c>
      <c r="J17" s="3491">
        <v>1416.5015326289999</v>
      </c>
      <c r="K17" s="3491" t="s">
        <v>199</v>
      </c>
      <c r="L17" s="3491" t="s">
        <v>199</v>
      </c>
      <c r="M17" s="3492">
        <f t="shared" si="0"/>
        <v>1427.085970463</v>
      </c>
    </row>
    <row r="18" spans="2:13" ht="18" customHeight="1" x14ac:dyDescent="0.2">
      <c r="B18" s="2303" t="s">
        <v>1301</v>
      </c>
      <c r="C18" s="3491" t="s">
        <v>199</v>
      </c>
      <c r="D18" s="3491" t="s">
        <v>199</v>
      </c>
      <c r="E18" s="3491" t="s">
        <v>199</v>
      </c>
      <c r="F18" s="3491" t="s">
        <v>199</v>
      </c>
      <c r="G18" s="3491" t="s">
        <v>199</v>
      </c>
      <c r="H18" s="3491" t="s">
        <v>199</v>
      </c>
      <c r="I18" s="3491" t="s">
        <v>199</v>
      </c>
      <c r="J18" s="3491" t="s">
        <v>199</v>
      </c>
      <c r="K18" s="3491">
        <v>60692.328845821001</v>
      </c>
      <c r="L18" s="3491" t="s">
        <v>199</v>
      </c>
      <c r="M18" s="3492">
        <f t="shared" si="0"/>
        <v>60692.328845821001</v>
      </c>
    </row>
    <row r="19" spans="2:13" ht="18" customHeight="1" x14ac:dyDescent="0.2">
      <c r="B19" s="2303" t="s">
        <v>1302</v>
      </c>
      <c r="C19" s="3491" t="s">
        <v>199</v>
      </c>
      <c r="D19" s="3491" t="s">
        <v>199</v>
      </c>
      <c r="E19" s="3491" t="s">
        <v>199</v>
      </c>
      <c r="F19" s="3491" t="s">
        <v>199</v>
      </c>
      <c r="G19" s="3491" t="s">
        <v>199</v>
      </c>
      <c r="H19" s="3491" t="s">
        <v>199</v>
      </c>
      <c r="I19" s="3491" t="s">
        <v>199</v>
      </c>
      <c r="J19" s="3491" t="s">
        <v>199</v>
      </c>
      <c r="K19" s="3491" t="s">
        <v>199</v>
      </c>
      <c r="L19" s="3491" t="s">
        <v>199</v>
      </c>
      <c r="M19" s="3492" t="str">
        <f t="shared" si="0"/>
        <v>NO</v>
      </c>
    </row>
    <row r="20" spans="2:13" ht="18" customHeight="1" x14ac:dyDescent="0.2">
      <c r="B20" s="2304" t="s">
        <v>1303</v>
      </c>
      <c r="C20" s="3493">
        <f>IF(SUM(C10:C19)=0,"NO",SUM(C10:C19))</f>
        <v>134669.63188140999</v>
      </c>
      <c r="D20" s="3493" t="str">
        <f t="shared" ref="D20:L20" si="1">IF(SUM(D10:D19)=0,"NO",SUM(D10:D19))</f>
        <v>NO</v>
      </c>
      <c r="E20" s="3493">
        <f t="shared" si="1"/>
        <v>39973.879805308003</v>
      </c>
      <c r="F20" s="3493">
        <f t="shared" si="1"/>
        <v>518738.46919711499</v>
      </c>
      <c r="G20" s="3493" t="str">
        <f t="shared" si="1"/>
        <v>NO</v>
      </c>
      <c r="H20" s="3493">
        <f t="shared" si="1"/>
        <v>13307.956535736001</v>
      </c>
      <c r="I20" s="3493" t="str">
        <f t="shared" si="1"/>
        <v>NO</v>
      </c>
      <c r="J20" s="3493">
        <f t="shared" si="1"/>
        <v>1446.4337346099999</v>
      </c>
      <c r="K20" s="3493">
        <f t="shared" si="1"/>
        <v>60692.328845821001</v>
      </c>
      <c r="L20" s="3493" t="str">
        <f t="shared" si="1"/>
        <v>NO</v>
      </c>
      <c r="M20" s="3492">
        <f t="shared" si="0"/>
        <v>768828.7</v>
      </c>
    </row>
    <row r="21" spans="2:13" ht="18" customHeight="1" thickBot="1" x14ac:dyDescent="0.25">
      <c r="B21" s="2305" t="s">
        <v>1304</v>
      </c>
      <c r="C21" s="3494">
        <f>IF(SUM(C20)=0,"NO",C20-M10)</f>
        <v>-219.38722336702631</v>
      </c>
      <c r="D21" s="3494" t="str">
        <f>IF(SUM(D20)=0,"NO",D20-M11)</f>
        <v>NO</v>
      </c>
      <c r="E21" s="3494">
        <f>IF(SUM(E20)=0,"NO",E20-M12)</f>
        <v>12.310289822999039</v>
      </c>
      <c r="F21" s="3494">
        <f>IF(SUM(F20)=0,"NO",F20-M13)</f>
        <v>197.53594107093522</v>
      </c>
      <c r="G21" s="3494" t="str">
        <f>IF(SUM(G20)=0,"NO",G20-M14)</f>
        <v>NO</v>
      </c>
      <c r="H21" s="3494">
        <f>IF(SUM(H20)=0,"NO",H20-M15)</f>
        <v>-9.80677167399881</v>
      </c>
      <c r="I21" s="3494" t="str">
        <f>IF(SUM(I20)=0,"NO",I20-M16)</f>
        <v>NO</v>
      </c>
      <c r="J21" s="3494">
        <f>IF(SUM(J20)=0,"NO",J20-M17)</f>
        <v>19.347764146999907</v>
      </c>
      <c r="K21" s="3494">
        <f>IF(SUM(K20)=0,"NO",K20-M18)</f>
        <v>0</v>
      </c>
      <c r="L21" s="3494" t="str">
        <f>IF(SUM(L20)=0,"NO",L20-M19)</f>
        <v>NO</v>
      </c>
      <c r="M21" s="3495">
        <f>SUM(C20:L20)-SUM(M10:M19)</f>
        <v>0</v>
      </c>
    </row>
    <row r="22" spans="2:13" ht="15.75" x14ac:dyDescent="0.2">
      <c r="B22" s="2306"/>
      <c r="C22" s="2307"/>
      <c r="D22" s="2307"/>
      <c r="E22" s="2307"/>
      <c r="F22" s="2307"/>
      <c r="G22" s="2307"/>
      <c r="H22" s="2307"/>
      <c r="I22" s="2307"/>
      <c r="J22" s="2307"/>
      <c r="K22" s="2307"/>
      <c r="L22" s="2307"/>
      <c r="M22" s="2307"/>
    </row>
    <row r="23" spans="2:13" ht="15.75" x14ac:dyDescent="0.2">
      <c r="B23" s="2306"/>
      <c r="C23" s="2307"/>
      <c r="D23" s="2307"/>
      <c r="E23" s="2307"/>
      <c r="F23" s="2307"/>
      <c r="G23" s="2307"/>
      <c r="H23" s="2307"/>
      <c r="I23" s="2307"/>
      <c r="J23" s="2307"/>
      <c r="K23" s="2307"/>
      <c r="L23" s="2307"/>
      <c r="M23" s="2307"/>
    </row>
    <row r="24" spans="2:13" ht="15.75" x14ac:dyDescent="0.2">
      <c r="B24" s="2308"/>
      <c r="C24" s="2309"/>
      <c r="D24" s="2309"/>
      <c r="E24" s="2309"/>
      <c r="F24" s="2309"/>
      <c r="G24" s="2309"/>
      <c r="H24" s="2309"/>
      <c r="I24" s="2309"/>
      <c r="J24" s="2309"/>
      <c r="K24" s="2309"/>
      <c r="L24" s="2309"/>
      <c r="M24" s="2309"/>
    </row>
    <row r="25" spans="2:13" ht="15.75" x14ac:dyDescent="0.2">
      <c r="B25" s="2306"/>
      <c r="C25" s="2307"/>
      <c r="D25" s="2307"/>
      <c r="E25" s="2307"/>
      <c r="F25" s="2307"/>
      <c r="G25" s="2307"/>
      <c r="H25" s="2307"/>
      <c r="I25" s="2307"/>
      <c r="J25" s="2307"/>
      <c r="K25" s="2307"/>
      <c r="L25" s="2307"/>
      <c r="M25" s="2307"/>
    </row>
    <row r="26" spans="2:13" x14ac:dyDescent="0.2">
      <c r="B26" s="2310"/>
      <c r="C26" s="2310"/>
      <c r="D26" s="2310"/>
      <c r="E26" s="2310"/>
      <c r="F26" s="2310"/>
      <c r="G26" s="2310"/>
      <c r="H26" s="2310"/>
      <c r="I26" s="2310"/>
      <c r="J26" s="2310"/>
      <c r="K26" s="2310"/>
      <c r="L26" s="2310"/>
      <c r="M26" s="2310"/>
    </row>
    <row r="27" spans="2:13" x14ac:dyDescent="0.2">
      <c r="B27" s="2310"/>
      <c r="C27" s="2310"/>
      <c r="D27" s="2310"/>
      <c r="E27" s="2310"/>
      <c r="F27" s="2310"/>
      <c r="G27" s="2310"/>
      <c r="H27" s="2310"/>
      <c r="I27" s="2310"/>
      <c r="J27" s="2310"/>
      <c r="K27" s="2310"/>
      <c r="L27" s="2310"/>
      <c r="M27" s="2310"/>
    </row>
    <row r="28" spans="2:13" x14ac:dyDescent="0.2">
      <c r="B28" s="2310"/>
      <c r="C28" s="2310"/>
      <c r="D28" s="2310"/>
      <c r="E28" s="2310"/>
      <c r="F28" s="2310"/>
      <c r="G28" s="2310"/>
      <c r="H28" s="2310"/>
      <c r="I28" s="2310"/>
      <c r="J28" s="2310"/>
      <c r="K28" s="2310"/>
      <c r="L28" s="2310"/>
      <c r="M28" s="2310"/>
    </row>
    <row r="29" spans="2:13" x14ac:dyDescent="0.2">
      <c r="B29" s="2310"/>
      <c r="C29" s="2310"/>
      <c r="D29" s="2310"/>
      <c r="E29" s="2310"/>
      <c r="F29" s="2310"/>
      <c r="G29" s="2310"/>
      <c r="H29" s="2310"/>
      <c r="I29" s="2310"/>
      <c r="J29" s="2310"/>
      <c r="K29" s="2310"/>
      <c r="L29" s="2310"/>
      <c r="M29" s="2310"/>
    </row>
    <row r="30" spans="2:13" x14ac:dyDescent="0.2">
      <c r="B30" s="2310"/>
      <c r="C30" s="2310"/>
      <c r="D30" s="2310"/>
      <c r="E30" s="2310"/>
      <c r="F30" s="2310"/>
      <c r="G30" s="2310"/>
      <c r="H30" s="2310"/>
      <c r="I30" s="2310"/>
      <c r="J30" s="2310"/>
      <c r="K30" s="2310"/>
      <c r="L30" s="2310"/>
      <c r="M30" s="2310"/>
    </row>
    <row r="31" spans="2:13" x14ac:dyDescent="0.2">
      <c r="B31" s="2310"/>
      <c r="C31" s="2310"/>
      <c r="D31" s="2310"/>
      <c r="E31" s="2310"/>
      <c r="F31" s="2310"/>
      <c r="G31" s="2310"/>
      <c r="H31" s="2310"/>
      <c r="I31" s="2310"/>
      <c r="J31" s="2310"/>
      <c r="K31" s="2310"/>
      <c r="L31" s="2310"/>
      <c r="M31" s="2310"/>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workbookViewId="0">
      <selection activeCell="N12" sqref="N12"/>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2460</v>
      </c>
    </row>
    <row r="2" spans="2:23" ht="15.75" x14ac:dyDescent="0.25">
      <c r="B2" s="13" t="s">
        <v>1306</v>
      </c>
      <c r="S2" s="83" t="s">
        <v>560</v>
      </c>
      <c r="U2" s="14" t="s">
        <v>2461</v>
      </c>
    </row>
    <row r="3" spans="2:23" ht="15.75" x14ac:dyDescent="0.25">
      <c r="B3" s="13" t="s">
        <v>162</v>
      </c>
      <c r="U3" s="14" t="s">
        <v>163</v>
      </c>
    </row>
    <row r="4" spans="2:23" ht="12" customHeight="1" x14ac:dyDescent="0.25">
      <c r="B4" s="13"/>
      <c r="U4" s="226"/>
    </row>
    <row r="5" spans="2:23" ht="24.75" thickBot="1" x14ac:dyDescent="0.25">
      <c r="B5" s="2465" t="s">
        <v>62</v>
      </c>
      <c r="U5" s="467"/>
      <c r="W5" s="2589"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8" t="s">
        <v>1310</v>
      </c>
    </row>
    <row r="7" spans="2:23" ht="48" x14ac:dyDescent="0.2">
      <c r="B7" s="2593" t="s">
        <v>1311</v>
      </c>
      <c r="C7" s="850" t="s">
        <v>1312</v>
      </c>
      <c r="D7" s="2695" t="s">
        <v>1313</v>
      </c>
      <c r="E7" s="800" t="s">
        <v>1314</v>
      </c>
      <c r="F7" s="807" t="s">
        <v>1315</v>
      </c>
      <c r="G7" s="841" t="s">
        <v>1316</v>
      </c>
      <c r="H7" s="842"/>
      <c r="I7" s="843"/>
      <c r="J7" s="800" t="s">
        <v>1317</v>
      </c>
      <c r="K7" s="800" t="s">
        <v>1318</v>
      </c>
      <c r="L7" s="844" t="s">
        <v>1319</v>
      </c>
      <c r="M7" s="845"/>
      <c r="N7" s="2694" t="s">
        <v>1320</v>
      </c>
      <c r="O7" s="2694"/>
      <c r="P7" s="2694"/>
      <c r="Q7" s="801" t="s">
        <v>1321</v>
      </c>
      <c r="R7" s="801" t="s">
        <v>1322</v>
      </c>
      <c r="S7" s="849" t="s">
        <v>1323</v>
      </c>
      <c r="T7" s="2694"/>
      <c r="U7" s="454" t="s">
        <v>1324</v>
      </c>
      <c r="W7" s="2587" t="s">
        <v>1325</v>
      </c>
    </row>
    <row r="8" spans="2:23" ht="24" x14ac:dyDescent="0.2">
      <c r="B8" s="806"/>
      <c r="C8" s="851"/>
      <c r="D8" s="2696"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4"/>
      <c r="C9" s="852"/>
      <c r="D9" s="2697"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1" t="s">
        <v>1338</v>
      </c>
      <c r="C10" s="2283"/>
      <c r="D10" s="3497">
        <f>IF(SUM(D11,D16)=0,"IE",SUM(D11,D16))</f>
        <v>134810.78811576474</v>
      </c>
      <c r="E10" s="3498">
        <f t="shared" ref="E10:U10" si="0">IF(SUM(E11,E16)=0,"IE",SUM(E11,E16))</f>
        <v>134669.63188141078</v>
      </c>
      <c r="F10" s="3499">
        <f t="shared" si="0"/>
        <v>141.15623435397967</v>
      </c>
      <c r="G10" s="3500">
        <f t="shared" ref="G10:K11" si="1">IFERROR(IF(SUM($D10)=0,"NA",N10/$D10),"NA")</f>
        <v>8.1918988562662304E-2</v>
      </c>
      <c r="H10" s="3057">
        <f t="shared" si="1"/>
        <v>-7.5021541179546075E-3</v>
      </c>
      <c r="I10" s="3057">
        <f t="shared" si="1"/>
        <v>7.4416834444707702E-2</v>
      </c>
      <c r="J10" s="3057">
        <f t="shared" si="1"/>
        <v>2.4281212778025957E-3</v>
      </c>
      <c r="K10" s="3057">
        <f t="shared" si="1"/>
        <v>6.1276072434644935E-3</v>
      </c>
      <c r="L10" s="3057">
        <f>IFERROR(IF(SUM(E10)=0,"NA",S10/E10),"NA")</f>
        <v>-3.3689213735157357E-3</v>
      </c>
      <c r="M10" s="3106">
        <f>IFERROR(IF(SUM(F10)=0,"NA",T10/F10),"NA")</f>
        <v>0.1190872342557866</v>
      </c>
      <c r="N10" s="3501">
        <f t="shared" si="0"/>
        <v>11043.563409778822</v>
      </c>
      <c r="O10" s="3502">
        <f t="shared" si="0"/>
        <v>-1011.3713092073905</v>
      </c>
      <c r="P10" s="3502">
        <f t="shared" si="0"/>
        <v>10032.192100571432</v>
      </c>
      <c r="Q10" s="3502">
        <f t="shared" si="0"/>
        <v>327.33694310122564</v>
      </c>
      <c r="R10" s="3502">
        <f t="shared" si="0"/>
        <v>826.067561755317</v>
      </c>
      <c r="S10" s="3502">
        <f t="shared" si="0"/>
        <v>-453.69140120878092</v>
      </c>
      <c r="T10" s="3503">
        <f t="shared" si="0"/>
        <v>16.809905547177088</v>
      </c>
      <c r="U10" s="4260">
        <f t="shared" si="0"/>
        <v>-39411.955402476699</v>
      </c>
      <c r="W10" s="2422"/>
    </row>
    <row r="11" spans="2:23" ht="18" customHeight="1" x14ac:dyDescent="0.2">
      <c r="B11" s="492" t="s">
        <v>1253</v>
      </c>
      <c r="C11" s="2282"/>
      <c r="D11" s="3504">
        <f>IF(SUM(D12:D15)=0,"IE",SUM(D12:D15))</f>
        <v>125759.55107417901</v>
      </c>
      <c r="E11" s="3505">
        <f t="shared" ref="E11:U11" si="2">IF(SUM(E12:E15)=0,"IE",SUM(E12:E15))</f>
        <v>125759.55107417901</v>
      </c>
      <c r="F11" s="3506" t="str">
        <f t="shared" si="2"/>
        <v>IE</v>
      </c>
      <c r="G11" s="3500">
        <f t="shared" si="1"/>
        <v>4.0458022632458922E-2</v>
      </c>
      <c r="H11" s="3057">
        <f t="shared" si="1"/>
        <v>-8.0421033676466875E-3</v>
      </c>
      <c r="I11" s="3057">
        <f t="shared" si="1"/>
        <v>3.2415919264812236E-2</v>
      </c>
      <c r="J11" s="3057">
        <f t="shared" si="1"/>
        <v>-7.7497771055755078E-3</v>
      </c>
      <c r="K11" s="3057">
        <f t="shared" si="1"/>
        <v>-3.5031317569032437E-4</v>
      </c>
      <c r="L11" s="3057">
        <f t="shared" ref="L11:L28" si="3">IFERROR(IF(SUM(E11)=0,"NA",S11/E11),"NA")</f>
        <v>1.4468429886950702E-2</v>
      </c>
      <c r="M11" s="3106" t="str">
        <f t="shared" ref="M11:M28" si="4">IFERROR(IF(SUM(F11)=0,"NA",T11/F11),"NA")</f>
        <v>NA</v>
      </c>
      <c r="N11" s="3087">
        <f t="shared" si="2"/>
        <v>5087.9827636070077</v>
      </c>
      <c r="O11" s="3087">
        <f t="shared" si="2"/>
        <v>-1011.3713092073905</v>
      </c>
      <c r="P11" s="3087">
        <f t="shared" si="2"/>
        <v>4076.6114543996173</v>
      </c>
      <c r="Q11" s="3087">
        <f t="shared" si="2"/>
        <v>-974.60848972212625</v>
      </c>
      <c r="R11" s="3507">
        <f t="shared" si="2"/>
        <v>-44.055227710185193</v>
      </c>
      <c r="S11" s="3507">
        <f t="shared" si="2"/>
        <v>1819.5432473311548</v>
      </c>
      <c r="T11" s="3507" t="str">
        <f t="shared" si="2"/>
        <v>IE</v>
      </c>
      <c r="U11" s="4261">
        <f t="shared" si="2"/>
        <v>-17884.133609094359</v>
      </c>
      <c r="W11" s="2423"/>
    </row>
    <row r="12" spans="2:23" ht="18" customHeight="1" x14ac:dyDescent="0.2">
      <c r="B12" s="490"/>
      <c r="C12" s="498" t="s">
        <v>1339</v>
      </c>
      <c r="D12" s="3509">
        <f>IF(SUM(E12:F12)=0,E12,SUM(E12:F12))</f>
        <v>17554.534302768916</v>
      </c>
      <c r="E12" s="3510">
        <v>17554.534302768916</v>
      </c>
      <c r="F12" s="3496" t="s">
        <v>274</v>
      </c>
      <c r="G12" s="3500">
        <f>IFERROR(IF(SUM($D12)=0,"NA",N12/$D12),"NA")</f>
        <v>0.26305819217053744</v>
      </c>
      <c r="H12" s="3057" t="str">
        <f>IFERROR(IF(SUM($D12)=0,"NA",O12/$D12),"NA")</f>
        <v>NA</v>
      </c>
      <c r="I12" s="3057">
        <f>IFERROR(IF(SUM($D12)=0,"NA",P12/$D12),"NA")</f>
        <v>0.26305819217053744</v>
      </c>
      <c r="J12" s="3057">
        <f>IFERROR(IF(SUM($D12)=0,"NA",Q12/$D12),"NA")</f>
        <v>-1.9569274637315701E-2</v>
      </c>
      <c r="K12" s="3057">
        <f>IFERROR(IF(SUM($D12)=0,"NA",R12/$D12),"NA")</f>
        <v>1.2419157229360345E-2</v>
      </c>
      <c r="L12" s="3057">
        <f t="shared" si="3"/>
        <v>6.9860189084713906E-2</v>
      </c>
      <c r="M12" s="3106" t="str">
        <f t="shared" si="4"/>
        <v>NA</v>
      </c>
      <c r="N12" s="2917">
        <v>4617.8640580820775</v>
      </c>
      <c r="O12" s="2917" t="s">
        <v>274</v>
      </c>
      <c r="P12" s="3087">
        <f>IF(SUM(N12:O12)=0,N12,SUM(N12:O12))</f>
        <v>4617.8640580820775</v>
      </c>
      <c r="Q12" s="2917">
        <v>-343.52950290106423</v>
      </c>
      <c r="R12" s="2918">
        <v>218.01252159428674</v>
      </c>
      <c r="S12" s="2918">
        <v>1226.363085685533</v>
      </c>
      <c r="T12" s="2918" t="s">
        <v>274</v>
      </c>
      <c r="U12" s="4262">
        <f>IF(SUM(P12:T12)=0,P12,SUM(P12:T12)*-44/12)</f>
        <v>-20968.603929023055</v>
      </c>
      <c r="W12" s="2424"/>
    </row>
    <row r="13" spans="2:23" ht="18" customHeight="1" x14ac:dyDescent="0.2">
      <c r="B13" s="490"/>
      <c r="C13" s="498" t="s">
        <v>1340</v>
      </c>
      <c r="D13" s="3509">
        <f t="shared" ref="D13:D15" si="5">IF(SUM(E13:F13)=0,E13,SUM(E13:F13))</f>
        <v>681.45988290815058</v>
      </c>
      <c r="E13" s="3510">
        <v>681.45988290815058</v>
      </c>
      <c r="F13" s="3496" t="s">
        <v>274</v>
      </c>
      <c r="G13" s="3500">
        <f t="shared" ref="G13:K28" si="6">IFERROR(IF(SUM($D13)=0,"NA",N13/$D13),"NA")</f>
        <v>0.68986996493276231</v>
      </c>
      <c r="H13" s="3057" t="str">
        <f t="shared" si="6"/>
        <v>NA</v>
      </c>
      <c r="I13" s="3057">
        <f t="shared" si="6"/>
        <v>0.68986996493276231</v>
      </c>
      <c r="J13" s="3057">
        <f t="shared" si="6"/>
        <v>0.42027266313547429</v>
      </c>
      <c r="K13" s="3057">
        <f t="shared" si="6"/>
        <v>0.28353534309365075</v>
      </c>
      <c r="L13" s="3057">
        <f t="shared" si="3"/>
        <v>0.87045499892702083</v>
      </c>
      <c r="M13" s="3106" t="str">
        <f t="shared" si="4"/>
        <v>NA</v>
      </c>
      <c r="N13" s="2917">
        <v>470.11870552493014</v>
      </c>
      <c r="O13" s="2917" t="s">
        <v>274</v>
      </c>
      <c r="P13" s="3087">
        <f t="shared" ref="P13:P15" si="7">IF(SUM(N13:O13)=0,N13,SUM(N13:O13))</f>
        <v>470.11870552493014</v>
      </c>
      <c r="Q13" s="2917">
        <v>286.39895980979691</v>
      </c>
      <c r="R13" s="2918">
        <v>193.21796170492155</v>
      </c>
      <c r="S13" s="2918">
        <v>593.18016164562198</v>
      </c>
      <c r="T13" s="2918" t="s">
        <v>274</v>
      </c>
      <c r="U13" s="4262">
        <f t="shared" ref="U13:U15" si="8">IF(SUM(P13:T13)=0,P13,SUM(P13:T13)*-44/12)</f>
        <v>-5657.3578918459925</v>
      </c>
      <c r="W13" s="2424"/>
    </row>
    <row r="14" spans="2:23" ht="18" customHeight="1" x14ac:dyDescent="0.2">
      <c r="B14" s="490"/>
      <c r="C14" s="498" t="s">
        <v>1341</v>
      </c>
      <c r="D14" s="3509">
        <f t="shared" si="5"/>
        <v>107523.55688850195</v>
      </c>
      <c r="E14" s="3510">
        <v>107523.55688850195</v>
      </c>
      <c r="F14" s="3496" t="s">
        <v>274</v>
      </c>
      <c r="G14" s="3500" t="str">
        <f t="shared" si="6"/>
        <v>NA</v>
      </c>
      <c r="H14" s="3057">
        <f t="shared" si="6"/>
        <v>-7.4051634684619604E-3</v>
      </c>
      <c r="I14" s="3057">
        <f t="shared" si="6"/>
        <v>-7.4051634684619604E-3</v>
      </c>
      <c r="J14" s="3057">
        <f t="shared" si="6"/>
        <v>-8.1747225003818494E-3</v>
      </c>
      <c r="K14" s="3057">
        <f t="shared" si="6"/>
        <v>-4.2342880405408121E-3</v>
      </c>
      <c r="L14" s="3057" t="str">
        <f t="shared" si="3"/>
        <v>NA</v>
      </c>
      <c r="M14" s="3106" t="str">
        <f t="shared" si="4"/>
        <v>NA</v>
      </c>
      <c r="N14" s="2917" t="s">
        <v>274</v>
      </c>
      <c r="O14" s="2917">
        <v>-796.22951546982597</v>
      </c>
      <c r="P14" s="3087">
        <f t="shared" si="7"/>
        <v>-796.22951546982597</v>
      </c>
      <c r="Q14" s="2917">
        <v>-878.97523981752465</v>
      </c>
      <c r="R14" s="2918">
        <v>-455.28571100939348</v>
      </c>
      <c r="S14" s="2918" t="s">
        <v>205</v>
      </c>
      <c r="T14" s="2918" t="s">
        <v>205</v>
      </c>
      <c r="U14" s="4262">
        <f t="shared" si="8"/>
        <v>7811.7983764213932</v>
      </c>
      <c r="W14" s="2424"/>
    </row>
    <row r="15" spans="2:23" ht="18" customHeight="1" x14ac:dyDescent="0.2">
      <c r="B15" s="478"/>
      <c r="C15" s="2700" t="s">
        <v>1342</v>
      </c>
      <c r="D15" s="3509" t="str">
        <f t="shared" si="5"/>
        <v>IE</v>
      </c>
      <c r="E15" s="3510" t="s">
        <v>274</v>
      </c>
      <c r="F15" s="3496" t="s">
        <v>274</v>
      </c>
      <c r="G15" s="3500" t="str">
        <f t="shared" si="6"/>
        <v>NA</v>
      </c>
      <c r="H15" s="3057" t="str">
        <f t="shared" si="6"/>
        <v>NA</v>
      </c>
      <c r="I15" s="3057" t="str">
        <f t="shared" si="6"/>
        <v>NA</v>
      </c>
      <c r="J15" s="3057" t="str">
        <f t="shared" si="6"/>
        <v>NA</v>
      </c>
      <c r="K15" s="3057" t="str">
        <f t="shared" si="6"/>
        <v>NA</v>
      </c>
      <c r="L15" s="3057" t="str">
        <f t="shared" si="3"/>
        <v>NA</v>
      </c>
      <c r="M15" s="3106" t="str">
        <f t="shared" si="4"/>
        <v>NA</v>
      </c>
      <c r="N15" s="2917" t="s">
        <v>274</v>
      </c>
      <c r="O15" s="2917">
        <v>-215.14179373756451</v>
      </c>
      <c r="P15" s="3087">
        <f t="shared" si="7"/>
        <v>-215.14179373756451</v>
      </c>
      <c r="Q15" s="2917">
        <v>-38.502706813334257</v>
      </c>
      <c r="R15" s="2918" t="s">
        <v>205</v>
      </c>
      <c r="S15" s="2918" t="s">
        <v>205</v>
      </c>
      <c r="T15" s="2918" t="s">
        <v>205</v>
      </c>
      <c r="U15" s="4262">
        <f t="shared" si="8"/>
        <v>930.02983535329565</v>
      </c>
      <c r="W15" s="2424"/>
    </row>
    <row r="16" spans="2:23" ht="18" customHeight="1" x14ac:dyDescent="0.2">
      <c r="B16" s="475" t="s">
        <v>1343</v>
      </c>
      <c r="C16" s="494"/>
      <c r="D16" s="3509">
        <f>IF(SUM(D17,D19,D23,D25,D27)=0,"IE",SUM(D17,D19,D23,D25,D27))</f>
        <v>9051.2370415857422</v>
      </c>
      <c r="E16" s="3512">
        <f t="shared" ref="E16:T16" si="9">IF(SUM(E17,E19,E23,E25,E27)=0,"IE",SUM(E17,E19,E23,E25,E27))</f>
        <v>8910.0808072317632</v>
      </c>
      <c r="F16" s="3513">
        <f t="shared" si="9"/>
        <v>141.15623435397967</v>
      </c>
      <c r="G16" s="3500">
        <f t="shared" si="6"/>
        <v>0.65798526972711124</v>
      </c>
      <c r="H16" s="3057" t="str">
        <f t="shared" si="6"/>
        <v>NA</v>
      </c>
      <c r="I16" s="3057">
        <f t="shared" si="6"/>
        <v>0.65798526972711124</v>
      </c>
      <c r="J16" s="3057">
        <f t="shared" si="6"/>
        <v>0.14384171211532606</v>
      </c>
      <c r="K16" s="3057">
        <f t="shared" si="6"/>
        <v>9.6133024189703459E-2</v>
      </c>
      <c r="L16" s="3057">
        <f t="shared" si="3"/>
        <v>-0.2551306433377003</v>
      </c>
      <c r="M16" s="3106">
        <f t="shared" si="4"/>
        <v>0.1190872342557866</v>
      </c>
      <c r="N16" s="3057">
        <f t="shared" si="9"/>
        <v>5955.5806461718148</v>
      </c>
      <c r="O16" s="3057" t="str">
        <f t="shared" si="9"/>
        <v>IE</v>
      </c>
      <c r="P16" s="3057">
        <f t="shared" si="9"/>
        <v>5955.5806461718148</v>
      </c>
      <c r="Q16" s="3057">
        <f t="shared" si="9"/>
        <v>1301.9454328233519</v>
      </c>
      <c r="R16" s="3514">
        <f t="shared" si="9"/>
        <v>870.12278946550214</v>
      </c>
      <c r="S16" s="3514">
        <f t="shared" si="9"/>
        <v>-2273.2346485399357</v>
      </c>
      <c r="T16" s="3514">
        <f t="shared" si="9"/>
        <v>16.809905547177088</v>
      </c>
      <c r="U16" s="4262">
        <f>IF(SUM(U17,U19,U23,U25,U27)=0,"IE",SUM(U17,U19,U23,U25,U27))</f>
        <v>-21527.82179338234</v>
      </c>
      <c r="W16" s="2048"/>
    </row>
    <row r="17" spans="2:23" ht="18" customHeight="1" x14ac:dyDescent="0.2">
      <c r="B17" s="477" t="s">
        <v>1344</v>
      </c>
      <c r="C17" s="494"/>
      <c r="D17" s="3509">
        <f>D18</f>
        <v>53.222123059748569</v>
      </c>
      <c r="E17" s="3512">
        <f t="shared" ref="E17:U17" si="10">E18</f>
        <v>53.222123059748569</v>
      </c>
      <c r="F17" s="3513" t="str">
        <f t="shared" si="10"/>
        <v>NO</v>
      </c>
      <c r="G17" s="3500">
        <f t="shared" si="6"/>
        <v>1.3727189526841108</v>
      </c>
      <c r="H17" s="3057" t="str">
        <f t="shared" si="6"/>
        <v>NA</v>
      </c>
      <c r="I17" s="3057">
        <f t="shared" si="6"/>
        <v>1.3727189526841108</v>
      </c>
      <c r="J17" s="3057">
        <f t="shared" si="6"/>
        <v>3.6628632649844478E-2</v>
      </c>
      <c r="K17" s="3057">
        <f t="shared" si="6"/>
        <v>2.0437094963020912E-2</v>
      </c>
      <c r="L17" s="3057">
        <f t="shared" si="3"/>
        <v>-0.31998577663670841</v>
      </c>
      <c r="M17" s="3106" t="str">
        <f t="shared" si="4"/>
        <v>NA</v>
      </c>
      <c r="N17" s="3057">
        <f t="shared" si="10"/>
        <v>73.059017026202923</v>
      </c>
      <c r="O17" s="3057" t="str">
        <f t="shared" si="10"/>
        <v>IE</v>
      </c>
      <c r="P17" s="3057">
        <f t="shared" si="10"/>
        <v>73.059017026202923</v>
      </c>
      <c r="Q17" s="3057">
        <f t="shared" si="10"/>
        <v>1.9494535944003473</v>
      </c>
      <c r="R17" s="3514">
        <f t="shared" si="10"/>
        <v>1.0877055831056666</v>
      </c>
      <c r="S17" s="3514">
        <f t="shared" si="10"/>
        <v>-17.030322381528112</v>
      </c>
      <c r="T17" s="3514" t="str">
        <f t="shared" si="10"/>
        <v>NO</v>
      </c>
      <c r="U17" s="4262">
        <f t="shared" si="10"/>
        <v>-216.57479734799642</v>
      </c>
      <c r="W17" s="2048"/>
    </row>
    <row r="18" spans="2:23" ht="18" customHeight="1" x14ac:dyDescent="0.2">
      <c r="B18" s="478"/>
      <c r="C18" s="498" t="s">
        <v>409</v>
      </c>
      <c r="D18" s="3509">
        <f>IF(SUM(E18:F18)=0,E18,SUM(E18:F18))</f>
        <v>53.222123059748569</v>
      </c>
      <c r="E18" s="3510">
        <v>53.222123059748569</v>
      </c>
      <c r="F18" s="3496" t="s">
        <v>199</v>
      </c>
      <c r="G18" s="3500">
        <f t="shared" si="6"/>
        <v>1.3727189526841108</v>
      </c>
      <c r="H18" s="3057" t="str">
        <f t="shared" si="6"/>
        <v>NA</v>
      </c>
      <c r="I18" s="3057">
        <f t="shared" si="6"/>
        <v>1.3727189526841108</v>
      </c>
      <c r="J18" s="3057">
        <f t="shared" si="6"/>
        <v>3.6628632649844478E-2</v>
      </c>
      <c r="K18" s="3057">
        <f t="shared" si="6"/>
        <v>2.0437094963020912E-2</v>
      </c>
      <c r="L18" s="3057">
        <f t="shared" si="3"/>
        <v>-0.31998577663670841</v>
      </c>
      <c r="M18" s="3106" t="str">
        <f t="shared" si="4"/>
        <v>NA</v>
      </c>
      <c r="N18" s="2917">
        <v>73.059017026202923</v>
      </c>
      <c r="O18" s="2917" t="s">
        <v>274</v>
      </c>
      <c r="P18" s="3087">
        <f>IF(SUM(N18:O18)=0,N18,SUM(N18:O18))</f>
        <v>73.059017026202923</v>
      </c>
      <c r="Q18" s="2917">
        <v>1.9494535944003473</v>
      </c>
      <c r="R18" s="2918">
        <v>1.0877055831056666</v>
      </c>
      <c r="S18" s="2918">
        <v>-17.030322381528112</v>
      </c>
      <c r="T18" s="2918" t="s">
        <v>199</v>
      </c>
      <c r="U18" s="4262">
        <f t="shared" ref="U18" si="11">IF(SUM(P18:T18)=0,P18,SUM(P18:T18)*-44/12)</f>
        <v>-216.57479734799642</v>
      </c>
      <c r="W18" s="2424"/>
    </row>
    <row r="19" spans="2:23" ht="18" customHeight="1" x14ac:dyDescent="0.2">
      <c r="B19" s="477" t="s">
        <v>1345</v>
      </c>
      <c r="C19" s="494"/>
      <c r="D19" s="3504">
        <f>IF(SUM(D20:D22)=0,"IE",SUM(D20:D22))</f>
        <v>8810.081463606055</v>
      </c>
      <c r="E19" s="3512">
        <f t="shared" ref="E19:U19" si="12">IF(SUM(E20:E22)=0,"IE",SUM(E20:E22))</f>
        <v>8810.081463606055</v>
      </c>
      <c r="F19" s="3513" t="str">
        <f t="shared" si="12"/>
        <v>IE</v>
      </c>
      <c r="G19" s="3500">
        <f t="shared" si="6"/>
        <v>0.52977929064092011</v>
      </c>
      <c r="H19" s="3057" t="str">
        <f t="shared" si="6"/>
        <v>NA</v>
      </c>
      <c r="I19" s="3057">
        <f t="shared" si="6"/>
        <v>0.52977929064092011</v>
      </c>
      <c r="J19" s="3057">
        <f t="shared" si="6"/>
        <v>0.16070949605200396</v>
      </c>
      <c r="K19" s="3057">
        <f t="shared" si="6"/>
        <v>0.10071631785898578</v>
      </c>
      <c r="L19" s="3057">
        <f t="shared" si="3"/>
        <v>-0.25245204831305934</v>
      </c>
      <c r="M19" s="3106" t="str">
        <f t="shared" si="4"/>
        <v>NA</v>
      </c>
      <c r="N19" s="3057">
        <f t="shared" si="12"/>
        <v>4667.3987082779349</v>
      </c>
      <c r="O19" s="3057" t="str">
        <f t="shared" si="12"/>
        <v>IE</v>
      </c>
      <c r="P19" s="3057">
        <f t="shared" si="12"/>
        <v>4667.3987082779349</v>
      </c>
      <c r="Q19" s="3057">
        <f t="shared" si="12"/>
        <v>1415.8637521932305</v>
      </c>
      <c r="R19" s="3514">
        <f t="shared" si="12"/>
        <v>887.31896505210614</v>
      </c>
      <c r="S19" s="3514">
        <f t="shared" si="12"/>
        <v>-2224.1231112922642</v>
      </c>
      <c r="T19" s="3514" t="str">
        <f t="shared" si="12"/>
        <v>IE</v>
      </c>
      <c r="U19" s="4262">
        <f t="shared" si="12"/>
        <v>-17403.680485513694</v>
      </c>
      <c r="W19" s="2048"/>
    </row>
    <row r="20" spans="2:23" ht="18" customHeight="1" x14ac:dyDescent="0.2">
      <c r="B20" s="486"/>
      <c r="C20" s="498" t="s">
        <v>1346</v>
      </c>
      <c r="D20" s="3509">
        <f>IF(SUM(E20:F20)=0,E20,SUM(E20:F20))</f>
        <v>1808.7699148742358</v>
      </c>
      <c r="E20" s="3510">
        <v>1808.7699148742358</v>
      </c>
      <c r="F20" s="3496" t="s">
        <v>199</v>
      </c>
      <c r="G20" s="3500">
        <f t="shared" si="6"/>
        <v>1.2758790088600978</v>
      </c>
      <c r="H20" s="3057" t="str">
        <f t="shared" si="6"/>
        <v>NA</v>
      </c>
      <c r="I20" s="3057">
        <f t="shared" si="6"/>
        <v>1.2758790088600978</v>
      </c>
      <c r="J20" s="3057">
        <f t="shared" si="6"/>
        <v>4.4419644106766736E-2</v>
      </c>
      <c r="K20" s="3057">
        <f t="shared" si="6"/>
        <v>2.2557980399391133E-2</v>
      </c>
      <c r="L20" s="3057">
        <f t="shared" si="3"/>
        <v>-0.40481118004180616</v>
      </c>
      <c r="M20" s="3106" t="str">
        <f t="shared" si="4"/>
        <v>NA</v>
      </c>
      <c r="N20" s="2917">
        <v>2307.7715662457035</v>
      </c>
      <c r="O20" s="2917" t="s">
        <v>274</v>
      </c>
      <c r="P20" s="3087">
        <f>IF(SUM(N20:O20)=0,N20,SUM(N20:O20))</f>
        <v>2307.7715662457035</v>
      </c>
      <c r="Q20" s="2917">
        <v>80.344915889740321</v>
      </c>
      <c r="R20" s="2918">
        <v>40.802196286741378</v>
      </c>
      <c r="S20" s="2918">
        <v>-732.21028366435667</v>
      </c>
      <c r="T20" s="2918" t="s">
        <v>199</v>
      </c>
      <c r="U20" s="4262">
        <f t="shared" ref="U20:U22" si="13">IF(SUM(P20:T20)=0,P20,SUM(P20:T20)*-44/12)</f>
        <v>-6221.2641141120375</v>
      </c>
      <c r="W20" s="2424"/>
    </row>
    <row r="21" spans="2:23" ht="18" customHeight="1" x14ac:dyDescent="0.2">
      <c r="B21" s="490"/>
      <c r="C21" s="498" t="s">
        <v>1347</v>
      </c>
      <c r="D21" s="3509">
        <f>IF(SUM(E21:F21)=0,E21,SUM(E21:F21))</f>
        <v>7001.3115487318191</v>
      </c>
      <c r="E21" s="3510">
        <v>7001.3115487318191</v>
      </c>
      <c r="F21" s="3496" t="s">
        <v>199</v>
      </c>
      <c r="G21" s="3500">
        <f t="shared" si="6"/>
        <v>0.33698920108316321</v>
      </c>
      <c r="H21" s="3057" t="str">
        <f t="shared" si="6"/>
        <v>NA</v>
      </c>
      <c r="I21" s="3057">
        <f t="shared" si="6"/>
        <v>0.33698920108316321</v>
      </c>
      <c r="J21" s="3057">
        <f t="shared" si="6"/>
        <v>0.19071802386295097</v>
      </c>
      <c r="K21" s="3057">
        <f t="shared" si="6"/>
        <v>0.1209083130886667</v>
      </c>
      <c r="L21" s="3057">
        <f t="shared" si="3"/>
        <v>-0.21309047844016379</v>
      </c>
      <c r="M21" s="3106" t="str">
        <f t="shared" si="4"/>
        <v>NA</v>
      </c>
      <c r="N21" s="2917">
        <v>2359.36638534146</v>
      </c>
      <c r="O21" s="2917" t="s">
        <v>274</v>
      </c>
      <c r="P21" s="3087">
        <f t="shared" ref="P21:P28" si="14">IF(SUM(N21:O21)=0,N21,SUM(N21:O21))</f>
        <v>2359.36638534146</v>
      </c>
      <c r="Q21" s="2917">
        <v>1335.2763030229894</v>
      </c>
      <c r="R21" s="2918">
        <v>846.51676876536476</v>
      </c>
      <c r="S21" s="2918">
        <v>-1491.9128276279075</v>
      </c>
      <c r="T21" s="2918" t="s">
        <v>199</v>
      </c>
      <c r="U21" s="4262">
        <f t="shared" si="13"/>
        <v>-11180.570974840322</v>
      </c>
      <c r="W21" s="2424"/>
    </row>
    <row r="22" spans="2:23" ht="18" customHeight="1" x14ac:dyDescent="0.2">
      <c r="B22" s="478"/>
      <c r="C22" s="2700" t="s">
        <v>1342</v>
      </c>
      <c r="D22" s="3509" t="str">
        <f>IF(SUM(E22:F22)=0,E22,SUM(E22:F22))</f>
        <v>IE</v>
      </c>
      <c r="E22" s="3510" t="s">
        <v>274</v>
      </c>
      <c r="F22" s="3496" t="s">
        <v>274</v>
      </c>
      <c r="G22" s="3500" t="str">
        <f t="shared" si="6"/>
        <v>NA</v>
      </c>
      <c r="H22" s="3057" t="str">
        <f t="shared" si="6"/>
        <v>NA</v>
      </c>
      <c r="I22" s="3057" t="str">
        <f t="shared" si="6"/>
        <v>NA</v>
      </c>
      <c r="J22" s="3057" t="str">
        <f t="shared" si="6"/>
        <v>NA</v>
      </c>
      <c r="K22" s="3057" t="str">
        <f t="shared" si="6"/>
        <v>NA</v>
      </c>
      <c r="L22" s="3057" t="str">
        <f t="shared" si="3"/>
        <v>NA</v>
      </c>
      <c r="M22" s="3106" t="str">
        <f t="shared" si="4"/>
        <v>NA</v>
      </c>
      <c r="N22" s="2917">
        <v>0.260756690771766</v>
      </c>
      <c r="O22" s="2917" t="s">
        <v>274</v>
      </c>
      <c r="P22" s="3087">
        <f t="shared" si="14"/>
        <v>0.260756690771766</v>
      </c>
      <c r="Q22" s="2917">
        <v>0.24253328050072409</v>
      </c>
      <c r="R22" s="2918" t="s">
        <v>205</v>
      </c>
      <c r="S22" s="2918" t="s">
        <v>205</v>
      </c>
      <c r="T22" s="2918" t="s">
        <v>205</v>
      </c>
      <c r="U22" s="4262">
        <f t="shared" si="13"/>
        <v>-1.8453965613324634</v>
      </c>
      <c r="W22" s="2424"/>
    </row>
    <row r="23" spans="2:23" ht="18" customHeight="1" x14ac:dyDescent="0.2">
      <c r="B23" s="477" t="s">
        <v>1348</v>
      </c>
      <c r="C23" s="494"/>
      <c r="D23" s="3509">
        <f>D24</f>
        <v>141.15623435397967</v>
      </c>
      <c r="E23" s="3512" t="str">
        <f t="shared" ref="E23" si="15">E24</f>
        <v>NO</v>
      </c>
      <c r="F23" s="3513">
        <f t="shared" ref="F23" si="16">F24</f>
        <v>141.15623435397967</v>
      </c>
      <c r="G23" s="3500">
        <f t="shared" si="6"/>
        <v>8.0379561189125415</v>
      </c>
      <c r="H23" s="3057" t="str">
        <f t="shared" si="6"/>
        <v>NA</v>
      </c>
      <c r="I23" s="3057">
        <f t="shared" si="6"/>
        <v>8.0379561189125415</v>
      </c>
      <c r="J23" s="3057">
        <f t="shared" si="6"/>
        <v>-0.83608609599992245</v>
      </c>
      <c r="K23" s="3057">
        <f t="shared" si="6"/>
        <v>-0.14172401166925883</v>
      </c>
      <c r="L23" s="3057" t="str">
        <f t="shared" si="3"/>
        <v>NA</v>
      </c>
      <c r="M23" s="3106">
        <f t="shared" si="4"/>
        <v>0.1190872342557866</v>
      </c>
      <c r="N23" s="3057">
        <f t="shared" ref="N23" si="17">N24</f>
        <v>1134.6076176482236</v>
      </c>
      <c r="O23" s="3057" t="str">
        <f t="shared" ref="O23" si="18">O24</f>
        <v>IE</v>
      </c>
      <c r="P23" s="3057">
        <f t="shared" ref="P23" si="19">P24</f>
        <v>1134.6076176482236</v>
      </c>
      <c r="Q23" s="3057">
        <f t="shared" ref="Q23" si="20">Q24</f>
        <v>-118.018764907069</v>
      </c>
      <c r="R23" s="3514">
        <f t="shared" ref="R23" si="21">R24</f>
        <v>-20.005227804772048</v>
      </c>
      <c r="S23" s="3514" t="str">
        <f t="shared" ref="S23" si="22">S24</f>
        <v>NO</v>
      </c>
      <c r="T23" s="3514">
        <f t="shared" ref="T23" si="23">T24</f>
        <v>16.809905547177088</v>
      </c>
      <c r="U23" s="4262">
        <f t="shared" ref="U23" si="24">U24</f>
        <v>-3715.7762784397187</v>
      </c>
      <c r="W23" s="2048"/>
    </row>
    <row r="24" spans="2:23" ht="18" customHeight="1" x14ac:dyDescent="0.2">
      <c r="B24" s="478"/>
      <c r="C24" s="498" t="s">
        <v>409</v>
      </c>
      <c r="D24" s="3509">
        <f>IF(SUM(E24:F24)=0,E24,SUM(E24:F24))</f>
        <v>141.15623435397967</v>
      </c>
      <c r="E24" s="3510" t="s">
        <v>199</v>
      </c>
      <c r="F24" s="3496">
        <v>141.15623435397967</v>
      </c>
      <c r="G24" s="3500">
        <f t="shared" si="6"/>
        <v>8.0379561189125415</v>
      </c>
      <c r="H24" s="3057" t="str">
        <f t="shared" si="6"/>
        <v>NA</v>
      </c>
      <c r="I24" s="3057">
        <f t="shared" si="6"/>
        <v>8.0379561189125415</v>
      </c>
      <c r="J24" s="3057">
        <f t="shared" si="6"/>
        <v>-0.83608609599992245</v>
      </c>
      <c r="K24" s="3057">
        <f t="shared" si="6"/>
        <v>-0.14172401166925883</v>
      </c>
      <c r="L24" s="3057" t="str">
        <f t="shared" si="3"/>
        <v>NA</v>
      </c>
      <c r="M24" s="3106">
        <f t="shared" si="4"/>
        <v>0.1190872342557866</v>
      </c>
      <c r="N24" s="2917">
        <v>1134.6076176482236</v>
      </c>
      <c r="O24" s="2917" t="s">
        <v>274</v>
      </c>
      <c r="P24" s="3087">
        <f t="shared" si="14"/>
        <v>1134.6076176482236</v>
      </c>
      <c r="Q24" s="2917">
        <v>-118.018764907069</v>
      </c>
      <c r="R24" s="2918">
        <v>-20.005227804772048</v>
      </c>
      <c r="S24" s="2918" t="s">
        <v>199</v>
      </c>
      <c r="T24" s="2918">
        <v>16.809905547177088</v>
      </c>
      <c r="U24" s="4262">
        <f t="shared" ref="U24" si="25">IF(SUM(P24:T24)=0,P24,SUM(P24:T24)*-44/12)</f>
        <v>-3715.7762784397187</v>
      </c>
      <c r="W24" s="2424"/>
    </row>
    <row r="25" spans="2:23" ht="18" customHeight="1" x14ac:dyDescent="0.2">
      <c r="B25" s="477" t="s">
        <v>1349</v>
      </c>
      <c r="C25" s="494"/>
      <c r="D25" s="3509">
        <f>D26</f>
        <v>46.777220565960263</v>
      </c>
      <c r="E25" s="3512">
        <f t="shared" ref="E25" si="26">E26</f>
        <v>46.777220565960263</v>
      </c>
      <c r="F25" s="3513" t="str">
        <f t="shared" ref="F25" si="27">F26</f>
        <v>NO</v>
      </c>
      <c r="G25" s="3500">
        <f t="shared" si="6"/>
        <v>1.7212502633823468</v>
      </c>
      <c r="H25" s="3057" t="str">
        <f t="shared" si="6"/>
        <v>NA</v>
      </c>
      <c r="I25" s="3057">
        <f t="shared" si="6"/>
        <v>1.7212502633823468</v>
      </c>
      <c r="J25" s="3057">
        <f t="shared" si="6"/>
        <v>4.5983748430645073E-2</v>
      </c>
      <c r="K25" s="3057">
        <f t="shared" si="6"/>
        <v>3.6798822466058298E-2</v>
      </c>
      <c r="L25" s="3057">
        <f t="shared" si="3"/>
        <v>-0.68582986500674525</v>
      </c>
      <c r="M25" s="3106" t="str">
        <f t="shared" si="4"/>
        <v>NA</v>
      </c>
      <c r="N25" s="3057">
        <f t="shared" ref="N25" si="28">N26</f>
        <v>80.51530321945323</v>
      </c>
      <c r="O25" s="3057" t="str">
        <f t="shared" ref="O25" si="29">O26</f>
        <v>IE</v>
      </c>
      <c r="P25" s="3057">
        <f t="shared" ref="P25" si="30">P26</f>
        <v>80.51530321945323</v>
      </c>
      <c r="Q25" s="3057">
        <f t="shared" ref="Q25" si="31">Q26</f>
        <v>2.1509919427899136</v>
      </c>
      <c r="R25" s="3514">
        <f t="shared" ref="R25" si="32">R26</f>
        <v>1.7213466350624227</v>
      </c>
      <c r="S25" s="3514">
        <f t="shared" ref="S25" si="33">S26</f>
        <v>-32.081214866143277</v>
      </c>
      <c r="T25" s="3514" t="str">
        <f t="shared" ref="T25" si="34">T26</f>
        <v>NO</v>
      </c>
      <c r="U25" s="4262">
        <f t="shared" ref="U25" si="35">U26</f>
        <v>-191.79023208092838</v>
      </c>
      <c r="W25" s="2048"/>
    </row>
    <row r="26" spans="2:23" ht="18" customHeight="1" x14ac:dyDescent="0.2">
      <c r="B26" s="478"/>
      <c r="C26" s="498" t="s">
        <v>409</v>
      </c>
      <c r="D26" s="3509">
        <f>IF(SUM(E26:F26)=0,E26,SUM(E26:F26))</f>
        <v>46.777220565960263</v>
      </c>
      <c r="E26" s="3510">
        <v>46.777220565960263</v>
      </c>
      <c r="F26" s="3496" t="s">
        <v>199</v>
      </c>
      <c r="G26" s="3500">
        <f t="shared" si="6"/>
        <v>1.7212502633823468</v>
      </c>
      <c r="H26" s="3057" t="str">
        <f t="shared" si="6"/>
        <v>NA</v>
      </c>
      <c r="I26" s="3057">
        <f t="shared" si="6"/>
        <v>1.7212502633823468</v>
      </c>
      <c r="J26" s="3057">
        <f t="shared" si="6"/>
        <v>4.5983748430645073E-2</v>
      </c>
      <c r="K26" s="3057">
        <f t="shared" si="6"/>
        <v>3.6798822466058298E-2</v>
      </c>
      <c r="L26" s="3057">
        <f t="shared" si="3"/>
        <v>-0.68582986500674525</v>
      </c>
      <c r="M26" s="3106" t="str">
        <f t="shared" si="4"/>
        <v>NA</v>
      </c>
      <c r="N26" s="2917">
        <v>80.51530321945323</v>
      </c>
      <c r="O26" s="2917" t="s">
        <v>274</v>
      </c>
      <c r="P26" s="3087">
        <f t="shared" si="14"/>
        <v>80.51530321945323</v>
      </c>
      <c r="Q26" s="2917">
        <v>2.1509919427899136</v>
      </c>
      <c r="R26" s="2918">
        <v>1.7213466350624227</v>
      </c>
      <c r="S26" s="2918">
        <v>-32.081214866143277</v>
      </c>
      <c r="T26" s="2918" t="s">
        <v>199</v>
      </c>
      <c r="U26" s="4262">
        <f t="shared" ref="U26" si="36">IF(SUM(P26:T26)=0,P26,SUM(P26:T26)*-44/12)</f>
        <v>-191.79023208092838</v>
      </c>
      <c r="W26" s="2424"/>
    </row>
    <row r="27" spans="2:23" ht="18" customHeight="1" x14ac:dyDescent="0.2">
      <c r="B27" s="477" t="s">
        <v>1350</v>
      </c>
      <c r="C27" s="494"/>
      <c r="D27" s="3509" t="str">
        <f>D28</f>
        <v>NO</v>
      </c>
      <c r="E27" s="3512" t="str">
        <f t="shared" ref="E27" si="37">E28</f>
        <v>NO</v>
      </c>
      <c r="F27" s="3513" t="str">
        <f t="shared" ref="F27" si="38">F28</f>
        <v>NO</v>
      </c>
      <c r="G27" s="3500" t="str">
        <f t="shared" si="6"/>
        <v>NA</v>
      </c>
      <c r="H27" s="3057" t="str">
        <f t="shared" si="6"/>
        <v>NA</v>
      </c>
      <c r="I27" s="3057" t="str">
        <f t="shared" si="6"/>
        <v>NA</v>
      </c>
      <c r="J27" s="3057" t="str">
        <f t="shared" si="6"/>
        <v>NA</v>
      </c>
      <c r="K27" s="3057" t="str">
        <f t="shared" si="6"/>
        <v>NA</v>
      </c>
      <c r="L27" s="3057" t="str">
        <f t="shared" si="3"/>
        <v>NA</v>
      </c>
      <c r="M27" s="3106" t="str">
        <f t="shared" si="4"/>
        <v>NA</v>
      </c>
      <c r="N27" s="3057" t="str">
        <f t="shared" ref="N27" si="39">N28</f>
        <v>NO</v>
      </c>
      <c r="O27" s="3057" t="str">
        <f t="shared" ref="O27" si="40">O28</f>
        <v>NO</v>
      </c>
      <c r="P27" s="3057" t="str">
        <f t="shared" ref="P27" si="41">P28</f>
        <v>NO</v>
      </c>
      <c r="Q27" s="3057" t="str">
        <f t="shared" ref="Q27" si="42">Q28</f>
        <v>NO</v>
      </c>
      <c r="R27" s="3514" t="str">
        <f t="shared" ref="R27" si="43">R28</f>
        <v>NO</v>
      </c>
      <c r="S27" s="3514" t="str">
        <f t="shared" ref="S27" si="44">S28</f>
        <v>NO</v>
      </c>
      <c r="T27" s="3514" t="str">
        <f t="shared" ref="T27" si="45">T28</f>
        <v>NO</v>
      </c>
      <c r="U27" s="4262" t="str">
        <f t="shared" ref="U27" si="46">U28</f>
        <v>NO</v>
      </c>
      <c r="W27" s="2048"/>
    </row>
    <row r="28" spans="2:23" ht="18" customHeight="1" thickBot="1" x14ac:dyDescent="0.25">
      <c r="B28" s="865"/>
      <c r="C28" s="500" t="s">
        <v>409</v>
      </c>
      <c r="D28" s="3515" t="str">
        <f>IF(SUM(E28:F28)=0,E28,SUM(E28:F28))</f>
        <v>NO</v>
      </c>
      <c r="E28" s="3516" t="s">
        <v>199</v>
      </c>
      <c r="F28" s="3517" t="s">
        <v>199</v>
      </c>
      <c r="G28" s="3518" t="str">
        <f t="shared" si="6"/>
        <v>NA</v>
      </c>
      <c r="H28" s="3116" t="str">
        <f t="shared" si="6"/>
        <v>NA</v>
      </c>
      <c r="I28" s="3116" t="str">
        <f t="shared" si="6"/>
        <v>NA</v>
      </c>
      <c r="J28" s="3116" t="str">
        <f t="shared" si="6"/>
        <v>NA</v>
      </c>
      <c r="K28" s="3116" t="str">
        <f t="shared" si="6"/>
        <v>NA</v>
      </c>
      <c r="L28" s="3116" t="str">
        <f t="shared" si="3"/>
        <v>NA</v>
      </c>
      <c r="M28" s="3519" t="str">
        <f t="shared" si="4"/>
        <v>NA</v>
      </c>
      <c r="N28" s="3115" t="s">
        <v>199</v>
      </c>
      <c r="O28" s="3115" t="s">
        <v>199</v>
      </c>
      <c r="P28" s="3520" t="str">
        <f t="shared" si="14"/>
        <v>NO</v>
      </c>
      <c r="Q28" s="3115" t="s">
        <v>199</v>
      </c>
      <c r="R28" s="4315" t="s">
        <v>199</v>
      </c>
      <c r="S28" s="4315" t="s">
        <v>199</v>
      </c>
      <c r="T28" s="4315" t="s">
        <v>199</v>
      </c>
      <c r="U28" s="3521" t="str">
        <f t="shared" ref="U28" si="47">IF(SUM(P28:T28)=0,P28,SUM(P28:T28)*-44/12)</f>
        <v>NO</v>
      </c>
      <c r="W28" s="2425"/>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506" t="s">
        <v>1351</v>
      </c>
      <c r="C49" s="4507"/>
      <c r="D49" s="4507"/>
      <c r="E49" s="4507"/>
      <c r="F49" s="4507"/>
      <c r="G49" s="4507"/>
      <c r="H49" s="4507"/>
      <c r="I49" s="4507"/>
      <c r="J49" s="4507"/>
      <c r="K49" s="4507"/>
      <c r="L49" s="4507"/>
      <c r="M49" s="4507"/>
      <c r="N49" s="4507"/>
      <c r="O49" s="4507"/>
      <c r="P49" s="4507"/>
      <c r="Q49" s="4507"/>
      <c r="R49" s="4507"/>
      <c r="S49" s="4507"/>
      <c r="T49" s="4507"/>
      <c r="U49" s="4508"/>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2460</v>
      </c>
    </row>
    <row r="2" spans="2:21" ht="15.75" x14ac:dyDescent="0.25">
      <c r="B2" s="13" t="s">
        <v>1367</v>
      </c>
      <c r="S2" s="14" t="s">
        <v>2461</v>
      </c>
    </row>
    <row r="3" spans="2:21" ht="15.75" x14ac:dyDescent="0.25">
      <c r="B3" s="13" t="s">
        <v>162</v>
      </c>
      <c r="S3" s="14" t="s">
        <v>163</v>
      </c>
    </row>
    <row r="4" spans="2:21" ht="15.75" x14ac:dyDescent="0.25">
      <c r="B4" s="13"/>
      <c r="S4" s="226"/>
    </row>
    <row r="5" spans="2:21" ht="24.75" thickBot="1" x14ac:dyDescent="0.25">
      <c r="B5" s="2473" t="s">
        <v>62</v>
      </c>
      <c r="C5" s="467"/>
      <c r="D5" s="467"/>
      <c r="E5" s="467"/>
      <c r="F5" s="467"/>
      <c r="G5" s="467"/>
      <c r="H5" s="467"/>
      <c r="I5" s="467"/>
      <c r="J5" s="467"/>
      <c r="K5" s="467"/>
      <c r="L5" s="467"/>
      <c r="M5" s="467"/>
      <c r="N5" s="467"/>
      <c r="O5" s="467"/>
      <c r="P5" s="481"/>
      <c r="Q5" s="481"/>
      <c r="R5" s="481"/>
      <c r="S5" s="481"/>
      <c r="U5" s="2589"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8" t="s">
        <v>1310</v>
      </c>
    </row>
    <row r="7" spans="2:21" ht="47.25" customHeight="1" x14ac:dyDescent="0.2">
      <c r="B7" s="2593"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7"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4"/>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1" t="s">
        <v>1374</v>
      </c>
      <c r="C10" s="2288"/>
      <c r="D10" s="3522">
        <f>IF(SUM(D11,D13)=0,"IE",SUM(D11,D13))</f>
        <v>39973.879805309072</v>
      </c>
      <c r="E10" s="3523">
        <f t="shared" ref="E10:F10" si="0">IF(SUM(E11,E13)=0,"IE",SUM(E11,E13))</f>
        <v>39970.879805309072</v>
      </c>
      <c r="F10" s="3524">
        <f t="shared" si="0"/>
        <v>3</v>
      </c>
      <c r="G10" s="3500">
        <f>IFERROR(IF(SUM($D10)=0,"NA",M10/$D10),"NA")</f>
        <v>5.5744834191792832E-4</v>
      </c>
      <c r="H10" s="3523">
        <f t="shared" ref="H10:J10" si="1">IFERROR(IF(SUM($D10)=0,"NA",N10/$D10),"NA")</f>
        <v>-2.2885404507488508E-4</v>
      </c>
      <c r="I10" s="3523">
        <f t="shared" si="1"/>
        <v>3.2859429684304329E-4</v>
      </c>
      <c r="J10" s="3523">
        <f t="shared" si="1"/>
        <v>-5.7640126558460422E-3</v>
      </c>
      <c r="K10" s="3525">
        <f>IFERROR(IF(SUM(E10)=0,"NA",Q10/E10),"NA")</f>
        <v>-5.5145924215710879E-2</v>
      </c>
      <c r="L10" s="3524">
        <f>IFERROR(IF(SUM(F10)=0,"NA",R10/F10),"NA")</f>
        <v>-12.475</v>
      </c>
      <c r="M10" s="3526">
        <f>IF(SUM(M11,M13)=0,"IE",SUM(M11,M13))</f>
        <v>22.283373017496103</v>
      </c>
      <c r="N10" s="3523">
        <f t="shared" ref="N10:S10" si="2">IF(SUM(N11,N13)=0,"IE",SUM(N11,N13))</f>
        <v>-9.1481840907822409</v>
      </c>
      <c r="O10" s="3527">
        <f t="shared" si="2"/>
        <v>13.135188926713862</v>
      </c>
      <c r="P10" s="3523">
        <f t="shared" si="2"/>
        <v>-230.40994910107003</v>
      </c>
      <c r="Q10" s="3525">
        <f t="shared" si="2"/>
        <v>-2204.2311085788624</v>
      </c>
      <c r="R10" s="3525">
        <f t="shared" si="2"/>
        <v>-37.424999999999997</v>
      </c>
      <c r="S10" s="3528">
        <f t="shared" si="2"/>
        <v>9016.0798520951339</v>
      </c>
      <c r="U10" s="2287"/>
    </row>
    <row r="11" spans="2:21" ht="18" customHeight="1" x14ac:dyDescent="0.2">
      <c r="B11" s="489" t="s">
        <v>1256</v>
      </c>
      <c r="C11" s="2282"/>
      <c r="D11" s="3529">
        <f>D12</f>
        <v>37697.849798623</v>
      </c>
      <c r="E11" s="3057">
        <f t="shared" ref="E11" si="3">E12</f>
        <v>37697.849798623</v>
      </c>
      <c r="F11" s="3057" t="str">
        <f t="shared" ref="F11" si="4">F12</f>
        <v>IE</v>
      </c>
      <c r="G11" s="3500" t="str">
        <f t="shared" ref="G11:G23" si="5">IFERROR(IF(SUM($D11)=0,"NA",M11/$D11),"NA")</f>
        <v>NA</v>
      </c>
      <c r="H11" s="3057">
        <f t="shared" ref="H11:H23" si="6">IFERROR(IF(SUM($D11)=0,"NA",N11/$D11),"NA")</f>
        <v>-2.4267124357624237E-4</v>
      </c>
      <c r="I11" s="3057">
        <f t="shared" ref="I11:I23" si="7">IFERROR(IF(SUM($D11)=0,"NA",O11/$D11),"NA")</f>
        <v>-2.4267124357624237E-4</v>
      </c>
      <c r="J11" s="3057" t="str">
        <f t="shared" ref="J11:J23" si="8">IFERROR(IF(SUM($D11)=0,"NA",P11/$D11),"NA")</f>
        <v>NA</v>
      </c>
      <c r="K11" s="3514">
        <f t="shared" ref="K11:K23" si="9">IFERROR(IF(SUM(E11)=0,"NA",Q11/E11),"NA")</f>
        <v>-4.1050712916002714E-2</v>
      </c>
      <c r="L11" s="3106" t="str">
        <f t="shared" ref="L11:L23" si="10">IFERROR(IF(SUM(F11)=0,"NA",R11/F11),"NA")</f>
        <v>NA</v>
      </c>
      <c r="M11" s="3530" t="str">
        <f t="shared" ref="M11" si="11">M12</f>
        <v>IE</v>
      </c>
      <c r="N11" s="3531">
        <f t="shared" ref="N11" si="12">N12</f>
        <v>-9.1481840907822409</v>
      </c>
      <c r="O11" s="3532">
        <f t="shared" ref="O11" si="13">O12</f>
        <v>-9.1481840907822409</v>
      </c>
      <c r="P11" s="3531" t="str">
        <f t="shared" ref="P11" si="14">P12</f>
        <v>NA</v>
      </c>
      <c r="Q11" s="3533">
        <f t="shared" ref="Q11" si="15">Q12</f>
        <v>-1547.5236096338635</v>
      </c>
      <c r="R11" s="3533" t="str">
        <f t="shared" ref="R11" si="16">R12</f>
        <v>IE</v>
      </c>
      <c r="S11" s="3534">
        <f t="shared" ref="S11" si="17">S12</f>
        <v>5707.7965769903676</v>
      </c>
      <c r="U11" s="2284"/>
    </row>
    <row r="12" spans="2:21" ht="18" customHeight="1" x14ac:dyDescent="0.2">
      <c r="B12" s="491"/>
      <c r="C12" s="498" t="s">
        <v>409</v>
      </c>
      <c r="D12" s="3509">
        <f>IF(SUM(E12:F12)=0,E12,SUM(E12:F12))</f>
        <v>37697.849798623</v>
      </c>
      <c r="E12" s="3510">
        <v>37697.849798623</v>
      </c>
      <c r="F12" s="3496" t="s">
        <v>274</v>
      </c>
      <c r="G12" s="3500" t="str">
        <f t="shared" si="5"/>
        <v>NA</v>
      </c>
      <c r="H12" s="3057">
        <f t="shared" si="6"/>
        <v>-2.4267124357624237E-4</v>
      </c>
      <c r="I12" s="3057">
        <f t="shared" si="7"/>
        <v>-2.4267124357624237E-4</v>
      </c>
      <c r="J12" s="3057" t="str">
        <f t="shared" si="8"/>
        <v>NA</v>
      </c>
      <c r="K12" s="3514">
        <f t="shared" si="9"/>
        <v>-4.1050712916002714E-2</v>
      </c>
      <c r="L12" s="3106" t="str">
        <f t="shared" si="10"/>
        <v>NA</v>
      </c>
      <c r="M12" s="2917" t="s">
        <v>274</v>
      </c>
      <c r="N12" s="2917">
        <v>-9.1481840907822409</v>
      </c>
      <c r="O12" s="3087">
        <f>IF(SUM(M12:N12)=0,M12,SUM(M12:N12))</f>
        <v>-9.1481840907822409</v>
      </c>
      <c r="P12" s="2917" t="s">
        <v>205</v>
      </c>
      <c r="Q12" s="2918">
        <v>-1547.5236096338635</v>
      </c>
      <c r="R12" s="2918" t="s">
        <v>274</v>
      </c>
      <c r="S12" s="3534">
        <f>IF(SUM(O12:R12)=0,Q12,SUM(O12:R12)*-44/12)</f>
        <v>5707.7965769903676</v>
      </c>
      <c r="U12" s="2424"/>
    </row>
    <row r="13" spans="2:21" ht="18" customHeight="1" x14ac:dyDescent="0.2">
      <c r="B13" s="475" t="s">
        <v>1375</v>
      </c>
      <c r="C13" s="494"/>
      <c r="D13" s="3529">
        <f>IF(SUM(D14,D16,D18,D20,D22)=0,"IE",SUM(D14,D16,D18,D20,D22))</f>
        <v>2276.0300066860746</v>
      </c>
      <c r="E13" s="3531">
        <f t="shared" ref="E13:F13" si="18">IF(SUM(E14,E16,E18,E20,E22)=0,"IE",SUM(E14,E16,E18,E20,E22))</f>
        <v>2273.0300066860746</v>
      </c>
      <c r="F13" s="3535">
        <f t="shared" si="18"/>
        <v>3</v>
      </c>
      <c r="G13" s="3500">
        <f t="shared" si="5"/>
        <v>9.7904566073542011E-3</v>
      </c>
      <c r="H13" s="3057" t="str">
        <f t="shared" si="6"/>
        <v>NA</v>
      </c>
      <c r="I13" s="3057">
        <f t="shared" si="7"/>
        <v>9.7904566073542011E-3</v>
      </c>
      <c r="J13" s="3057">
        <f t="shared" si="8"/>
        <v>-0.10123326512577464</v>
      </c>
      <c r="K13" s="3514">
        <f t="shared" si="9"/>
        <v>-0.28891281549883024</v>
      </c>
      <c r="L13" s="3106">
        <f t="shared" si="10"/>
        <v>-12.475</v>
      </c>
      <c r="M13" s="3530">
        <f>IF(SUM(M14,M16,M18,M20,M22)=0,"IE",SUM(M14,M16,M18,M20,M22))</f>
        <v>22.283373017496103</v>
      </c>
      <c r="N13" s="3531" t="str">
        <f t="shared" ref="N13" si="19">IF(SUM(N14,N16,N18,N20,N22)=0,"IE",SUM(N14,N16,N18,N20,N22))</f>
        <v>IE</v>
      </c>
      <c r="O13" s="3532">
        <f t="shared" ref="O13" si="20">IF(SUM(O14,O16,O18,O20,O22)=0,"IE",SUM(O14,O16,O18,O20,O22))</f>
        <v>22.283373017496103</v>
      </c>
      <c r="P13" s="3532">
        <f t="shared" ref="P13" si="21">IF(SUM(P14,P16,P18,P20,P22)=0,"IE",SUM(P14,P16,P18,P20,P22))</f>
        <v>-230.40994910107003</v>
      </c>
      <c r="Q13" s="3532">
        <f t="shared" ref="Q13" si="22">IF(SUM(Q14,Q16,Q18,Q20,Q22)=0,"IE",SUM(Q14,Q16,Q18,Q20,Q22))</f>
        <v>-656.70749894499875</v>
      </c>
      <c r="R13" s="3532">
        <f t="shared" ref="R13" si="23">IF(SUM(R14,R16,R18,R20,R22)=0,"IE",SUM(R14,R16,R18,R20,R22))</f>
        <v>-37.424999999999997</v>
      </c>
      <c r="S13" s="3534">
        <f t="shared" ref="S13" si="24">IF(SUM(S14,S16,S18,S20,S22)=0,"IE",SUM(S14,S16,S18,S20,S22))</f>
        <v>3308.2832751047663</v>
      </c>
      <c r="U13" s="493"/>
    </row>
    <row r="14" spans="2:21" ht="18" customHeight="1" x14ac:dyDescent="0.2">
      <c r="B14" s="477" t="s">
        <v>1376</v>
      </c>
      <c r="C14" s="494"/>
      <c r="D14" s="3529">
        <f>D15</f>
        <v>2263.3690656582626</v>
      </c>
      <c r="E14" s="3057">
        <f t="shared" ref="E14" si="25">E15</f>
        <v>2263.3690656582626</v>
      </c>
      <c r="F14" s="3057" t="str">
        <f t="shared" ref="F14" si="26">F15</f>
        <v>IE</v>
      </c>
      <c r="G14" s="3500">
        <f t="shared" si="5"/>
        <v>9.8452229270065434E-3</v>
      </c>
      <c r="H14" s="3057" t="str">
        <f t="shared" si="6"/>
        <v>NA</v>
      </c>
      <c r="I14" s="3057">
        <f t="shared" si="7"/>
        <v>9.8452229270065434E-3</v>
      </c>
      <c r="J14" s="3057">
        <f t="shared" si="8"/>
        <v>-0.10179954855663771</v>
      </c>
      <c r="K14" s="3514">
        <f t="shared" si="9"/>
        <v>-0.27767620133047616</v>
      </c>
      <c r="L14" s="3106" t="str">
        <f t="shared" si="10"/>
        <v>NA</v>
      </c>
      <c r="M14" s="3530">
        <f t="shared" ref="M14" si="27">M15</f>
        <v>22.283373017496103</v>
      </c>
      <c r="N14" s="3531" t="str">
        <f t="shared" ref="N14" si="28">N15</f>
        <v>IE</v>
      </c>
      <c r="O14" s="3532">
        <f t="shared" ref="O14" si="29">O15</f>
        <v>22.283373017496103</v>
      </c>
      <c r="P14" s="3531">
        <f t="shared" ref="P14" si="30">P15</f>
        <v>-230.40994910107003</v>
      </c>
      <c r="Q14" s="3533">
        <f t="shared" ref="Q14" si="31">Q15</f>
        <v>-628.48372436089539</v>
      </c>
      <c r="R14" s="3533" t="str">
        <f t="shared" ref="R14" si="32">R15</f>
        <v>IE</v>
      </c>
      <c r="S14" s="3534">
        <f t="shared" ref="S14" si="33">S15</f>
        <v>3067.5711016297209</v>
      </c>
      <c r="U14" s="493"/>
    </row>
    <row r="15" spans="2:21" ht="18" customHeight="1" x14ac:dyDescent="0.2">
      <c r="B15" s="491"/>
      <c r="C15" s="498" t="s">
        <v>409</v>
      </c>
      <c r="D15" s="3509">
        <f>IF(SUM(E15:F15)=0,E15,SUM(E15:F15))</f>
        <v>2263.3690656582626</v>
      </c>
      <c r="E15" s="3510">
        <v>2263.3690656582626</v>
      </c>
      <c r="F15" s="3496" t="s">
        <v>274</v>
      </c>
      <c r="G15" s="3500">
        <f t="shared" si="5"/>
        <v>9.8452229270065434E-3</v>
      </c>
      <c r="H15" s="3057" t="str">
        <f t="shared" si="6"/>
        <v>NA</v>
      </c>
      <c r="I15" s="3057">
        <f t="shared" si="7"/>
        <v>9.8452229270065434E-3</v>
      </c>
      <c r="J15" s="3057">
        <f t="shared" si="8"/>
        <v>-0.10179954855663771</v>
      </c>
      <c r="K15" s="3514">
        <f t="shared" si="9"/>
        <v>-0.27767620133047616</v>
      </c>
      <c r="L15" s="3106" t="str">
        <f t="shared" si="10"/>
        <v>NA</v>
      </c>
      <c r="M15" s="2917">
        <v>22.283373017496103</v>
      </c>
      <c r="N15" s="2917" t="s">
        <v>274</v>
      </c>
      <c r="O15" s="3087">
        <f>IF(SUM(M15:N15)=0,M15,SUM(M15:N15))</f>
        <v>22.283373017496103</v>
      </c>
      <c r="P15" s="2917">
        <v>-230.40994910107003</v>
      </c>
      <c r="Q15" s="2918">
        <v>-628.48372436089539</v>
      </c>
      <c r="R15" s="2918" t="s">
        <v>274</v>
      </c>
      <c r="S15" s="3534">
        <f>IF(SUM(O15:R15)=0,Q15,SUM(O15:R15)*-44/12)</f>
        <v>3067.5711016297209</v>
      </c>
      <c r="U15" s="2424"/>
    </row>
    <row r="16" spans="2:21" s="4303" customFormat="1" ht="18" customHeight="1" x14ac:dyDescent="0.2">
      <c r="B16" s="477" t="s">
        <v>1377</v>
      </c>
      <c r="C16" s="494"/>
      <c r="D16" s="3529" t="str">
        <f>D17</f>
        <v>IE</v>
      </c>
      <c r="E16" s="3057" t="str">
        <f t="shared" ref="E16" si="34">E17</f>
        <v>IE</v>
      </c>
      <c r="F16" s="3057" t="str">
        <f t="shared" ref="F16" si="35">F17</f>
        <v>IE</v>
      </c>
      <c r="G16" s="3500" t="str">
        <f t="shared" si="5"/>
        <v>NA</v>
      </c>
      <c r="H16" s="3057" t="str">
        <f t="shared" si="6"/>
        <v>NA</v>
      </c>
      <c r="I16" s="3057" t="str">
        <f t="shared" si="7"/>
        <v>NA</v>
      </c>
      <c r="J16" s="3057" t="str">
        <f t="shared" si="8"/>
        <v>NA</v>
      </c>
      <c r="K16" s="3514" t="str">
        <f t="shared" si="9"/>
        <v>NA</v>
      </c>
      <c r="L16" s="3106" t="str">
        <f t="shared" si="10"/>
        <v>NA</v>
      </c>
      <c r="M16" s="3530" t="str">
        <f t="shared" ref="M16" si="36">M17</f>
        <v>NA</v>
      </c>
      <c r="N16" s="3531" t="str">
        <f t="shared" ref="N16" si="37">N17</f>
        <v>NA</v>
      </c>
      <c r="O16" s="3532" t="str">
        <f t="shared" ref="O16" si="38">O17</f>
        <v>NA</v>
      </c>
      <c r="P16" s="3531" t="str">
        <f t="shared" ref="P16" si="39">P17</f>
        <v>NA</v>
      </c>
      <c r="Q16" s="3533" t="str">
        <f t="shared" ref="Q16" si="40">Q17</f>
        <v>IE</v>
      </c>
      <c r="R16" s="3533" t="str">
        <f t="shared" ref="R16" si="41">R17</f>
        <v>IE</v>
      </c>
      <c r="S16" s="3534" t="str">
        <f t="shared" ref="S16" si="42">S17</f>
        <v>IE</v>
      </c>
      <c r="U16" s="4304"/>
    </row>
    <row r="17" spans="2:21" s="4303" customFormat="1" ht="18" customHeight="1" x14ac:dyDescent="0.2">
      <c r="B17" s="490"/>
      <c r="C17" s="498" t="s">
        <v>409</v>
      </c>
      <c r="D17" s="3509" t="str">
        <f>IF(SUM(E17:F17)=0,E17,SUM(E17:F17))</f>
        <v>IE</v>
      </c>
      <c r="E17" s="3510" t="s">
        <v>274</v>
      </c>
      <c r="F17" s="3496" t="s">
        <v>274</v>
      </c>
      <c r="G17" s="3500" t="str">
        <f t="shared" si="5"/>
        <v>NA</v>
      </c>
      <c r="H17" s="3057" t="str">
        <f t="shared" si="6"/>
        <v>NA</v>
      </c>
      <c r="I17" s="3057" t="str">
        <f t="shared" si="7"/>
        <v>NA</v>
      </c>
      <c r="J17" s="3057" t="str">
        <f t="shared" si="8"/>
        <v>NA</v>
      </c>
      <c r="K17" s="3514" t="str">
        <f t="shared" si="9"/>
        <v>NA</v>
      </c>
      <c r="L17" s="3106" t="str">
        <f t="shared" si="10"/>
        <v>NA</v>
      </c>
      <c r="M17" s="2917" t="s">
        <v>205</v>
      </c>
      <c r="N17" s="2917" t="s">
        <v>205</v>
      </c>
      <c r="O17" s="3087" t="str">
        <f>IF(SUM(M17:N17)=0,M17,SUM(M17:N17))</f>
        <v>NA</v>
      </c>
      <c r="P17" s="2917" t="s">
        <v>205</v>
      </c>
      <c r="Q17" s="2918" t="s">
        <v>274</v>
      </c>
      <c r="R17" s="2918" t="s">
        <v>274</v>
      </c>
      <c r="S17" s="3534" t="str">
        <f>IF(SUM(O17:R17)=0,Q17,SUM(O17:R17)*-44/12)</f>
        <v>IE</v>
      </c>
      <c r="U17" s="4305"/>
    </row>
    <row r="18" spans="2:21" ht="18" customHeight="1" x14ac:dyDescent="0.2">
      <c r="B18" s="477" t="s">
        <v>1378</v>
      </c>
      <c r="C18" s="494"/>
      <c r="D18" s="3529">
        <f>D19</f>
        <v>12.660941027812148</v>
      </c>
      <c r="E18" s="3057">
        <f t="shared" ref="E18" si="43">E19</f>
        <v>9.6609410278121484</v>
      </c>
      <c r="F18" s="3057">
        <f t="shared" ref="F18" si="44">F19</f>
        <v>3</v>
      </c>
      <c r="G18" s="3500" t="str">
        <f t="shared" si="5"/>
        <v>NA</v>
      </c>
      <c r="H18" s="3057" t="str">
        <f t="shared" si="6"/>
        <v>NA</v>
      </c>
      <c r="I18" s="3057" t="str">
        <f t="shared" si="7"/>
        <v>NA</v>
      </c>
      <c r="J18" s="3057" t="str">
        <f t="shared" si="8"/>
        <v>NA</v>
      </c>
      <c r="K18" s="3514">
        <f t="shared" si="9"/>
        <v>-2.9214312045640329</v>
      </c>
      <c r="L18" s="3106">
        <f t="shared" si="10"/>
        <v>-12.475</v>
      </c>
      <c r="M18" s="3530" t="str">
        <f t="shared" ref="M18" si="45">M19</f>
        <v>NA</v>
      </c>
      <c r="N18" s="3531" t="str">
        <f t="shared" ref="N18" si="46">N19</f>
        <v>NA</v>
      </c>
      <c r="O18" s="3532" t="str">
        <f t="shared" ref="O18" si="47">O19</f>
        <v>NA</v>
      </c>
      <c r="P18" s="3531" t="str">
        <f t="shared" ref="P18" si="48">P19</f>
        <v>NA</v>
      </c>
      <c r="Q18" s="3533">
        <f t="shared" ref="Q18" si="49">Q19</f>
        <v>-28.223774584103332</v>
      </c>
      <c r="R18" s="3533">
        <f t="shared" ref="R18" si="50">R19</f>
        <v>-37.424999999999997</v>
      </c>
      <c r="S18" s="3534">
        <f t="shared" ref="S18" si="51">S19</f>
        <v>240.71217347504557</v>
      </c>
      <c r="U18" s="493"/>
    </row>
    <row r="19" spans="2:21" ht="18" customHeight="1" x14ac:dyDescent="0.2">
      <c r="B19" s="490"/>
      <c r="C19" s="498" t="s">
        <v>409</v>
      </c>
      <c r="D19" s="3509">
        <f>IF(SUM(E19:F19)=0,E19,SUM(E19:F19))</f>
        <v>12.660941027812148</v>
      </c>
      <c r="E19" s="3510">
        <v>9.6609410278121484</v>
      </c>
      <c r="F19" s="3496">
        <v>3</v>
      </c>
      <c r="G19" s="3500" t="str">
        <f t="shared" si="5"/>
        <v>NA</v>
      </c>
      <c r="H19" s="3057" t="str">
        <f t="shared" si="6"/>
        <v>NA</v>
      </c>
      <c r="I19" s="3057" t="str">
        <f t="shared" si="7"/>
        <v>NA</v>
      </c>
      <c r="J19" s="3057" t="str">
        <f t="shared" si="8"/>
        <v>NA</v>
      </c>
      <c r="K19" s="3514">
        <f t="shared" si="9"/>
        <v>-2.9214312045640329</v>
      </c>
      <c r="L19" s="3106">
        <f t="shared" si="10"/>
        <v>-12.475</v>
      </c>
      <c r="M19" s="2917" t="s">
        <v>205</v>
      </c>
      <c r="N19" s="2917" t="s">
        <v>205</v>
      </c>
      <c r="O19" s="3087" t="str">
        <f>IF(SUM(M19:N19)=0,M19,SUM(M19:N19))</f>
        <v>NA</v>
      </c>
      <c r="P19" s="2917" t="s">
        <v>205</v>
      </c>
      <c r="Q19" s="2918">
        <v>-28.223774584103332</v>
      </c>
      <c r="R19" s="2918">
        <v>-37.424999999999997</v>
      </c>
      <c r="S19" s="3534">
        <f>IF(SUM(O19:R19)=0,Q19,SUM(O19:R19)*-44/12)</f>
        <v>240.71217347504557</v>
      </c>
      <c r="U19" s="2424"/>
    </row>
    <row r="20" spans="2:21" ht="18" customHeight="1" x14ac:dyDescent="0.2">
      <c r="B20" s="477" t="s">
        <v>1379</v>
      </c>
      <c r="C20" s="494"/>
      <c r="D20" s="3529" t="str">
        <f>D21</f>
        <v>NO</v>
      </c>
      <c r="E20" s="3057" t="str">
        <f t="shared" ref="E20" si="52">E21</f>
        <v>NO</v>
      </c>
      <c r="F20" s="3057" t="str">
        <f t="shared" ref="F20" si="53">F21</f>
        <v>NO</v>
      </c>
      <c r="G20" s="3500" t="str">
        <f t="shared" si="5"/>
        <v>NA</v>
      </c>
      <c r="H20" s="3057" t="str">
        <f t="shared" si="6"/>
        <v>NA</v>
      </c>
      <c r="I20" s="3057" t="str">
        <f t="shared" si="7"/>
        <v>NA</v>
      </c>
      <c r="J20" s="3057" t="str">
        <f t="shared" si="8"/>
        <v>NA</v>
      </c>
      <c r="K20" s="3514" t="str">
        <f t="shared" si="9"/>
        <v>NA</v>
      </c>
      <c r="L20" s="3106" t="str">
        <f t="shared" si="10"/>
        <v>NA</v>
      </c>
      <c r="M20" s="3530" t="str">
        <f t="shared" ref="M20" si="54">M21</f>
        <v>NO</v>
      </c>
      <c r="N20" s="3531" t="str">
        <f t="shared" ref="N20" si="55">N21</f>
        <v>NO</v>
      </c>
      <c r="O20" s="3532" t="str">
        <f t="shared" ref="O20" si="56">O21</f>
        <v>NO</v>
      </c>
      <c r="P20" s="3531" t="str">
        <f t="shared" ref="P20" si="57">P21</f>
        <v>NO</v>
      </c>
      <c r="Q20" s="3533" t="str">
        <f t="shared" ref="Q20" si="58">Q21</f>
        <v>NO</v>
      </c>
      <c r="R20" s="3533" t="str">
        <f t="shared" ref="R20" si="59">R21</f>
        <v>NO</v>
      </c>
      <c r="S20" s="3534" t="str">
        <f t="shared" ref="S20" si="60">S21</f>
        <v>NO</v>
      </c>
      <c r="U20" s="493"/>
    </row>
    <row r="21" spans="2:21" ht="18" customHeight="1" x14ac:dyDescent="0.2">
      <c r="B21" s="490"/>
      <c r="C21" s="498" t="s">
        <v>409</v>
      </c>
      <c r="D21" s="3509" t="str">
        <f>IF(SUM(E21:F21)=0,E21,SUM(E21:F21))</f>
        <v>NO</v>
      </c>
      <c r="E21" s="3510" t="s">
        <v>199</v>
      </c>
      <c r="F21" s="3496" t="s">
        <v>199</v>
      </c>
      <c r="G21" s="3500" t="str">
        <f t="shared" si="5"/>
        <v>NA</v>
      </c>
      <c r="H21" s="3057" t="str">
        <f t="shared" si="6"/>
        <v>NA</v>
      </c>
      <c r="I21" s="3057" t="str">
        <f t="shared" si="7"/>
        <v>NA</v>
      </c>
      <c r="J21" s="3057" t="str">
        <f t="shared" si="8"/>
        <v>NA</v>
      </c>
      <c r="K21" s="3514" t="str">
        <f t="shared" si="9"/>
        <v>NA</v>
      </c>
      <c r="L21" s="3106" t="str">
        <f t="shared" si="10"/>
        <v>NA</v>
      </c>
      <c r="M21" s="2917" t="s">
        <v>199</v>
      </c>
      <c r="N21" s="2917" t="s">
        <v>199</v>
      </c>
      <c r="O21" s="3087" t="str">
        <f>IF(SUM(M21:N21)=0,M21,SUM(M21:N21))</f>
        <v>NO</v>
      </c>
      <c r="P21" s="2917" t="s">
        <v>199</v>
      </c>
      <c r="Q21" s="2918" t="s">
        <v>199</v>
      </c>
      <c r="R21" s="2918" t="s">
        <v>199</v>
      </c>
      <c r="S21" s="3534" t="str">
        <f>IF(SUM(O21:R21)=0,Q21,SUM(O21:R21)*-44/12)</f>
        <v>NO</v>
      </c>
      <c r="U21" s="2424"/>
    </row>
    <row r="22" spans="2:21" ht="18" customHeight="1" x14ac:dyDescent="0.2">
      <c r="B22" s="477" t="s">
        <v>1380</v>
      </c>
      <c r="C22" s="494"/>
      <c r="D22" s="3529" t="str">
        <f>D23</f>
        <v>NO</v>
      </c>
      <c r="E22" s="3057" t="str">
        <f t="shared" ref="E22:S22" si="61">E23</f>
        <v>NO</v>
      </c>
      <c r="F22" s="3057" t="str">
        <f t="shared" si="61"/>
        <v>NO</v>
      </c>
      <c r="G22" s="3500" t="str">
        <f t="shared" si="5"/>
        <v>NA</v>
      </c>
      <c r="H22" s="3057" t="str">
        <f t="shared" si="6"/>
        <v>NA</v>
      </c>
      <c r="I22" s="3057" t="str">
        <f t="shared" si="7"/>
        <v>NA</v>
      </c>
      <c r="J22" s="3057" t="str">
        <f t="shared" si="8"/>
        <v>NA</v>
      </c>
      <c r="K22" s="3514" t="str">
        <f t="shared" si="9"/>
        <v>NA</v>
      </c>
      <c r="L22" s="3106" t="str">
        <f t="shared" si="10"/>
        <v>NA</v>
      </c>
      <c r="M22" s="3530" t="str">
        <f t="shared" si="61"/>
        <v>NO</v>
      </c>
      <c r="N22" s="3531" t="str">
        <f t="shared" si="61"/>
        <v>NO</v>
      </c>
      <c r="O22" s="3532" t="str">
        <f t="shared" si="61"/>
        <v>NO</v>
      </c>
      <c r="P22" s="3531" t="str">
        <f t="shared" si="61"/>
        <v>NO</v>
      </c>
      <c r="Q22" s="3533" t="str">
        <f t="shared" si="61"/>
        <v>NO</v>
      </c>
      <c r="R22" s="3533" t="str">
        <f t="shared" si="61"/>
        <v>NO</v>
      </c>
      <c r="S22" s="3534" t="str">
        <f t="shared" si="61"/>
        <v>NO</v>
      </c>
      <c r="U22" s="493"/>
    </row>
    <row r="23" spans="2:21" ht="18" customHeight="1" thickBot="1" x14ac:dyDescent="0.25">
      <c r="B23" s="865"/>
      <c r="C23" s="500" t="s">
        <v>409</v>
      </c>
      <c r="D23" s="3536" t="str">
        <f>IF(SUM(E23:F23)=0,E23,SUM(E23:F23))</f>
        <v>NO</v>
      </c>
      <c r="E23" s="3516" t="s">
        <v>199</v>
      </c>
      <c r="F23" s="3517" t="s">
        <v>199</v>
      </c>
      <c r="G23" s="3518" t="str">
        <f t="shared" si="5"/>
        <v>NA</v>
      </c>
      <c r="H23" s="3116" t="str">
        <f t="shared" si="6"/>
        <v>NA</v>
      </c>
      <c r="I23" s="3116" t="str">
        <f t="shared" si="7"/>
        <v>NA</v>
      </c>
      <c r="J23" s="3116" t="str">
        <f t="shared" si="8"/>
        <v>NA</v>
      </c>
      <c r="K23" s="3537" t="str">
        <f t="shared" si="9"/>
        <v>NA</v>
      </c>
      <c r="L23" s="3519" t="str">
        <f t="shared" si="10"/>
        <v>NA</v>
      </c>
      <c r="M23" s="3115" t="s">
        <v>199</v>
      </c>
      <c r="N23" s="3115" t="s">
        <v>199</v>
      </c>
      <c r="O23" s="3520" t="str">
        <f>IF(SUM(M23:N23)=0,M23,SUM(M23:N23))</f>
        <v>NO</v>
      </c>
      <c r="P23" s="3115" t="s">
        <v>199</v>
      </c>
      <c r="Q23" s="4315" t="s">
        <v>199</v>
      </c>
      <c r="R23" s="4315" t="s">
        <v>199</v>
      </c>
      <c r="S23" s="3538" t="str">
        <f>IF(SUM(O23:R23)=0,Q23,SUM(O23:R23)*-44/12)</f>
        <v>NO</v>
      </c>
      <c r="U23" s="2425"/>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506" t="s">
        <v>1381</v>
      </c>
      <c r="C46" s="4507"/>
      <c r="D46" s="4507"/>
      <c r="E46" s="4507"/>
      <c r="F46" s="4507"/>
      <c r="G46" s="4507"/>
      <c r="H46" s="4507"/>
      <c r="I46" s="4507"/>
      <c r="J46" s="4507"/>
      <c r="K46" s="4507"/>
      <c r="L46" s="4507"/>
      <c r="M46" s="4507"/>
      <c r="N46" s="4507"/>
      <c r="O46" s="4507"/>
      <c r="P46" s="4507"/>
      <c r="Q46" s="4507"/>
      <c r="R46" s="4507"/>
      <c r="S46" s="4508"/>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2460</v>
      </c>
    </row>
    <row r="2" spans="2:21" ht="15.75" x14ac:dyDescent="0.25">
      <c r="B2" s="13" t="s">
        <v>1383</v>
      </c>
      <c r="S2" s="14" t="s">
        <v>2461</v>
      </c>
    </row>
    <row r="3" spans="2:21" ht="15.75" x14ac:dyDescent="0.25">
      <c r="B3" s="13" t="s">
        <v>162</v>
      </c>
      <c r="S3" s="14" t="s">
        <v>163</v>
      </c>
    </row>
    <row r="4" spans="2:21" ht="15.75" x14ac:dyDescent="0.25">
      <c r="B4" s="13"/>
      <c r="S4" s="2"/>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8"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7"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1" t="s">
        <v>1390</v>
      </c>
      <c r="C10" s="2288"/>
      <c r="D10" s="3522">
        <f>IF(SUM(D11,D15)=0,"IE",SUM(D11,D15))</f>
        <v>518738.46919711423</v>
      </c>
      <c r="E10" s="3523">
        <f t="shared" ref="E10:F10" si="0">IF(SUM(E11,E15)=0,"IE",SUM(E11,E15))</f>
        <v>518737.46919711423</v>
      </c>
      <c r="F10" s="3524">
        <f t="shared" si="0"/>
        <v>1</v>
      </c>
      <c r="G10" s="3500" t="str">
        <f>IFERROR(IF(SUM($D10)=0,"NA",M10/$D10),"NA")</f>
        <v>NA</v>
      </c>
      <c r="H10" s="3523">
        <f t="shared" ref="H10:J10" si="1">IFERROR(IF(SUM($D10)=0,"NA",N10/$D10),"NA")</f>
        <v>-2.8660488915112071E-2</v>
      </c>
      <c r="I10" s="3523">
        <f t="shared" si="1"/>
        <v>-2.8660488915112071E-2</v>
      </c>
      <c r="J10" s="3523">
        <f t="shared" si="1"/>
        <v>-7.5764958599888717E-3</v>
      </c>
      <c r="K10" s="3525">
        <f>IFERROR(IF(SUM(E10)=0,"NA",Q10/E10),"NA")</f>
        <v>-8.3244283643473353E-3</v>
      </c>
      <c r="L10" s="3524">
        <f>IFERROR(IF(SUM(F10)=0,"NA",R10/F10),"NA")</f>
        <v>-8.7249999999999996</v>
      </c>
      <c r="M10" s="3526" t="str">
        <f>IF(SUM(M11,M15)=0,"IE",SUM(M11,M15))</f>
        <v>IE</v>
      </c>
      <c r="N10" s="3523">
        <f t="shared" ref="N10:S10" si="2">IF(SUM(N11,N15)=0,"IE",SUM(N11,N15))</f>
        <v>-14867.298146266097</v>
      </c>
      <c r="O10" s="3527">
        <f t="shared" si="2"/>
        <v>-14867.298146266097</v>
      </c>
      <c r="P10" s="3523">
        <f t="shared" si="2"/>
        <v>-3930.2198642889007</v>
      </c>
      <c r="Q10" s="3525">
        <f t="shared" si="2"/>
        <v>-4318.1929022342101</v>
      </c>
      <c r="R10" s="3525">
        <f t="shared" si="2"/>
        <v>-8.7249999999999996</v>
      </c>
      <c r="S10" s="3528">
        <f t="shared" si="2"/>
        <v>84789.598346893748</v>
      </c>
      <c r="U10" s="2287"/>
    </row>
    <row r="11" spans="2:21" ht="18" customHeight="1" x14ac:dyDescent="0.2">
      <c r="B11" s="483" t="s">
        <v>1259</v>
      </c>
      <c r="C11" s="473"/>
      <c r="D11" s="3539">
        <f>IF(SUM(D12:D14)=0,"IE",SUM(D12:D14))</f>
        <v>505318.52984209597</v>
      </c>
      <c r="E11" s="3505">
        <f t="shared" ref="E11:F11" si="3">IF(SUM(E12:E14)=0,"IE",SUM(E12:E14))</f>
        <v>505318.52984209597</v>
      </c>
      <c r="F11" s="3506" t="str">
        <f t="shared" si="3"/>
        <v>IE</v>
      </c>
      <c r="G11" s="3539" t="str">
        <f t="shared" ref="G11:G26" si="4">IFERROR(IF(SUM($D11)=0,"NA",M11/$D11),"NA")</f>
        <v>NA</v>
      </c>
      <c r="H11" s="3087">
        <f t="shared" ref="H11:H26" si="5">IFERROR(IF(SUM($D11)=0,"NA",N11/$D11),"NA")</f>
        <v>-4.2337011511980847E-3</v>
      </c>
      <c r="I11" s="3087">
        <f t="shared" ref="I11:I26" si="6">IFERROR(IF(SUM($D11)=0,"NA",O11/$D11),"NA")</f>
        <v>-4.2337011511980847E-3</v>
      </c>
      <c r="J11" s="3087">
        <f t="shared" ref="J11:J26" si="7">IFERROR(IF(SUM($D11)=0,"NA",P11/$D11),"NA")</f>
        <v>1.2519309365920117E-4</v>
      </c>
      <c r="K11" s="3507">
        <f t="shared" ref="K11:K26" si="8">IFERROR(IF(SUM(E11)=0,"NA",Q11/E11),"NA")</f>
        <v>-2.3630773203494717E-3</v>
      </c>
      <c r="L11" s="3216" t="str">
        <f t="shared" ref="L11:L26" si="9">IFERROR(IF(SUM(F11)=0,"NA",R11/F11),"NA")</f>
        <v>NA</v>
      </c>
      <c r="M11" s="3087" t="str">
        <f>IF(SUM(M12:M14)=0,"IE",SUM(M12:M14))</f>
        <v>IE</v>
      </c>
      <c r="N11" s="3087">
        <f t="shared" ref="N11:O11" si="10">IF(SUM(N12:N14)=0,"IE",SUM(N12:N14))</f>
        <v>-2139.3676415142054</v>
      </c>
      <c r="O11" s="3087">
        <f t="shared" si="10"/>
        <v>-2139.3676415142054</v>
      </c>
      <c r="P11" s="3087">
        <f t="shared" ref="P11" si="11">IF(SUM(P12:P14)=0,"IE",SUM(P12:P14))</f>
        <v>63.262390034251368</v>
      </c>
      <c r="Q11" s="3507">
        <f t="shared" ref="Q11" si="12">IF(SUM(Q12:Q14)=0,"IE",SUM(Q12:Q14))</f>
        <v>-1194.1067574221947</v>
      </c>
      <c r="R11" s="3507" t="str">
        <f t="shared" ref="R11" si="13">IF(SUM(R12:R14)=0,"IE",SUM(R12:R14))</f>
        <v>IE</v>
      </c>
      <c r="S11" s="3508">
        <f t="shared" ref="S11" si="14">IF(SUM(S12:S14)=0,"IE",SUM(S12:S14))</f>
        <v>11990.777365974545</v>
      </c>
      <c r="U11" s="2423"/>
    </row>
    <row r="12" spans="2:21" ht="18" customHeight="1" x14ac:dyDescent="0.2">
      <c r="B12" s="489"/>
      <c r="C12" s="474" t="s">
        <v>1391</v>
      </c>
      <c r="D12" s="3500">
        <f>IF(SUM(E12:F12)=0,E12,SUM(E12:F12))</f>
        <v>69820.727480068104</v>
      </c>
      <c r="E12" s="3510">
        <v>69820.727480068104</v>
      </c>
      <c r="F12" s="3496" t="s">
        <v>274</v>
      </c>
      <c r="G12" s="3500" t="str">
        <f t="shared" si="4"/>
        <v>NA</v>
      </c>
      <c r="H12" s="3057">
        <f t="shared" si="5"/>
        <v>-4.9775428338220823E-3</v>
      </c>
      <c r="I12" s="3057">
        <f t="shared" si="6"/>
        <v>-4.9775428338220823E-3</v>
      </c>
      <c r="J12" s="3057">
        <f t="shared" si="7"/>
        <v>-9.9550856676441641E-4</v>
      </c>
      <c r="K12" s="3514">
        <f t="shared" si="8"/>
        <v>-3.9820342670576657E-3</v>
      </c>
      <c r="L12" s="3106" t="str">
        <f t="shared" si="9"/>
        <v>NA</v>
      </c>
      <c r="M12" s="2917" t="s">
        <v>274</v>
      </c>
      <c r="N12" s="2917">
        <v>-347.53566172065752</v>
      </c>
      <c r="O12" s="3087">
        <f>IF(SUM(M12:N12)=0,M12,SUM(M12:N12))</f>
        <v>-347.53566172065752</v>
      </c>
      <c r="P12" s="2917">
        <v>-69.507132344131506</v>
      </c>
      <c r="Q12" s="2918">
        <v>-278.02852937652602</v>
      </c>
      <c r="R12" s="2918" t="s">
        <v>274</v>
      </c>
      <c r="S12" s="3511">
        <f>IF(SUM(O12:R12)=0,Q12,SUM(O12:R12)*-44/12)</f>
        <v>2548.5948526181551</v>
      </c>
      <c r="U12" s="2424"/>
    </row>
    <row r="13" spans="2:21" ht="18" customHeight="1" x14ac:dyDescent="0.2">
      <c r="B13" s="489"/>
      <c r="C13" s="474" t="s">
        <v>1392</v>
      </c>
      <c r="D13" s="3500">
        <f>IF(SUM(E13:F13)=0,E13,SUM(E13:F13))</f>
        <v>435497.80236202787</v>
      </c>
      <c r="E13" s="3510">
        <v>435497.80236202787</v>
      </c>
      <c r="F13" s="3496" t="s">
        <v>274</v>
      </c>
      <c r="G13" s="3500" t="str">
        <f t="shared" si="4"/>
        <v>NA</v>
      </c>
      <c r="H13" s="3057" t="str">
        <f t="shared" si="5"/>
        <v>NA</v>
      </c>
      <c r="I13" s="3057" t="str">
        <f t="shared" si="6"/>
        <v>NA</v>
      </c>
      <c r="J13" s="3057" t="str">
        <f t="shared" si="7"/>
        <v>NA</v>
      </c>
      <c r="K13" s="3514">
        <f t="shared" si="8"/>
        <v>-2.1035197493009068E-3</v>
      </c>
      <c r="L13" s="3106" t="str">
        <f t="shared" si="9"/>
        <v>NA</v>
      </c>
      <c r="M13" s="2917" t="s">
        <v>205</v>
      </c>
      <c r="N13" s="2917" t="s">
        <v>205</v>
      </c>
      <c r="O13" s="3087" t="str">
        <f>IF(SUM(M13:N13)=0,M13,SUM(M13:N13))</f>
        <v>NA</v>
      </c>
      <c r="P13" s="2917" t="s">
        <v>205</v>
      </c>
      <c r="Q13" s="2918">
        <v>-916.07822804566877</v>
      </c>
      <c r="R13" s="2918" t="s">
        <v>274</v>
      </c>
      <c r="S13" s="3511">
        <f>IF(SUM(O13:R13)=0,Q13,SUM(O13:R13)*-44/12)</f>
        <v>3358.9535028341184</v>
      </c>
      <c r="U13" s="2424"/>
    </row>
    <row r="14" spans="2:21" ht="18" customHeight="1" x14ac:dyDescent="0.2">
      <c r="B14" s="489"/>
      <c r="C14" s="4316" t="s">
        <v>1393</v>
      </c>
      <c r="D14" s="3500" t="str">
        <f>IF(SUM(E14:F14)=0,E14,SUM(E14:F14))</f>
        <v>IE</v>
      </c>
      <c r="E14" s="3510" t="s">
        <v>274</v>
      </c>
      <c r="F14" s="3496" t="s">
        <v>274</v>
      </c>
      <c r="G14" s="3500" t="str">
        <f t="shared" si="4"/>
        <v>NA</v>
      </c>
      <c r="H14" s="3057" t="str">
        <f t="shared" si="5"/>
        <v>NA</v>
      </c>
      <c r="I14" s="3057" t="str">
        <f t="shared" si="6"/>
        <v>NA</v>
      </c>
      <c r="J14" s="3057" t="str">
        <f t="shared" si="7"/>
        <v>NA</v>
      </c>
      <c r="K14" s="3514" t="str">
        <f t="shared" si="8"/>
        <v>NA</v>
      </c>
      <c r="L14" s="3106" t="str">
        <f t="shared" si="9"/>
        <v>NA</v>
      </c>
      <c r="M14" s="2917" t="s">
        <v>274</v>
      </c>
      <c r="N14" s="2917">
        <v>-1791.8319797935478</v>
      </c>
      <c r="O14" s="3087">
        <f>IF(SUM(M14:N14)=0,M14,SUM(M14:N14))</f>
        <v>-1791.8319797935478</v>
      </c>
      <c r="P14" s="2917">
        <v>132.76952237838287</v>
      </c>
      <c r="Q14" s="2918" t="s">
        <v>205</v>
      </c>
      <c r="R14" s="2918" t="s">
        <v>205</v>
      </c>
      <c r="S14" s="3511">
        <f>IF(SUM(O14:R14)=0,Q14,SUM(O14:R14)*-44/12)</f>
        <v>6083.2290105222719</v>
      </c>
      <c r="U14" s="2424"/>
    </row>
    <row r="15" spans="2:21" ht="18" customHeight="1" x14ac:dyDescent="0.2">
      <c r="B15" s="475" t="s">
        <v>1394</v>
      </c>
      <c r="C15" s="476"/>
      <c r="D15" s="3529">
        <f>IF(SUM(D16,D19,D21,D23,D25)=0,"IE",SUM(D16,D19,D21,D23,D25))</f>
        <v>13419.939355018276</v>
      </c>
      <c r="E15" s="3531">
        <f t="shared" ref="E15:F15" si="15">IF(SUM(E16,E19,E21,E23,E25)=0,"IE",SUM(E16,E19,E21,E23,E25))</f>
        <v>13418.939355018276</v>
      </c>
      <c r="F15" s="3535">
        <f t="shared" si="15"/>
        <v>1</v>
      </c>
      <c r="G15" s="3500" t="str">
        <f t="shared" si="4"/>
        <v>NA</v>
      </c>
      <c r="H15" s="3057">
        <f t="shared" si="5"/>
        <v>-0.94843427887715359</v>
      </c>
      <c r="I15" s="3057">
        <f t="shared" si="6"/>
        <v>-0.94843427887715359</v>
      </c>
      <c r="J15" s="3057">
        <f t="shared" si="7"/>
        <v>-0.29757826385629843</v>
      </c>
      <c r="K15" s="3514">
        <f t="shared" si="8"/>
        <v>-0.23281170457363323</v>
      </c>
      <c r="L15" s="3106">
        <f t="shared" si="9"/>
        <v>-8.7249999999999996</v>
      </c>
      <c r="M15" s="3530" t="str">
        <f>IF(SUM(M16,M19,M21,M23,M25)=0,"IE",SUM(M16,M19,M21,M23,M25))</f>
        <v>IE</v>
      </c>
      <c r="N15" s="3531">
        <f t="shared" ref="N15:S15" si="16">IF(SUM(N16,N19,N21,N23,N25)=0,"IE",SUM(N16,N19,N21,N23,N25))</f>
        <v>-12727.930504751892</v>
      </c>
      <c r="O15" s="3532">
        <f t="shared" si="16"/>
        <v>-12727.930504751892</v>
      </c>
      <c r="P15" s="3532">
        <f t="shared" si="16"/>
        <v>-3993.4822543231521</v>
      </c>
      <c r="Q15" s="3532">
        <f t="shared" si="16"/>
        <v>-3124.0861448120154</v>
      </c>
      <c r="R15" s="3532">
        <f t="shared" si="16"/>
        <v>-8.7249999999999996</v>
      </c>
      <c r="S15" s="3534">
        <f t="shared" si="16"/>
        <v>72798.820980919205</v>
      </c>
      <c r="U15" s="2048"/>
    </row>
    <row r="16" spans="2:21" ht="18" customHeight="1" x14ac:dyDescent="0.2">
      <c r="B16" s="490" t="s">
        <v>1395</v>
      </c>
      <c r="C16" s="476"/>
      <c r="D16" s="3539">
        <f>IF(SUM(D17:D18)=0,"IE",SUM(D17:D18))</f>
        <v>13371.061922481729</v>
      </c>
      <c r="E16" s="3505">
        <f t="shared" ref="E16:F16" si="17">IF(SUM(E17:E18)=0,"IE",SUM(E17:E18))</f>
        <v>13371.061922481729</v>
      </c>
      <c r="F16" s="3506" t="str">
        <f t="shared" si="17"/>
        <v>IE</v>
      </c>
      <c r="G16" s="3500" t="str">
        <f t="shared" si="4"/>
        <v>NA</v>
      </c>
      <c r="H16" s="3057">
        <f t="shared" si="5"/>
        <v>-0.95190124602979409</v>
      </c>
      <c r="I16" s="3057">
        <f t="shared" si="6"/>
        <v>-0.95190124602979409</v>
      </c>
      <c r="J16" s="3057">
        <f t="shared" si="7"/>
        <v>-0.29866605042106814</v>
      </c>
      <c r="K16" s="3514">
        <f t="shared" si="8"/>
        <v>-0.22479084796835286</v>
      </c>
      <c r="L16" s="3106" t="str">
        <f t="shared" si="9"/>
        <v>NA</v>
      </c>
      <c r="M16" s="3057" t="str">
        <f>IF(SUM(M17:M18)=0,"IE",SUM(M17:M18))</f>
        <v>IE</v>
      </c>
      <c r="N16" s="3057">
        <f t="shared" ref="N16:O16" si="18">IF(SUM(N17:N18)=0,"IE",SUM(N17:N18))</f>
        <v>-12727.930504751892</v>
      </c>
      <c r="O16" s="3057">
        <f t="shared" si="18"/>
        <v>-12727.930504751892</v>
      </c>
      <c r="P16" s="3057">
        <f t="shared" ref="P16" si="19">IF(SUM(P17:P18)=0,"IE",SUM(P17:P18))</f>
        <v>-3993.4822543231521</v>
      </c>
      <c r="Q16" s="3514">
        <f t="shared" ref="Q16" si="20">IF(SUM(Q17:Q18)=0,"IE",SUM(Q17:Q18))</f>
        <v>-3005.6923477920222</v>
      </c>
      <c r="R16" s="3514" t="str">
        <f t="shared" ref="R16" si="21">IF(SUM(R17:R18)=0,"IE",SUM(R17:R18))</f>
        <v>IE</v>
      </c>
      <c r="S16" s="3511">
        <f t="shared" ref="S16" si="22">IF(SUM(S17:S18)=0,"IE",SUM(S17:S18))</f>
        <v>72332.718725179235</v>
      </c>
      <c r="U16" s="2048"/>
    </row>
    <row r="17" spans="2:21" ht="18" customHeight="1" x14ac:dyDescent="0.2">
      <c r="B17" s="490"/>
      <c r="C17" s="474" t="s">
        <v>1396</v>
      </c>
      <c r="D17" s="3500">
        <f>IF(SUM(E17:F17)=0,E17,SUM(E17:F17))</f>
        <v>13371.061922481729</v>
      </c>
      <c r="E17" s="3510">
        <v>13371.061922481729</v>
      </c>
      <c r="F17" s="3496" t="s">
        <v>274</v>
      </c>
      <c r="G17" s="3500" t="str">
        <f t="shared" si="4"/>
        <v>NA</v>
      </c>
      <c r="H17" s="3057">
        <f t="shared" si="5"/>
        <v>-0.95146175078088979</v>
      </c>
      <c r="I17" s="3057">
        <f t="shared" si="6"/>
        <v>-0.95146175078088979</v>
      </c>
      <c r="J17" s="3057">
        <f t="shared" si="7"/>
        <v>-0.29867153010853514</v>
      </c>
      <c r="K17" s="3514">
        <f t="shared" si="8"/>
        <v>-0.22479084796835286</v>
      </c>
      <c r="L17" s="3106" t="str">
        <f t="shared" si="9"/>
        <v>NA</v>
      </c>
      <c r="M17" s="2917" t="s">
        <v>274</v>
      </c>
      <c r="N17" s="2917">
        <v>-12722.053986564157</v>
      </c>
      <c r="O17" s="3087">
        <f>IF(SUM(M17:N17)=0,M17,SUM(M17:N17))</f>
        <v>-12722.053986564157</v>
      </c>
      <c r="P17" s="2917">
        <v>-3993.5555235635893</v>
      </c>
      <c r="Q17" s="2918">
        <v>-3005.6923477920222</v>
      </c>
      <c r="R17" s="2918" t="s">
        <v>274</v>
      </c>
      <c r="S17" s="3511">
        <f>IF(SUM(O17:R17)=0,Q17,SUM(O17:R17)*-44/12)</f>
        <v>72311.440145705812</v>
      </c>
      <c r="U17" s="2424"/>
    </row>
    <row r="18" spans="2:21" ht="18" customHeight="1" x14ac:dyDescent="0.2">
      <c r="B18" s="490"/>
      <c r="C18" s="4316" t="s">
        <v>1393</v>
      </c>
      <c r="D18" s="3500" t="str">
        <f>IF(SUM(E18:F18)=0,E18,SUM(E18:F18))</f>
        <v>IE</v>
      </c>
      <c r="E18" s="3540" t="s">
        <v>274</v>
      </c>
      <c r="F18" s="3541" t="s">
        <v>274</v>
      </c>
      <c r="G18" s="3500" t="str">
        <f t="shared" si="4"/>
        <v>NA</v>
      </c>
      <c r="H18" s="3057" t="str">
        <f t="shared" si="5"/>
        <v>NA</v>
      </c>
      <c r="I18" s="3057" t="str">
        <f t="shared" si="6"/>
        <v>NA</v>
      </c>
      <c r="J18" s="3057" t="str">
        <f t="shared" si="7"/>
        <v>NA</v>
      </c>
      <c r="K18" s="3514" t="str">
        <f t="shared" si="8"/>
        <v>NA</v>
      </c>
      <c r="L18" s="3106" t="str">
        <f t="shared" si="9"/>
        <v>NA</v>
      </c>
      <c r="M18" s="2917" t="s">
        <v>274</v>
      </c>
      <c r="N18" s="2917">
        <v>-5.8765181877355603</v>
      </c>
      <c r="O18" s="3087">
        <f>IF(SUM(M18:N18)=0,M18,SUM(M18:N18))</f>
        <v>-5.8765181877355603</v>
      </c>
      <c r="P18" s="2917">
        <v>7.3269240436978397E-2</v>
      </c>
      <c r="Q18" s="2918" t="s">
        <v>205</v>
      </c>
      <c r="R18" s="2918" t="s">
        <v>205</v>
      </c>
      <c r="S18" s="3511">
        <f>IF(SUM(O18:R18)=0,Q18,SUM(O18:R18)*-44/12)</f>
        <v>21.278579473428135</v>
      </c>
      <c r="U18" s="2424"/>
    </row>
    <row r="19" spans="2:21" s="4303" customFormat="1" ht="18" customHeight="1" x14ac:dyDescent="0.2">
      <c r="B19" s="477" t="s">
        <v>1397</v>
      </c>
      <c r="C19" s="476"/>
      <c r="D19" s="3500" t="str">
        <f>D20</f>
        <v>IE</v>
      </c>
      <c r="E19" s="3505" t="str">
        <f t="shared" ref="E19:F19" si="23">E20</f>
        <v>IE</v>
      </c>
      <c r="F19" s="3506" t="str">
        <f t="shared" si="23"/>
        <v>IE</v>
      </c>
      <c r="G19" s="3500" t="str">
        <f t="shared" si="4"/>
        <v>NA</v>
      </c>
      <c r="H19" s="3057" t="str">
        <f t="shared" si="5"/>
        <v>NA</v>
      </c>
      <c r="I19" s="3057" t="str">
        <f t="shared" si="6"/>
        <v>NA</v>
      </c>
      <c r="J19" s="3057" t="str">
        <f t="shared" si="7"/>
        <v>NA</v>
      </c>
      <c r="K19" s="3514" t="str">
        <f t="shared" si="8"/>
        <v>NA</v>
      </c>
      <c r="L19" s="3106" t="str">
        <f t="shared" si="9"/>
        <v>NA</v>
      </c>
      <c r="M19" s="3057" t="str">
        <f t="shared" ref="M19:S19" si="24">M20</f>
        <v>IE</v>
      </c>
      <c r="N19" s="3057" t="str">
        <f t="shared" si="24"/>
        <v>IE</v>
      </c>
      <c r="O19" s="3057" t="str">
        <f t="shared" ref="M19:S23" si="25">O20</f>
        <v>IE</v>
      </c>
      <c r="P19" s="3057" t="str">
        <f t="shared" si="24"/>
        <v>IE</v>
      </c>
      <c r="Q19" s="3514" t="str">
        <f t="shared" si="24"/>
        <v>IE</v>
      </c>
      <c r="R19" s="3514" t="str">
        <f t="shared" si="24"/>
        <v>IE</v>
      </c>
      <c r="S19" s="3511" t="str">
        <f t="shared" si="24"/>
        <v>IE</v>
      </c>
      <c r="T19" s="83"/>
      <c r="U19" s="2048"/>
    </row>
    <row r="20" spans="2:21" s="4303" customFormat="1" ht="18" customHeight="1" x14ac:dyDescent="0.2">
      <c r="B20" s="490"/>
      <c r="C20" s="474" t="s">
        <v>409</v>
      </c>
      <c r="D20" s="3500" t="str">
        <f>IF(SUM(E20:F20)=0,E20,SUM(E20:F20))</f>
        <v>IE</v>
      </c>
      <c r="E20" s="3510" t="s">
        <v>274</v>
      </c>
      <c r="F20" s="3496" t="s">
        <v>274</v>
      </c>
      <c r="G20" s="3500" t="str">
        <f t="shared" si="4"/>
        <v>NA</v>
      </c>
      <c r="H20" s="3057" t="str">
        <f t="shared" si="5"/>
        <v>NA</v>
      </c>
      <c r="I20" s="3057" t="str">
        <f t="shared" si="6"/>
        <v>NA</v>
      </c>
      <c r="J20" s="3057" t="str">
        <f t="shared" si="7"/>
        <v>NA</v>
      </c>
      <c r="K20" s="3514" t="str">
        <f t="shared" si="8"/>
        <v>NA</v>
      </c>
      <c r="L20" s="3106" t="str">
        <f t="shared" si="9"/>
        <v>NA</v>
      </c>
      <c r="M20" s="2917" t="s">
        <v>274</v>
      </c>
      <c r="N20" s="2917" t="s">
        <v>274</v>
      </c>
      <c r="O20" s="3087" t="str">
        <f>IF(SUM(M20:N20)=0,M20,SUM(M20:N20))</f>
        <v>IE</v>
      </c>
      <c r="P20" s="2917" t="s">
        <v>274</v>
      </c>
      <c r="Q20" s="2918" t="s">
        <v>274</v>
      </c>
      <c r="R20" s="2918" t="s">
        <v>274</v>
      </c>
      <c r="S20" s="3511" t="str">
        <f>IF(SUM(O20:R20)=0,Q20,SUM(O20:R20)*-44/12)</f>
        <v>IE</v>
      </c>
      <c r="T20" s="83"/>
      <c r="U20" s="2424"/>
    </row>
    <row r="21" spans="2:21" ht="18" customHeight="1" x14ac:dyDescent="0.2">
      <c r="B21" s="477" t="s">
        <v>1398</v>
      </c>
      <c r="C21" s="476"/>
      <c r="D21" s="3500">
        <f>D22</f>
        <v>48.877432536546301</v>
      </c>
      <c r="E21" s="3505">
        <f t="shared" ref="E21" si="26">E22</f>
        <v>47.877432536546301</v>
      </c>
      <c r="F21" s="3506">
        <f t="shared" ref="F21" si="27">F22</f>
        <v>1</v>
      </c>
      <c r="G21" s="3500" t="str">
        <f t="shared" si="4"/>
        <v>NA</v>
      </c>
      <c r="H21" s="3057" t="str">
        <f t="shared" si="5"/>
        <v>NA</v>
      </c>
      <c r="I21" s="3057" t="str">
        <f t="shared" si="6"/>
        <v>NA</v>
      </c>
      <c r="J21" s="3057" t="str">
        <f t="shared" si="7"/>
        <v>NA</v>
      </c>
      <c r="K21" s="3514">
        <f t="shared" si="8"/>
        <v>-2.4728518374417749</v>
      </c>
      <c r="L21" s="3106">
        <f t="shared" si="9"/>
        <v>-8.7249999999999996</v>
      </c>
      <c r="M21" s="3057" t="str">
        <f t="shared" ref="M21:S21" si="28">M22</f>
        <v>NA</v>
      </c>
      <c r="N21" s="3057" t="str">
        <f t="shared" si="28"/>
        <v>NA</v>
      </c>
      <c r="O21" s="3057" t="str">
        <f t="shared" si="25"/>
        <v>NA</v>
      </c>
      <c r="P21" s="3057" t="str">
        <f t="shared" si="28"/>
        <v>NA</v>
      </c>
      <c r="Q21" s="3514">
        <f t="shared" si="28"/>
        <v>-118.39379701999314</v>
      </c>
      <c r="R21" s="3514">
        <f t="shared" si="28"/>
        <v>-8.7249999999999996</v>
      </c>
      <c r="S21" s="3511">
        <f t="shared" si="28"/>
        <v>466.10225573997485</v>
      </c>
      <c r="U21" s="2048"/>
    </row>
    <row r="22" spans="2:21" ht="18" customHeight="1" x14ac:dyDescent="0.2">
      <c r="B22" s="490"/>
      <c r="C22" s="474" t="s">
        <v>409</v>
      </c>
      <c r="D22" s="3500">
        <f>IF(SUM(E22:F22)=0,E22,SUM(E22:F22))</f>
        <v>48.877432536546301</v>
      </c>
      <c r="E22" s="3510">
        <v>47.877432536546301</v>
      </c>
      <c r="F22" s="3496">
        <v>1</v>
      </c>
      <c r="G22" s="3500" t="str">
        <f t="shared" si="4"/>
        <v>NA</v>
      </c>
      <c r="H22" s="3057" t="str">
        <f t="shared" si="5"/>
        <v>NA</v>
      </c>
      <c r="I22" s="3057" t="str">
        <f t="shared" si="6"/>
        <v>NA</v>
      </c>
      <c r="J22" s="3057" t="str">
        <f t="shared" si="7"/>
        <v>NA</v>
      </c>
      <c r="K22" s="3514">
        <f t="shared" si="8"/>
        <v>-2.4728518374417749</v>
      </c>
      <c r="L22" s="3106">
        <f t="shared" si="9"/>
        <v>-8.7249999999999996</v>
      </c>
      <c r="M22" s="2917" t="s">
        <v>205</v>
      </c>
      <c r="N22" s="2917" t="s">
        <v>205</v>
      </c>
      <c r="O22" s="3087" t="str">
        <f>IF(SUM(M22:N22)=0,M22,SUM(M22:N22))</f>
        <v>NA</v>
      </c>
      <c r="P22" s="2917" t="s">
        <v>205</v>
      </c>
      <c r="Q22" s="2918">
        <v>-118.39379701999314</v>
      </c>
      <c r="R22" s="2918">
        <v>-8.7249999999999996</v>
      </c>
      <c r="S22" s="3511">
        <f>IF(SUM(O22:R22)=0,Q22,SUM(O22:R22)*-44/12)</f>
        <v>466.10225573997485</v>
      </c>
      <c r="U22" s="2424"/>
    </row>
    <row r="23" spans="2:21" ht="18" customHeight="1" x14ac:dyDescent="0.2">
      <c r="B23" s="477" t="s">
        <v>1399</v>
      </c>
      <c r="C23" s="476"/>
      <c r="D23" s="3500" t="str">
        <f>D24</f>
        <v>NO</v>
      </c>
      <c r="E23" s="3505" t="str">
        <f t="shared" ref="E23" si="29">E24</f>
        <v>NO</v>
      </c>
      <c r="F23" s="3506" t="str">
        <f t="shared" ref="F23" si="30">F24</f>
        <v>NO</v>
      </c>
      <c r="G23" s="3500" t="str">
        <f t="shared" si="4"/>
        <v>NA</v>
      </c>
      <c r="H23" s="3057" t="str">
        <f t="shared" si="5"/>
        <v>NA</v>
      </c>
      <c r="I23" s="3057" t="str">
        <f t="shared" si="6"/>
        <v>NA</v>
      </c>
      <c r="J23" s="3057" t="str">
        <f t="shared" si="7"/>
        <v>NA</v>
      </c>
      <c r="K23" s="3514" t="str">
        <f t="shared" si="8"/>
        <v>NA</v>
      </c>
      <c r="L23" s="3106" t="str">
        <f t="shared" si="9"/>
        <v>NA</v>
      </c>
      <c r="M23" s="3057" t="str">
        <f t="shared" si="25"/>
        <v>NO</v>
      </c>
      <c r="N23" s="3057" t="str">
        <f t="shared" si="25"/>
        <v>NO</v>
      </c>
      <c r="O23" s="3057" t="str">
        <f t="shared" si="25"/>
        <v>NO</v>
      </c>
      <c r="P23" s="3057" t="str">
        <f t="shared" si="25"/>
        <v>NO</v>
      </c>
      <c r="Q23" s="3514" t="str">
        <f t="shared" si="25"/>
        <v>NO</v>
      </c>
      <c r="R23" s="3514" t="str">
        <f t="shared" si="25"/>
        <v>NO</v>
      </c>
      <c r="S23" s="3511" t="str">
        <f t="shared" si="25"/>
        <v>NO</v>
      </c>
      <c r="U23" s="2048"/>
    </row>
    <row r="24" spans="2:21" ht="18" customHeight="1" x14ac:dyDescent="0.2">
      <c r="B24" s="490"/>
      <c r="C24" s="474" t="s">
        <v>409</v>
      </c>
      <c r="D24" s="3500" t="str">
        <f>IF(SUM(E24:F24)=0,E24,SUM(E24:F24))</f>
        <v>NO</v>
      </c>
      <c r="E24" s="3510" t="s">
        <v>199</v>
      </c>
      <c r="F24" s="3496" t="s">
        <v>199</v>
      </c>
      <c r="G24" s="3500" t="str">
        <f t="shared" si="4"/>
        <v>NA</v>
      </c>
      <c r="H24" s="3057" t="str">
        <f t="shared" si="5"/>
        <v>NA</v>
      </c>
      <c r="I24" s="3057" t="str">
        <f t="shared" si="6"/>
        <v>NA</v>
      </c>
      <c r="J24" s="3057" t="str">
        <f t="shared" si="7"/>
        <v>NA</v>
      </c>
      <c r="K24" s="3514" t="str">
        <f t="shared" si="8"/>
        <v>NA</v>
      </c>
      <c r="L24" s="3106" t="str">
        <f t="shared" si="9"/>
        <v>NA</v>
      </c>
      <c r="M24" s="2917" t="s">
        <v>199</v>
      </c>
      <c r="N24" s="2917" t="s">
        <v>199</v>
      </c>
      <c r="O24" s="3087" t="str">
        <f>IF(SUM(M24:N24)=0,M24,SUM(M24:N24))</f>
        <v>NO</v>
      </c>
      <c r="P24" s="2917" t="s">
        <v>199</v>
      </c>
      <c r="Q24" s="2918" t="s">
        <v>199</v>
      </c>
      <c r="R24" s="2918" t="s">
        <v>199</v>
      </c>
      <c r="S24" s="3511" t="str">
        <f>IF(SUM(O24:R24)=0,Q24,SUM(O24:R24)*-44/12)</f>
        <v>NO</v>
      </c>
      <c r="U24" s="2424"/>
    </row>
    <row r="25" spans="2:21" ht="18" customHeight="1" x14ac:dyDescent="0.2">
      <c r="B25" s="477" t="s">
        <v>1400</v>
      </c>
      <c r="C25" s="476"/>
      <c r="D25" s="3500" t="str">
        <f>D26</f>
        <v>NO</v>
      </c>
      <c r="E25" s="3505" t="str">
        <f t="shared" ref="E25" si="31">E26</f>
        <v>NO</v>
      </c>
      <c r="F25" s="3506" t="str">
        <f t="shared" ref="F25" si="32">F26</f>
        <v>NO</v>
      </c>
      <c r="G25" s="3500" t="str">
        <f t="shared" si="4"/>
        <v>NA</v>
      </c>
      <c r="H25" s="3057" t="str">
        <f t="shared" si="5"/>
        <v>NA</v>
      </c>
      <c r="I25" s="3057" t="str">
        <f t="shared" si="6"/>
        <v>NA</v>
      </c>
      <c r="J25" s="3057" t="str">
        <f t="shared" si="7"/>
        <v>NA</v>
      </c>
      <c r="K25" s="3514" t="str">
        <f t="shared" si="8"/>
        <v>NA</v>
      </c>
      <c r="L25" s="3106" t="str">
        <f t="shared" si="9"/>
        <v>NA</v>
      </c>
      <c r="M25" s="3057" t="str">
        <f t="shared" ref="M25:S25" si="33">M26</f>
        <v>NO</v>
      </c>
      <c r="N25" s="3057" t="str">
        <f t="shared" si="33"/>
        <v>NO</v>
      </c>
      <c r="O25" s="3057" t="str">
        <f t="shared" si="33"/>
        <v>NO</v>
      </c>
      <c r="P25" s="3057" t="str">
        <f t="shared" si="33"/>
        <v>NO</v>
      </c>
      <c r="Q25" s="3514" t="str">
        <f t="shared" si="33"/>
        <v>NO</v>
      </c>
      <c r="R25" s="3514" t="str">
        <f t="shared" si="33"/>
        <v>NO</v>
      </c>
      <c r="S25" s="3511" t="str">
        <f t="shared" si="33"/>
        <v>NO</v>
      </c>
      <c r="U25" s="2048"/>
    </row>
    <row r="26" spans="2:21" ht="18" customHeight="1" thickBot="1" x14ac:dyDescent="0.25">
      <c r="B26" s="865"/>
      <c r="C26" s="496" t="s">
        <v>409</v>
      </c>
      <c r="D26" s="3518" t="str">
        <f>IF(SUM(E26:F26)=0,E26,SUM(E26:F26))</f>
        <v>NO</v>
      </c>
      <c r="E26" s="3516" t="s">
        <v>199</v>
      </c>
      <c r="F26" s="3517" t="s">
        <v>199</v>
      </c>
      <c r="G26" s="3518" t="str">
        <f t="shared" si="4"/>
        <v>NA</v>
      </c>
      <c r="H26" s="3116" t="str">
        <f t="shared" si="5"/>
        <v>NA</v>
      </c>
      <c r="I26" s="3116" t="str">
        <f t="shared" si="6"/>
        <v>NA</v>
      </c>
      <c r="J26" s="3116" t="str">
        <f t="shared" si="7"/>
        <v>NA</v>
      </c>
      <c r="K26" s="3537" t="str">
        <f t="shared" si="8"/>
        <v>NA</v>
      </c>
      <c r="L26" s="3519" t="str">
        <f t="shared" si="9"/>
        <v>NA</v>
      </c>
      <c r="M26" s="3115" t="s">
        <v>199</v>
      </c>
      <c r="N26" s="3115" t="s">
        <v>199</v>
      </c>
      <c r="O26" s="3520" t="str">
        <f>IF(SUM(M26:N26)=0,M26,SUM(M26:N26))</f>
        <v>NO</v>
      </c>
      <c r="P26" s="3115" t="s">
        <v>199</v>
      </c>
      <c r="Q26" s="4315" t="s">
        <v>199</v>
      </c>
      <c r="R26" s="4315" t="s">
        <v>199</v>
      </c>
      <c r="S26" s="3521" t="str">
        <f>IF(SUM(O26:R26)=0,Q26,SUM(O26:R26)*-44/12)</f>
        <v>NO</v>
      </c>
      <c r="U26" s="2425"/>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509" t="s">
        <v>1401</v>
      </c>
      <c r="C47" s="4510"/>
      <c r="D47" s="4510"/>
      <c r="E47" s="4510"/>
      <c r="F47" s="4510"/>
      <c r="G47" s="4510"/>
      <c r="H47" s="4510"/>
      <c r="I47" s="4510"/>
      <c r="J47" s="4510"/>
      <c r="K47" s="4510"/>
      <c r="L47" s="4510"/>
      <c r="M47" s="4510"/>
      <c r="N47" s="4510"/>
      <c r="O47" s="4510"/>
      <c r="P47" s="4510"/>
      <c r="Q47" s="4510"/>
      <c r="R47" s="4510"/>
      <c r="S47" s="4511"/>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2460</v>
      </c>
    </row>
    <row r="2" spans="1:23" ht="15.75" x14ac:dyDescent="0.25">
      <c r="B2" s="13" t="s">
        <v>1403</v>
      </c>
      <c r="S2" s="2" t="s">
        <v>2461</v>
      </c>
    </row>
    <row r="3" spans="1:23" ht="15.75" x14ac:dyDescent="0.25">
      <c r="B3" s="13" t="s">
        <v>162</v>
      </c>
      <c r="S3" s="2" t="s">
        <v>163</v>
      </c>
    </row>
    <row r="4" spans="1:23" ht="15.75" x14ac:dyDescent="0.25">
      <c r="B4" s="13"/>
      <c r="S4" s="2"/>
    </row>
    <row r="5" spans="1:23" ht="24.75" thickBot="1" x14ac:dyDescent="0.25">
      <c r="B5" s="2465" t="s">
        <v>62</v>
      </c>
      <c r="U5" s="2589"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8"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7"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5" t="s">
        <v>1407</v>
      </c>
      <c r="C10" s="2286"/>
      <c r="D10" s="3522">
        <f>IF(SUM(D11,D23)=0,"IE",SUM(D11,D23))</f>
        <v>13307.956535736083</v>
      </c>
      <c r="E10" s="3523">
        <f>IF(SUM(E11,E23)=0,"IE",SUM(E11,E23))</f>
        <v>13247.214553819378</v>
      </c>
      <c r="F10" s="3524">
        <f>IF(SUM(F11,F23)=0,"IE",SUM(F11,F23))</f>
        <v>60.741981916704333</v>
      </c>
      <c r="G10" s="4317" t="str">
        <f>IFERROR(IF(SUM($D10)=0,"NA",M10/$D10),"NA")</f>
        <v>NA</v>
      </c>
      <c r="H10" s="4318">
        <f t="shared" ref="H10:J10" si="0">IFERROR(IF(SUM($D10)=0,"NA",N10/$D10),"NA")</f>
        <v>-1.9259657386780631E-2</v>
      </c>
      <c r="I10" s="4319">
        <f t="shared" si="0"/>
        <v>-1.9259657386780631E-2</v>
      </c>
      <c r="J10" s="4318">
        <f t="shared" si="0"/>
        <v>-1.875332812187473E-3</v>
      </c>
      <c r="K10" s="4318">
        <f>IFERROR(IF(SUM(E10)=0,"NA",Q10/E10),"NA")</f>
        <v>-2.1769432992079642E-3</v>
      </c>
      <c r="L10" s="4320" t="str">
        <f>IFERROR(IF(SUM(F10)=0,"NA",R10/F10),"NA")</f>
        <v>NA</v>
      </c>
      <c r="M10" s="4319" t="str">
        <f t="shared" ref="M10:S10" si="1">IF(SUM(M11,M23)=0,"IE",SUM(M11,M23))</f>
        <v>IE</v>
      </c>
      <c r="N10" s="4318">
        <f t="shared" si="1"/>
        <v>-256.30668339644501</v>
      </c>
      <c r="O10" s="4319">
        <f t="shared" si="1"/>
        <v>-256.30668339644501</v>
      </c>
      <c r="P10" s="4318">
        <f t="shared" si="1"/>
        <v>-24.95684755463061</v>
      </c>
      <c r="Q10" s="4321">
        <f t="shared" si="1"/>
        <v>-28.838434956107317</v>
      </c>
      <c r="R10" s="4321" t="str">
        <f t="shared" si="1"/>
        <v>IE</v>
      </c>
      <c r="S10" s="3528">
        <f t="shared" si="1"/>
        <v>1137.0405416596707</v>
      </c>
      <c r="U10" s="4322"/>
    </row>
    <row r="11" spans="1:23" ht="18" customHeight="1" x14ac:dyDescent="0.2">
      <c r="B11" s="491" t="s">
        <v>1262</v>
      </c>
      <c r="C11" s="473"/>
      <c r="D11" s="4323">
        <f>IF(SUM(D12,D14,D17)=0,"IE",SUM(D12,D14,D17))</f>
        <v>13232.82492798</v>
      </c>
      <c r="E11" s="3542">
        <f t="shared" ref="E11:S11" si="2">IF(SUM(E12,E14,E17)=0,"IE",SUM(E12,E14,E17))</f>
        <v>13172.082946063296</v>
      </c>
      <c r="F11" s="3543">
        <f t="shared" si="2"/>
        <v>60.741981916704333</v>
      </c>
      <c r="G11" s="4324" t="str">
        <f t="shared" ref="G11:G56" si="3">IFERROR(IF(SUM($D11)=0,"NA",M11/$D11),"NA")</f>
        <v>NA</v>
      </c>
      <c r="H11" s="4325">
        <f t="shared" ref="H11:H56" si="4">IFERROR(IF(SUM($D11)=0,"NA",N11/$D11),"NA")</f>
        <v>-1.6505288589315659E-2</v>
      </c>
      <c r="I11" s="4326">
        <f t="shared" ref="I11:I56" si="5">IFERROR(IF(SUM($D11)=0,"NA",O11/$D11),"NA")</f>
        <v>-1.6505288589315659E-2</v>
      </c>
      <c r="J11" s="4325">
        <f t="shared" ref="J11:J56" si="6">IFERROR(IF(SUM($D11)=0,"NA",P11/$D11),"NA")</f>
        <v>-1.8859803322766615E-3</v>
      </c>
      <c r="K11" s="4325">
        <f t="shared" ref="K11:K56" si="7">IFERROR(IF(SUM(E11)=0,"NA",Q11/E11),"NA")</f>
        <v>-2.1893602609544894E-3</v>
      </c>
      <c r="L11" s="4327" t="str">
        <f t="shared" ref="L11:L56" si="8">IFERROR(IF(SUM(F11)=0,"NA",R11/F11),"NA")</f>
        <v>NA</v>
      </c>
      <c r="M11" s="4326" t="str">
        <f t="shared" si="2"/>
        <v>IE</v>
      </c>
      <c r="N11" s="4325">
        <f t="shared" si="2"/>
        <v>-218.41159428820009</v>
      </c>
      <c r="O11" s="4326">
        <f t="shared" si="2"/>
        <v>-218.41159428820009</v>
      </c>
      <c r="P11" s="4325">
        <f t="shared" si="2"/>
        <v>-24.95684755463061</v>
      </c>
      <c r="Q11" s="4328">
        <f t="shared" si="2"/>
        <v>-28.838434956107317</v>
      </c>
      <c r="R11" s="4328" t="str">
        <f t="shared" si="2"/>
        <v>IE</v>
      </c>
      <c r="S11" s="3544">
        <f t="shared" si="2"/>
        <v>998.09188159610608</v>
      </c>
      <c r="U11" s="4329"/>
    </row>
    <row r="12" spans="1:23" ht="18" customHeight="1" x14ac:dyDescent="0.2">
      <c r="B12" s="477" t="s">
        <v>1408</v>
      </c>
      <c r="C12" s="473"/>
      <c r="D12" s="3500" t="str">
        <f>D13</f>
        <v>NO</v>
      </c>
      <c r="E12" s="3505" t="str">
        <f t="shared" ref="E12:F12" si="9">E13</f>
        <v>NO</v>
      </c>
      <c r="F12" s="3506" t="str">
        <f t="shared" si="9"/>
        <v>NO</v>
      </c>
      <c r="G12" s="3500" t="str">
        <f t="shared" si="3"/>
        <v>NA</v>
      </c>
      <c r="H12" s="3057" t="str">
        <f t="shared" si="4"/>
        <v>NA</v>
      </c>
      <c r="I12" s="3057" t="str">
        <f t="shared" si="5"/>
        <v>NA</v>
      </c>
      <c r="J12" s="3057" t="str">
        <f t="shared" si="6"/>
        <v>NA</v>
      </c>
      <c r="K12" s="3514" t="str">
        <f t="shared" si="7"/>
        <v>NA</v>
      </c>
      <c r="L12" s="3106" t="str">
        <f t="shared" si="8"/>
        <v>NA</v>
      </c>
      <c r="M12" s="4170" t="str">
        <f t="shared" ref="M12:S12" si="10">M13</f>
        <v>NO</v>
      </c>
      <c r="N12" s="3057" t="str">
        <f t="shared" si="10"/>
        <v>NO</v>
      </c>
      <c r="O12" s="3057" t="str">
        <f t="shared" si="10"/>
        <v>NO</v>
      </c>
      <c r="P12" s="3057" t="str">
        <f t="shared" si="10"/>
        <v>NO</v>
      </c>
      <c r="Q12" s="3514" t="str">
        <f t="shared" si="10"/>
        <v>NO</v>
      </c>
      <c r="R12" s="3514" t="str">
        <f t="shared" si="10"/>
        <v>NO</v>
      </c>
      <c r="S12" s="3511" t="str">
        <f t="shared" si="10"/>
        <v>NO</v>
      </c>
      <c r="U12" s="4329"/>
    </row>
    <row r="13" spans="1:23" ht="18" customHeight="1" x14ac:dyDescent="0.2">
      <c r="B13" s="1472"/>
      <c r="C13" s="4330" t="s">
        <v>409</v>
      </c>
      <c r="D13" s="3500" t="str">
        <f>IF(SUM(E13:F13)=0,E13,SUM(E13:F13))</f>
        <v>NO</v>
      </c>
      <c r="E13" s="3510" t="s">
        <v>199</v>
      </c>
      <c r="F13" s="3496" t="s">
        <v>199</v>
      </c>
      <c r="G13" s="3545" t="str">
        <f t="shared" si="3"/>
        <v>NA</v>
      </c>
      <c r="H13" s="3531" t="str">
        <f t="shared" si="4"/>
        <v>NA</v>
      </c>
      <c r="I13" s="3546" t="str">
        <f t="shared" si="5"/>
        <v>NA</v>
      </c>
      <c r="J13" s="3531" t="str">
        <f t="shared" si="6"/>
        <v>NA</v>
      </c>
      <c r="K13" s="3531" t="str">
        <f t="shared" si="7"/>
        <v>NA</v>
      </c>
      <c r="L13" s="3535" t="str">
        <f t="shared" si="8"/>
        <v>NA</v>
      </c>
      <c r="M13" s="3547" t="s">
        <v>199</v>
      </c>
      <c r="N13" s="3548" t="s">
        <v>199</v>
      </c>
      <c r="O13" s="3087" t="str">
        <f>IF(SUM(M13:N13)=0,M13,SUM(M13:N13))</f>
        <v>NO</v>
      </c>
      <c r="P13" s="3548" t="s">
        <v>199</v>
      </c>
      <c r="Q13" s="3549" t="s">
        <v>199</v>
      </c>
      <c r="R13" s="3549" t="s">
        <v>199</v>
      </c>
      <c r="S13" s="3511" t="str">
        <f>IF(SUM(O13:R13)=0,Q13,SUM(O13:R13)*-44/12)</f>
        <v>NO</v>
      </c>
      <c r="U13" s="2426"/>
    </row>
    <row r="14" spans="1:23" ht="18" customHeight="1" x14ac:dyDescent="0.2">
      <c r="B14" s="477" t="s">
        <v>1409</v>
      </c>
      <c r="C14" s="473"/>
      <c r="D14" s="3529">
        <f>IF(SUM(D15:D16)=0,"IE",SUM(D15:D16))</f>
        <v>731.50559083423195</v>
      </c>
      <c r="E14" s="3505">
        <f>IF(SUM(E15:E16)=0,"IE",SUM(E15:E16))</f>
        <v>731.50559083423195</v>
      </c>
      <c r="F14" s="3506" t="str">
        <f>IF(SUM(F15:F16)=0,"IE",SUM(F15:F16))</f>
        <v>IE</v>
      </c>
      <c r="G14" s="3500" t="str">
        <f t="shared" si="3"/>
        <v>NA</v>
      </c>
      <c r="H14" s="3057" t="str">
        <f t="shared" si="4"/>
        <v>NA</v>
      </c>
      <c r="I14" s="3057" t="str">
        <f t="shared" si="5"/>
        <v>NA</v>
      </c>
      <c r="J14" s="3057" t="str">
        <f t="shared" si="6"/>
        <v>NA</v>
      </c>
      <c r="K14" s="3514" t="str">
        <f t="shared" si="7"/>
        <v>NA</v>
      </c>
      <c r="L14" s="3106" t="str">
        <f t="shared" si="8"/>
        <v>NA</v>
      </c>
      <c r="M14" s="4170" t="str">
        <f>IF(SUM(M15:M16)=0,"NA",SUM(M15:M16))</f>
        <v>NA</v>
      </c>
      <c r="N14" s="3057" t="str">
        <f t="shared" ref="N14:R14" si="11">IF(SUM(N15:N16)=0,"NA",SUM(N15:N16))</f>
        <v>NA</v>
      </c>
      <c r="O14" s="3057" t="str">
        <f t="shared" si="11"/>
        <v>NA</v>
      </c>
      <c r="P14" s="3057" t="str">
        <f t="shared" si="11"/>
        <v>NA</v>
      </c>
      <c r="Q14" s="3514" t="str">
        <f t="shared" si="11"/>
        <v>NA</v>
      </c>
      <c r="R14" s="3514" t="str">
        <f t="shared" si="11"/>
        <v>NA</v>
      </c>
      <c r="S14" s="3511" t="str">
        <f t="shared" ref="S14" si="12">S15</f>
        <v>NA</v>
      </c>
      <c r="U14" s="4329"/>
    </row>
    <row r="15" spans="1:23" ht="18" customHeight="1" x14ac:dyDescent="0.2">
      <c r="B15" s="2698"/>
      <c r="C15" s="4330" t="s">
        <v>1410</v>
      </c>
      <c r="D15" s="3500">
        <f>IF(SUM(E15:F15)=0,E15,SUM(E15:F15))</f>
        <v>504.33540000000011</v>
      </c>
      <c r="E15" s="3510">
        <v>504.33540000000011</v>
      </c>
      <c r="F15" s="3496" t="s">
        <v>274</v>
      </c>
      <c r="G15" s="3545" t="str">
        <f t="shared" si="3"/>
        <v>NA</v>
      </c>
      <c r="H15" s="3531" t="str">
        <f t="shared" si="4"/>
        <v>NA</v>
      </c>
      <c r="I15" s="3546" t="str">
        <f t="shared" si="5"/>
        <v>NA</v>
      </c>
      <c r="J15" s="3531" t="str">
        <f t="shared" si="6"/>
        <v>NA</v>
      </c>
      <c r="K15" s="3531" t="str">
        <f t="shared" si="7"/>
        <v>NA</v>
      </c>
      <c r="L15" s="3535" t="str">
        <f t="shared" si="8"/>
        <v>NA</v>
      </c>
      <c r="M15" s="3550" t="s">
        <v>205</v>
      </c>
      <c r="N15" s="3551" t="s">
        <v>205</v>
      </c>
      <c r="O15" s="3087" t="str">
        <f t="shared" ref="O15" si="13">IF(SUM(M15:N15)=0,M15,SUM(M15:N15))</f>
        <v>NA</v>
      </c>
      <c r="P15" s="3551" t="s">
        <v>205</v>
      </c>
      <c r="Q15" s="3551" t="s">
        <v>205</v>
      </c>
      <c r="R15" s="3550" t="s">
        <v>205</v>
      </c>
      <c r="S15" s="3511" t="str">
        <f>IF(SUM(O15:R15)=0,Q15,SUM(O15:R15)*-44/12)</f>
        <v>NA</v>
      </c>
      <c r="U15" s="2426"/>
    </row>
    <row r="16" spans="1:23" ht="18" customHeight="1" x14ac:dyDescent="0.2">
      <c r="A16" s="2519"/>
      <c r="B16" s="2698"/>
      <c r="C16" s="4316" t="s">
        <v>1411</v>
      </c>
      <c r="D16" s="3500">
        <f>IF(SUM(E16:F16)=0,E16,SUM(E16:F16))</f>
        <v>227.17019083423182</v>
      </c>
      <c r="E16" s="3540">
        <v>227.17019083423182</v>
      </c>
      <c r="F16" s="4331" t="s">
        <v>274</v>
      </c>
      <c r="G16" s="3552" t="str">
        <f t="shared" si="3"/>
        <v>NA</v>
      </c>
      <c r="H16" s="3553" t="str">
        <f t="shared" si="4"/>
        <v>NA</v>
      </c>
      <c r="I16" s="3554" t="str">
        <f t="shared" si="5"/>
        <v>NA</v>
      </c>
      <c r="J16" s="3553" t="str">
        <f t="shared" si="6"/>
        <v>NA</v>
      </c>
      <c r="K16" s="3553" t="str">
        <f t="shared" si="7"/>
        <v>NA</v>
      </c>
      <c r="L16" s="3555" t="str">
        <f t="shared" si="8"/>
        <v>NA</v>
      </c>
      <c r="M16" s="3550" t="s">
        <v>205</v>
      </c>
      <c r="N16" s="3551" t="s">
        <v>205</v>
      </c>
      <c r="O16" s="3087" t="str">
        <f t="shared" ref="O16" si="14">IF(SUM(M16:N16)=0,M16,SUM(M16:N16))</f>
        <v>NA</v>
      </c>
      <c r="P16" s="3551" t="s">
        <v>205</v>
      </c>
      <c r="Q16" s="3551" t="s">
        <v>205</v>
      </c>
      <c r="R16" s="3550" t="s">
        <v>205</v>
      </c>
      <c r="S16" s="3511" t="str">
        <f t="shared" ref="S16" si="15">IF(SUM(O16:R16)=0,Q16,SUM(O16:R16)*-44/12)</f>
        <v>NA</v>
      </c>
      <c r="T16" s="2519"/>
      <c r="U16" s="2699"/>
      <c r="V16" s="2519"/>
      <c r="W16" s="2519"/>
    </row>
    <row r="17" spans="1:23" ht="18" customHeight="1" x14ac:dyDescent="0.2">
      <c r="B17" s="477" t="s">
        <v>1412</v>
      </c>
      <c r="C17" s="473"/>
      <c r="D17" s="3529">
        <f>IF(SUM(D18:D21)=0,"IE",SUM(D18:D21))</f>
        <v>12501.319337145767</v>
      </c>
      <c r="E17" s="3505">
        <f>IF(SUM(E18:E21)=0,"IE",SUM(E18:E21))</f>
        <v>12440.577355229063</v>
      </c>
      <c r="F17" s="3506">
        <f>IF(SUM(F18:F21)=0,"IE",SUM(F18:F21))</f>
        <v>60.741981916704333</v>
      </c>
      <c r="G17" s="3545" t="str">
        <f t="shared" si="3"/>
        <v>NA</v>
      </c>
      <c r="H17" s="3531">
        <f t="shared" si="4"/>
        <v>-1.74710835230985E-2</v>
      </c>
      <c r="I17" s="3546">
        <f t="shared" si="5"/>
        <v>-1.74710835230985E-2</v>
      </c>
      <c r="J17" s="3531">
        <f t="shared" si="6"/>
        <v>-1.9963370970354413E-3</v>
      </c>
      <c r="K17" s="3531">
        <f t="shared" si="7"/>
        <v>-2.3180945813568578E-3</v>
      </c>
      <c r="L17" s="3535" t="str">
        <f t="shared" si="8"/>
        <v>NA</v>
      </c>
      <c r="M17" s="3505" t="str">
        <f t="shared" ref="M17:S17" si="16">IF(SUM(M18:M21)=0,"IE",SUM(M18:M21))</f>
        <v>IE</v>
      </c>
      <c r="N17" s="4325">
        <f t="shared" si="16"/>
        <v>-218.41159428820009</v>
      </c>
      <c r="O17" s="4326">
        <f t="shared" si="16"/>
        <v>-218.41159428820009</v>
      </c>
      <c r="P17" s="4325">
        <f t="shared" si="16"/>
        <v>-24.95684755463061</v>
      </c>
      <c r="Q17" s="4328">
        <f t="shared" si="16"/>
        <v>-28.838434956107317</v>
      </c>
      <c r="R17" s="4328" t="str">
        <f t="shared" si="16"/>
        <v>IE</v>
      </c>
      <c r="S17" s="4332">
        <f t="shared" si="16"/>
        <v>998.09188159610608</v>
      </c>
      <c r="U17" s="4329"/>
    </row>
    <row r="18" spans="1:23" ht="18" customHeight="1" x14ac:dyDescent="0.2">
      <c r="A18" s="2519"/>
      <c r="B18" s="2698"/>
      <c r="C18" s="4333" t="s">
        <v>1413</v>
      </c>
      <c r="D18" s="3500">
        <f>IF(SUM(E18:F18)=0,E18,SUM(E18:F18))</f>
        <v>1717.0865333209401</v>
      </c>
      <c r="E18" s="3510">
        <v>1717.0865333209401</v>
      </c>
      <c r="F18" s="4334" t="s">
        <v>274</v>
      </c>
      <c r="G18" s="3552" t="str">
        <f t="shared" si="3"/>
        <v>NA</v>
      </c>
      <c r="H18" s="3553">
        <f t="shared" si="4"/>
        <v>-2.0993725706656859E-2</v>
      </c>
      <c r="I18" s="3554">
        <f t="shared" si="5"/>
        <v>-2.0993725706656859E-2</v>
      </c>
      <c r="J18" s="3553">
        <f t="shared" si="6"/>
        <v>-4.1987451413313739E-3</v>
      </c>
      <c r="K18" s="3553">
        <f t="shared" si="7"/>
        <v>-1.6794980565325496E-2</v>
      </c>
      <c r="L18" s="3555" t="str">
        <f t="shared" si="8"/>
        <v>NA</v>
      </c>
      <c r="M18" s="3547" t="s">
        <v>274</v>
      </c>
      <c r="N18" s="3548">
        <v>-36.048043695134133</v>
      </c>
      <c r="O18" s="3087">
        <f>IF(SUM(M18:N18)=0,M18,SUM(M18:N18))</f>
        <v>-36.048043695134133</v>
      </c>
      <c r="P18" s="3548">
        <v>-7.2096087390268293</v>
      </c>
      <c r="Q18" s="3549">
        <v>-28.838434956107317</v>
      </c>
      <c r="R18" s="3556" t="s">
        <v>274</v>
      </c>
      <c r="S18" s="3511">
        <f>IF(SUM(O18:R18)=0,Q18,SUM(O18:R18)*-44/12)</f>
        <v>264.3523204309837</v>
      </c>
      <c r="T18" s="2519"/>
      <c r="U18" s="2520"/>
      <c r="V18" s="2519"/>
      <c r="W18" s="2519"/>
    </row>
    <row r="19" spans="1:23" ht="18" customHeight="1" x14ac:dyDescent="0.2">
      <c r="A19" s="2519"/>
      <c r="B19" s="2698"/>
      <c r="C19" s="4316" t="s">
        <v>1393</v>
      </c>
      <c r="D19" s="3500" t="str">
        <f t="shared" ref="D19:D20" si="17">IF(SUM(E19:F19)=0,E19,SUM(E19:F19))</f>
        <v>IE</v>
      </c>
      <c r="E19" s="4335" t="s">
        <v>274</v>
      </c>
      <c r="F19" s="4331" t="s">
        <v>274</v>
      </c>
      <c r="G19" s="3552" t="str">
        <f t="shared" si="3"/>
        <v>NA</v>
      </c>
      <c r="H19" s="3553" t="str">
        <f t="shared" si="4"/>
        <v>NA</v>
      </c>
      <c r="I19" s="3554" t="str">
        <f t="shared" si="5"/>
        <v>NA</v>
      </c>
      <c r="J19" s="3553" t="str">
        <f t="shared" si="6"/>
        <v>NA</v>
      </c>
      <c r="K19" s="3553" t="str">
        <f t="shared" si="7"/>
        <v>NA</v>
      </c>
      <c r="L19" s="3555" t="str">
        <f t="shared" si="8"/>
        <v>NA</v>
      </c>
      <c r="M19" s="3547" t="s">
        <v>274</v>
      </c>
      <c r="N19" s="3548">
        <v>-182.36355059306595</v>
      </c>
      <c r="O19" s="3087">
        <f t="shared" ref="O19:O22" si="18">IF(SUM(M19:N19)=0,M19,SUM(M19:N19))</f>
        <v>-182.36355059306595</v>
      </c>
      <c r="P19" s="3548">
        <v>-17.747238815603779</v>
      </c>
      <c r="Q19" s="3551" t="s">
        <v>205</v>
      </c>
      <c r="R19" s="3550" t="s">
        <v>205</v>
      </c>
      <c r="S19" s="3511">
        <f t="shared" ref="S19:S22" si="19">IF(SUM(O19:R19)=0,Q19,SUM(O19:R19)*-44/12)</f>
        <v>733.73956116512238</v>
      </c>
      <c r="T19" s="2519"/>
      <c r="U19" s="2699"/>
      <c r="V19" s="2519"/>
      <c r="W19" s="2519"/>
    </row>
    <row r="20" spans="1:23" ht="18" customHeight="1" x14ac:dyDescent="0.2">
      <c r="A20" s="2519"/>
      <c r="B20" s="2698"/>
      <c r="C20" s="4316" t="s">
        <v>1414</v>
      </c>
      <c r="D20" s="3500">
        <f t="shared" si="17"/>
        <v>10723.490821908123</v>
      </c>
      <c r="E20" s="4335">
        <v>10723.490821908123</v>
      </c>
      <c r="F20" s="4331" t="s">
        <v>274</v>
      </c>
      <c r="G20" s="3552" t="str">
        <f t="shared" si="3"/>
        <v>NA</v>
      </c>
      <c r="H20" s="3553" t="str">
        <f t="shared" si="4"/>
        <v>NA</v>
      </c>
      <c r="I20" s="3554" t="str">
        <f t="shared" si="5"/>
        <v>NA</v>
      </c>
      <c r="J20" s="3553" t="str">
        <f t="shared" si="6"/>
        <v>NA</v>
      </c>
      <c r="K20" s="3553" t="str">
        <f t="shared" si="7"/>
        <v>NA</v>
      </c>
      <c r="L20" s="3555" t="str">
        <f t="shared" si="8"/>
        <v>NA</v>
      </c>
      <c r="M20" s="3550" t="s">
        <v>205</v>
      </c>
      <c r="N20" s="3551" t="s">
        <v>205</v>
      </c>
      <c r="O20" s="3087" t="str">
        <f t="shared" si="18"/>
        <v>NA</v>
      </c>
      <c r="P20" s="3551" t="s">
        <v>205</v>
      </c>
      <c r="Q20" s="3551" t="s">
        <v>205</v>
      </c>
      <c r="R20" s="3550" t="s">
        <v>205</v>
      </c>
      <c r="S20" s="3511" t="str">
        <f t="shared" si="19"/>
        <v>NA</v>
      </c>
      <c r="T20" s="2519"/>
      <c r="U20" s="2699"/>
      <c r="V20" s="2519"/>
      <c r="W20" s="2519"/>
    </row>
    <row r="21" spans="1:23" ht="18" customHeight="1" x14ac:dyDescent="0.2">
      <c r="B21" s="1480" t="s">
        <v>1415</v>
      </c>
      <c r="C21" s="473"/>
      <c r="D21" s="3500">
        <f>D22</f>
        <v>60.741981916704333</v>
      </c>
      <c r="E21" s="3505" t="str">
        <f t="shared" ref="E21:F21" si="20">E22</f>
        <v>IE</v>
      </c>
      <c r="F21" s="3506">
        <f t="shared" si="20"/>
        <v>60.741981916704333</v>
      </c>
      <c r="G21" s="3552" t="str">
        <f t="shared" si="3"/>
        <v>NA</v>
      </c>
      <c r="H21" s="3553" t="str">
        <f t="shared" si="4"/>
        <v>NA</v>
      </c>
      <c r="I21" s="3554" t="str">
        <f t="shared" si="5"/>
        <v>NA</v>
      </c>
      <c r="J21" s="3553" t="str">
        <f t="shared" si="6"/>
        <v>NA</v>
      </c>
      <c r="K21" s="3553" t="str">
        <f t="shared" si="7"/>
        <v>NA</v>
      </c>
      <c r="L21" s="3555" t="str">
        <f t="shared" si="8"/>
        <v>NA</v>
      </c>
      <c r="M21" s="4170" t="str">
        <f t="shared" ref="M21:S21" si="21">M22</f>
        <v>NA</v>
      </c>
      <c r="N21" s="3057" t="str">
        <f t="shared" si="21"/>
        <v>NA</v>
      </c>
      <c r="O21" s="3057" t="str">
        <f t="shared" si="21"/>
        <v>NA</v>
      </c>
      <c r="P21" s="3057" t="str">
        <f t="shared" si="21"/>
        <v>NA</v>
      </c>
      <c r="Q21" s="3514" t="str">
        <f t="shared" si="21"/>
        <v>NA</v>
      </c>
      <c r="R21" s="3514" t="str">
        <f t="shared" si="21"/>
        <v>NA</v>
      </c>
      <c r="S21" s="3511" t="str">
        <f t="shared" si="21"/>
        <v>NA</v>
      </c>
      <c r="U21" s="4329"/>
    </row>
    <row r="22" spans="1:23" ht="18" customHeight="1" x14ac:dyDescent="0.2">
      <c r="B22" s="1472"/>
      <c r="C22" s="4330" t="s">
        <v>409</v>
      </c>
      <c r="D22" s="3500">
        <f>IF(SUM(E22:F22)=0,E22,SUM(E22:F22))</f>
        <v>60.741981916704333</v>
      </c>
      <c r="E22" s="3510" t="s">
        <v>274</v>
      </c>
      <c r="F22" s="3496">
        <v>60.741981916704333</v>
      </c>
      <c r="G22" s="3545" t="str">
        <f t="shared" si="3"/>
        <v>NA</v>
      </c>
      <c r="H22" s="3531" t="str">
        <f t="shared" si="4"/>
        <v>NA</v>
      </c>
      <c r="I22" s="3546" t="str">
        <f t="shared" si="5"/>
        <v>NA</v>
      </c>
      <c r="J22" s="3531" t="str">
        <f t="shared" si="6"/>
        <v>NA</v>
      </c>
      <c r="K22" s="3531" t="str">
        <f t="shared" si="7"/>
        <v>NA</v>
      </c>
      <c r="L22" s="3535" t="str">
        <f t="shared" si="8"/>
        <v>NA</v>
      </c>
      <c r="M22" s="3547" t="s">
        <v>205</v>
      </c>
      <c r="N22" s="3548" t="s">
        <v>205</v>
      </c>
      <c r="O22" s="3087" t="str">
        <f t="shared" si="18"/>
        <v>NA</v>
      </c>
      <c r="P22" s="3548" t="s">
        <v>205</v>
      </c>
      <c r="Q22" s="3549" t="s">
        <v>205</v>
      </c>
      <c r="R22" s="3549" t="s">
        <v>205</v>
      </c>
      <c r="S22" s="3511" t="str">
        <f t="shared" si="19"/>
        <v>NA</v>
      </c>
      <c r="U22" s="2426"/>
      <c r="W22" s="2519"/>
    </row>
    <row r="23" spans="1:23" ht="18" customHeight="1" x14ac:dyDescent="0.2">
      <c r="B23" s="492" t="s">
        <v>1416</v>
      </c>
      <c r="C23" s="476"/>
      <c r="D23" s="3529">
        <f>IF(SUM(D24,D35,D46)=0,"IE",SUM(D24,D35,D46))</f>
        <v>75.131607756082275</v>
      </c>
      <c r="E23" s="3531">
        <f t="shared" ref="E23:F23" si="22">IF(SUM(E24,E35,E46)=0,"IE",SUM(E24,E35,E46))</f>
        <v>75.131607756082275</v>
      </c>
      <c r="F23" s="3535" t="str">
        <f t="shared" si="22"/>
        <v>IE</v>
      </c>
      <c r="G23" s="3545" t="str">
        <f t="shared" si="3"/>
        <v>NA</v>
      </c>
      <c r="H23" s="3531">
        <f t="shared" si="4"/>
        <v>-0.50438277896664729</v>
      </c>
      <c r="I23" s="3546">
        <f t="shared" si="5"/>
        <v>-0.50438277896664729</v>
      </c>
      <c r="J23" s="3531" t="str">
        <f t="shared" si="6"/>
        <v>NA</v>
      </c>
      <c r="K23" s="3531" t="str">
        <f t="shared" si="7"/>
        <v>NA</v>
      </c>
      <c r="L23" s="3535" t="str">
        <f t="shared" si="8"/>
        <v>NA</v>
      </c>
      <c r="M23" s="3531" t="str">
        <f t="shared" ref="M23" si="23">IF(SUM(M24,M35,M46)=0,"IE",SUM(M24,M35,M46))</f>
        <v>IE</v>
      </c>
      <c r="N23" s="3531">
        <f t="shared" ref="N23" si="24">IF(SUM(N24,N35,N46)=0,"IE",SUM(N24,N35,N46))</f>
        <v>-37.895089108244889</v>
      </c>
      <c r="O23" s="3546">
        <f t="shared" ref="O23" si="25">IF(SUM(O24,O35,O46)=0,"IE",SUM(O24,O35,O46))</f>
        <v>-37.895089108244889</v>
      </c>
      <c r="P23" s="3531" t="str">
        <f>IF(SUM(P24,P35,P46)=0,"NO",SUM(P24,P35,P46))</f>
        <v>NO</v>
      </c>
      <c r="Q23" s="3530" t="str">
        <f>IF(SUM(Q24,Q35,Q46)=0,"NO",SUM(Q24,Q35,Q46))</f>
        <v>NO</v>
      </c>
      <c r="R23" s="3530" t="str">
        <f>IF(SUM(R24,R35,R46)=0,"NO",SUM(R24,R35,R46))</f>
        <v>NO</v>
      </c>
      <c r="S23" s="3534">
        <f t="shared" ref="S23" si="26">IF(SUM(S24,S35,S46)=0,"IE",SUM(S24,S35,S46))</f>
        <v>138.9486600635646</v>
      </c>
      <c r="U23" s="493"/>
    </row>
    <row r="24" spans="1:23" ht="18" customHeight="1" x14ac:dyDescent="0.2">
      <c r="B24" s="477" t="s">
        <v>1417</v>
      </c>
      <c r="C24" s="476"/>
      <c r="D24" s="3529" t="str">
        <f>IF(SUM(D25,D27,D29,D31,D33)=0,"NO",SUM(D25,D27,D29,D31,D33))</f>
        <v>NO</v>
      </c>
      <c r="E24" s="3531" t="str">
        <f>IF(SUM(E25,E27,E29,E31,E33)=0,"NO",SUM(E25,E27,E29,E31,E33))</f>
        <v>NO</v>
      </c>
      <c r="F24" s="3535" t="str">
        <f>IF(SUM(F25,F27,F29,F31,F33)=0,"NO",SUM(F25,F27,F29,F31,F33))</f>
        <v>NO</v>
      </c>
      <c r="G24" s="3545" t="str">
        <f t="shared" si="3"/>
        <v>NA</v>
      </c>
      <c r="H24" s="3531" t="str">
        <f t="shared" si="4"/>
        <v>NA</v>
      </c>
      <c r="I24" s="3546" t="str">
        <f t="shared" si="5"/>
        <v>NA</v>
      </c>
      <c r="J24" s="3531" t="str">
        <f t="shared" si="6"/>
        <v>NA</v>
      </c>
      <c r="K24" s="3531" t="str">
        <f t="shared" si="7"/>
        <v>NA</v>
      </c>
      <c r="L24" s="3535" t="str">
        <f t="shared" si="8"/>
        <v>NA</v>
      </c>
      <c r="M24" s="3531" t="str">
        <f t="shared" ref="M24:S24" si="27">IF(SUM(M25,M27,M29,M31,M33)=0,"NO",SUM(M25,M27,M29,M31,M33))</f>
        <v>NO</v>
      </c>
      <c r="N24" s="3531" t="str">
        <f t="shared" si="27"/>
        <v>NO</v>
      </c>
      <c r="O24" s="3546" t="str">
        <f t="shared" si="27"/>
        <v>NO</v>
      </c>
      <c r="P24" s="3531" t="str">
        <f t="shared" si="27"/>
        <v>NO</v>
      </c>
      <c r="Q24" s="3530" t="str">
        <f t="shared" si="27"/>
        <v>NO</v>
      </c>
      <c r="R24" s="3530" t="str">
        <f t="shared" si="27"/>
        <v>NO</v>
      </c>
      <c r="S24" s="3534" t="str">
        <f t="shared" si="27"/>
        <v>NO</v>
      </c>
      <c r="U24" s="493"/>
    </row>
    <row r="25" spans="1:23" ht="18" customHeight="1" x14ac:dyDescent="0.2">
      <c r="B25" s="495" t="s">
        <v>1418</v>
      </c>
      <c r="C25" s="476"/>
      <c r="D25" s="3500" t="str">
        <f>D26</f>
        <v>NO</v>
      </c>
      <c r="E25" s="3505" t="str">
        <f t="shared" ref="E25:F25" si="28">E26</f>
        <v>NO</v>
      </c>
      <c r="F25" s="3506" t="str">
        <f t="shared" si="28"/>
        <v>NO</v>
      </c>
      <c r="G25" s="3500" t="str">
        <f t="shared" si="3"/>
        <v>NA</v>
      </c>
      <c r="H25" s="3057" t="str">
        <f t="shared" si="4"/>
        <v>NA</v>
      </c>
      <c r="I25" s="3057" t="str">
        <f t="shared" si="5"/>
        <v>NA</v>
      </c>
      <c r="J25" s="3057" t="str">
        <f t="shared" si="6"/>
        <v>NA</v>
      </c>
      <c r="K25" s="3514" t="str">
        <f t="shared" si="7"/>
        <v>NA</v>
      </c>
      <c r="L25" s="3106" t="str">
        <f t="shared" si="8"/>
        <v>NA</v>
      </c>
      <c r="M25" s="4170" t="str">
        <f t="shared" ref="M25:S25" si="29">M26</f>
        <v>NO</v>
      </c>
      <c r="N25" s="3057" t="str">
        <f t="shared" si="29"/>
        <v>NO</v>
      </c>
      <c r="O25" s="3057" t="str">
        <f t="shared" si="29"/>
        <v>NO</v>
      </c>
      <c r="P25" s="3057" t="str">
        <f t="shared" si="29"/>
        <v>NO</v>
      </c>
      <c r="Q25" s="3514" t="str">
        <f t="shared" si="29"/>
        <v>NO</v>
      </c>
      <c r="R25" s="3514" t="str">
        <f t="shared" si="29"/>
        <v>NO</v>
      </c>
      <c r="S25" s="3511" t="str">
        <f t="shared" si="29"/>
        <v>NO</v>
      </c>
      <c r="U25" s="4329"/>
    </row>
    <row r="26" spans="1:23" ht="18" customHeight="1" x14ac:dyDescent="0.2">
      <c r="B26" s="1478"/>
      <c r="C26" s="4330" t="s">
        <v>409</v>
      </c>
      <c r="D26" s="3500" t="str">
        <f>IF(SUM(E26:F26)=0,E26,SUM(E26:F26))</f>
        <v>NO</v>
      </c>
      <c r="E26" s="3510" t="s">
        <v>199</v>
      </c>
      <c r="F26" s="3510" t="s">
        <v>199</v>
      </c>
      <c r="G26" s="3545" t="str">
        <f t="shared" si="3"/>
        <v>NA</v>
      </c>
      <c r="H26" s="3531" t="str">
        <f t="shared" si="4"/>
        <v>NA</v>
      </c>
      <c r="I26" s="3546" t="str">
        <f t="shared" si="5"/>
        <v>NA</v>
      </c>
      <c r="J26" s="3531" t="str">
        <f t="shared" si="6"/>
        <v>NA</v>
      </c>
      <c r="K26" s="3531" t="str">
        <f t="shared" si="7"/>
        <v>NA</v>
      </c>
      <c r="L26" s="3535" t="str">
        <f t="shared" si="8"/>
        <v>NA</v>
      </c>
      <c r="M26" s="3510" t="s">
        <v>199</v>
      </c>
      <c r="N26" s="3510" t="s">
        <v>199</v>
      </c>
      <c r="O26" s="3087" t="str">
        <f t="shared" ref="O26" si="30">IF(SUM(M26:N26)=0,M26,SUM(M26:N26))</f>
        <v>NO</v>
      </c>
      <c r="P26" s="3510" t="s">
        <v>199</v>
      </c>
      <c r="Q26" s="3510" t="s">
        <v>199</v>
      </c>
      <c r="R26" s="3510" t="s">
        <v>199</v>
      </c>
      <c r="S26" s="3511" t="str">
        <f t="shared" ref="S26" si="31">IF(SUM(O26:R26)=0,Q26,SUM(O26:R26)*-44/12)</f>
        <v>NO</v>
      </c>
      <c r="U26" s="2426"/>
    </row>
    <row r="27" spans="1:23" ht="18" customHeight="1" x14ac:dyDescent="0.2">
      <c r="B27" s="495" t="s">
        <v>1419</v>
      </c>
      <c r="C27" s="476"/>
      <c r="D27" s="3500" t="str">
        <f>D28</f>
        <v>NO</v>
      </c>
      <c r="E27" s="3505" t="str">
        <f t="shared" ref="E27:F27" si="32">E28</f>
        <v>NO</v>
      </c>
      <c r="F27" s="3506" t="str">
        <f t="shared" si="32"/>
        <v>NO</v>
      </c>
      <c r="G27" s="3500" t="str">
        <f t="shared" si="3"/>
        <v>NA</v>
      </c>
      <c r="H27" s="3057" t="str">
        <f t="shared" si="4"/>
        <v>NA</v>
      </c>
      <c r="I27" s="3057" t="str">
        <f t="shared" si="5"/>
        <v>NA</v>
      </c>
      <c r="J27" s="3057" t="str">
        <f t="shared" si="6"/>
        <v>NA</v>
      </c>
      <c r="K27" s="3514" t="str">
        <f t="shared" si="7"/>
        <v>NA</v>
      </c>
      <c r="L27" s="3106" t="str">
        <f t="shared" si="8"/>
        <v>NA</v>
      </c>
      <c r="M27" s="4170" t="str">
        <f t="shared" ref="M27:S27" si="33">M28</f>
        <v>NO</v>
      </c>
      <c r="N27" s="3057" t="str">
        <f t="shared" si="33"/>
        <v>NO</v>
      </c>
      <c r="O27" s="3057" t="str">
        <f t="shared" si="33"/>
        <v>NO</v>
      </c>
      <c r="P27" s="3057" t="str">
        <f t="shared" si="33"/>
        <v>NO</v>
      </c>
      <c r="Q27" s="3514" t="str">
        <f t="shared" si="33"/>
        <v>NO</v>
      </c>
      <c r="R27" s="3514" t="str">
        <f t="shared" si="33"/>
        <v>NO</v>
      </c>
      <c r="S27" s="3511" t="str">
        <f t="shared" si="33"/>
        <v>NO</v>
      </c>
      <c r="U27" s="4329"/>
    </row>
    <row r="28" spans="1:23" ht="18" customHeight="1" x14ac:dyDescent="0.2">
      <c r="B28" s="1478"/>
      <c r="C28" s="4330" t="s">
        <v>409</v>
      </c>
      <c r="D28" s="3500" t="str">
        <f>IF(SUM(E28:F28)=0,E28,SUM(E28:F28))</f>
        <v>NO</v>
      </c>
      <c r="E28" s="3510" t="s">
        <v>199</v>
      </c>
      <c r="F28" s="3510" t="s">
        <v>199</v>
      </c>
      <c r="G28" s="3545" t="str">
        <f t="shared" si="3"/>
        <v>NA</v>
      </c>
      <c r="H28" s="3531" t="str">
        <f t="shared" si="4"/>
        <v>NA</v>
      </c>
      <c r="I28" s="3546" t="str">
        <f t="shared" si="5"/>
        <v>NA</v>
      </c>
      <c r="J28" s="3531" t="str">
        <f t="shared" si="6"/>
        <v>NA</v>
      </c>
      <c r="K28" s="3531" t="str">
        <f t="shared" si="7"/>
        <v>NA</v>
      </c>
      <c r="L28" s="3535" t="str">
        <f t="shared" si="8"/>
        <v>NA</v>
      </c>
      <c r="M28" s="3510" t="s">
        <v>199</v>
      </c>
      <c r="N28" s="3510" t="s">
        <v>199</v>
      </c>
      <c r="O28" s="3087" t="str">
        <f t="shared" ref="O28" si="34">IF(SUM(M28:N28)=0,M28,SUM(M28:N28))</f>
        <v>NO</v>
      </c>
      <c r="P28" s="3510" t="s">
        <v>199</v>
      </c>
      <c r="Q28" s="3510" t="s">
        <v>199</v>
      </c>
      <c r="R28" s="3510" t="s">
        <v>199</v>
      </c>
      <c r="S28" s="3511" t="str">
        <f t="shared" ref="S28" si="35">IF(SUM(O28:R28)=0,Q28,SUM(O28:R28)*-44/12)</f>
        <v>NO</v>
      </c>
      <c r="U28" s="2426"/>
    </row>
    <row r="29" spans="1:23" ht="18" customHeight="1" x14ac:dyDescent="0.2">
      <c r="B29" s="495" t="s">
        <v>1420</v>
      </c>
      <c r="C29" s="476"/>
      <c r="D29" s="3500" t="str">
        <f>D30</f>
        <v>NO</v>
      </c>
      <c r="E29" s="3505" t="str">
        <f t="shared" ref="E29:F29" si="36">E30</f>
        <v>NO</v>
      </c>
      <c r="F29" s="3506" t="str">
        <f t="shared" si="36"/>
        <v>NO</v>
      </c>
      <c r="G29" s="3500" t="str">
        <f t="shared" si="3"/>
        <v>NA</v>
      </c>
      <c r="H29" s="3057" t="str">
        <f t="shared" si="4"/>
        <v>NA</v>
      </c>
      <c r="I29" s="3057" t="str">
        <f t="shared" si="5"/>
        <v>NA</v>
      </c>
      <c r="J29" s="3057" t="str">
        <f t="shared" si="6"/>
        <v>NA</v>
      </c>
      <c r="K29" s="3514" t="str">
        <f t="shared" si="7"/>
        <v>NA</v>
      </c>
      <c r="L29" s="3106" t="str">
        <f t="shared" si="8"/>
        <v>NA</v>
      </c>
      <c r="M29" s="4170" t="str">
        <f t="shared" ref="M29:S29" si="37">M30</f>
        <v>NO</v>
      </c>
      <c r="N29" s="3057" t="str">
        <f t="shared" si="37"/>
        <v>NO</v>
      </c>
      <c r="O29" s="3057" t="str">
        <f t="shared" si="37"/>
        <v>NO</v>
      </c>
      <c r="P29" s="3057" t="str">
        <f t="shared" si="37"/>
        <v>NO</v>
      </c>
      <c r="Q29" s="3514" t="str">
        <f t="shared" si="37"/>
        <v>NO</v>
      </c>
      <c r="R29" s="3514" t="str">
        <f t="shared" si="37"/>
        <v>NO</v>
      </c>
      <c r="S29" s="3511" t="str">
        <f t="shared" si="37"/>
        <v>NO</v>
      </c>
      <c r="U29" s="4329"/>
    </row>
    <row r="30" spans="1:23" ht="18" customHeight="1" x14ac:dyDescent="0.2">
      <c r="B30" s="1478"/>
      <c r="C30" s="4330" t="s">
        <v>409</v>
      </c>
      <c r="D30" s="3500" t="str">
        <f>IF(SUM(E30:F30)=0,E30,SUM(E30:F30))</f>
        <v>NO</v>
      </c>
      <c r="E30" s="3510" t="s">
        <v>199</v>
      </c>
      <c r="F30" s="3510" t="s">
        <v>199</v>
      </c>
      <c r="G30" s="3545" t="str">
        <f t="shared" si="3"/>
        <v>NA</v>
      </c>
      <c r="H30" s="3531" t="str">
        <f t="shared" si="4"/>
        <v>NA</v>
      </c>
      <c r="I30" s="3546" t="str">
        <f t="shared" si="5"/>
        <v>NA</v>
      </c>
      <c r="J30" s="3531" t="str">
        <f t="shared" si="6"/>
        <v>NA</v>
      </c>
      <c r="K30" s="3531" t="str">
        <f t="shared" si="7"/>
        <v>NA</v>
      </c>
      <c r="L30" s="3535" t="str">
        <f t="shared" si="8"/>
        <v>NA</v>
      </c>
      <c r="M30" s="3510" t="s">
        <v>199</v>
      </c>
      <c r="N30" s="3510" t="s">
        <v>199</v>
      </c>
      <c r="O30" s="3087" t="str">
        <f t="shared" ref="O30" si="38">IF(SUM(M30:N30)=0,M30,SUM(M30:N30))</f>
        <v>NO</v>
      </c>
      <c r="P30" s="3510" t="s">
        <v>199</v>
      </c>
      <c r="Q30" s="3510" t="s">
        <v>199</v>
      </c>
      <c r="R30" s="3510" t="s">
        <v>199</v>
      </c>
      <c r="S30" s="3511" t="str">
        <f t="shared" ref="S30" si="39">IF(SUM(O30:R30)=0,Q30,SUM(O30:R30)*-44/12)</f>
        <v>NO</v>
      </c>
      <c r="U30" s="2426"/>
    </row>
    <row r="31" spans="1:23" ht="18" customHeight="1" x14ac:dyDescent="0.2">
      <c r="B31" s="495" t="s">
        <v>1421</v>
      </c>
      <c r="C31" s="476"/>
      <c r="D31" s="3500" t="str">
        <f>D32</f>
        <v>NO</v>
      </c>
      <c r="E31" s="3505" t="str">
        <f t="shared" ref="E31:F31" si="40">E32</f>
        <v>NO</v>
      </c>
      <c r="F31" s="3506" t="str">
        <f t="shared" si="40"/>
        <v>NO</v>
      </c>
      <c r="G31" s="3500" t="str">
        <f t="shared" si="3"/>
        <v>NA</v>
      </c>
      <c r="H31" s="3057" t="str">
        <f t="shared" si="4"/>
        <v>NA</v>
      </c>
      <c r="I31" s="3057" t="str">
        <f t="shared" si="5"/>
        <v>NA</v>
      </c>
      <c r="J31" s="3057" t="str">
        <f t="shared" si="6"/>
        <v>NA</v>
      </c>
      <c r="K31" s="3514" t="str">
        <f t="shared" si="7"/>
        <v>NA</v>
      </c>
      <c r="L31" s="3106" t="str">
        <f t="shared" si="8"/>
        <v>NA</v>
      </c>
      <c r="M31" s="4170" t="str">
        <f t="shared" ref="M31:S31" si="41">M32</f>
        <v>NO</v>
      </c>
      <c r="N31" s="3057" t="str">
        <f t="shared" si="41"/>
        <v>NO</v>
      </c>
      <c r="O31" s="3057" t="str">
        <f t="shared" si="41"/>
        <v>NO</v>
      </c>
      <c r="P31" s="3057" t="str">
        <f t="shared" si="41"/>
        <v>NO</v>
      </c>
      <c r="Q31" s="3514" t="str">
        <f t="shared" si="41"/>
        <v>NO</v>
      </c>
      <c r="R31" s="3514" t="str">
        <f t="shared" si="41"/>
        <v>NO</v>
      </c>
      <c r="S31" s="3511" t="str">
        <f t="shared" si="41"/>
        <v>NO</v>
      </c>
      <c r="U31" s="4329"/>
    </row>
    <row r="32" spans="1:23" ht="18" customHeight="1" x14ac:dyDescent="0.2">
      <c r="B32" s="1478"/>
      <c r="C32" s="4330" t="s">
        <v>409</v>
      </c>
      <c r="D32" s="3500" t="str">
        <f>IF(SUM(E32:F32)=0,E32,SUM(E32:F32))</f>
        <v>NO</v>
      </c>
      <c r="E32" s="3510" t="s">
        <v>199</v>
      </c>
      <c r="F32" s="3510" t="s">
        <v>199</v>
      </c>
      <c r="G32" s="3545" t="str">
        <f t="shared" si="3"/>
        <v>NA</v>
      </c>
      <c r="H32" s="3531" t="str">
        <f t="shared" si="4"/>
        <v>NA</v>
      </c>
      <c r="I32" s="3546" t="str">
        <f t="shared" si="5"/>
        <v>NA</v>
      </c>
      <c r="J32" s="3531" t="str">
        <f t="shared" si="6"/>
        <v>NA</v>
      </c>
      <c r="K32" s="3531" t="str">
        <f t="shared" si="7"/>
        <v>NA</v>
      </c>
      <c r="L32" s="3535" t="str">
        <f t="shared" si="8"/>
        <v>NA</v>
      </c>
      <c r="M32" s="3510" t="s">
        <v>199</v>
      </c>
      <c r="N32" s="3510" t="s">
        <v>199</v>
      </c>
      <c r="O32" s="3087" t="str">
        <f t="shared" ref="O32" si="42">IF(SUM(M32:N32)=0,M32,SUM(M32:N32))</f>
        <v>NO</v>
      </c>
      <c r="P32" s="3510" t="s">
        <v>199</v>
      </c>
      <c r="Q32" s="3510" t="s">
        <v>199</v>
      </c>
      <c r="R32" s="3510" t="s">
        <v>199</v>
      </c>
      <c r="S32" s="3511" t="str">
        <f t="shared" ref="S32" si="43">IF(SUM(O32:R32)=0,Q32,SUM(O32:R32)*-44/12)</f>
        <v>NO</v>
      </c>
      <c r="U32" s="2426"/>
    </row>
    <row r="33" spans="2:21" ht="18" customHeight="1" x14ac:dyDescent="0.2">
      <c r="B33" s="495" t="s">
        <v>1422</v>
      </c>
      <c r="C33" s="476"/>
      <c r="D33" s="3500" t="str">
        <f>D34</f>
        <v>NO</v>
      </c>
      <c r="E33" s="3505" t="str">
        <f t="shared" ref="E33:F33" si="44">E34</f>
        <v>NO</v>
      </c>
      <c r="F33" s="3506" t="str">
        <f t="shared" si="44"/>
        <v>NO</v>
      </c>
      <c r="G33" s="3500" t="str">
        <f t="shared" si="3"/>
        <v>NA</v>
      </c>
      <c r="H33" s="3057" t="str">
        <f t="shared" si="4"/>
        <v>NA</v>
      </c>
      <c r="I33" s="3057" t="str">
        <f t="shared" si="5"/>
        <v>NA</v>
      </c>
      <c r="J33" s="3057" t="str">
        <f t="shared" si="6"/>
        <v>NA</v>
      </c>
      <c r="K33" s="3514" t="str">
        <f t="shared" si="7"/>
        <v>NA</v>
      </c>
      <c r="L33" s="3106" t="str">
        <f t="shared" si="8"/>
        <v>NA</v>
      </c>
      <c r="M33" s="4170" t="str">
        <f t="shared" ref="M33:S33" si="45">M34</f>
        <v>NO</v>
      </c>
      <c r="N33" s="3057" t="str">
        <f t="shared" si="45"/>
        <v>NO</v>
      </c>
      <c r="O33" s="3057" t="str">
        <f t="shared" si="45"/>
        <v>NO</v>
      </c>
      <c r="P33" s="3057" t="str">
        <f t="shared" si="45"/>
        <v>NO</v>
      </c>
      <c r="Q33" s="3514" t="str">
        <f t="shared" si="45"/>
        <v>NO</v>
      </c>
      <c r="R33" s="3514" t="str">
        <f t="shared" si="45"/>
        <v>NO</v>
      </c>
      <c r="S33" s="3511" t="str">
        <f t="shared" si="45"/>
        <v>NO</v>
      </c>
      <c r="U33" s="4329"/>
    </row>
    <row r="34" spans="2:21" ht="18" customHeight="1" x14ac:dyDescent="0.2">
      <c r="B34" s="1478"/>
      <c r="C34" s="4330" t="s">
        <v>409</v>
      </c>
      <c r="D34" s="3500" t="str">
        <f>IF(SUM(E34:F34)=0,E34,SUM(E34:F34))</f>
        <v>NO</v>
      </c>
      <c r="E34" s="3510" t="s">
        <v>199</v>
      </c>
      <c r="F34" s="3510" t="s">
        <v>199</v>
      </c>
      <c r="G34" s="3545" t="str">
        <f t="shared" si="3"/>
        <v>NA</v>
      </c>
      <c r="H34" s="3531" t="str">
        <f t="shared" si="4"/>
        <v>NA</v>
      </c>
      <c r="I34" s="3546" t="str">
        <f t="shared" si="5"/>
        <v>NA</v>
      </c>
      <c r="J34" s="3531" t="str">
        <f t="shared" si="6"/>
        <v>NA</v>
      </c>
      <c r="K34" s="3531" t="str">
        <f t="shared" si="7"/>
        <v>NA</v>
      </c>
      <c r="L34" s="3535" t="str">
        <f t="shared" si="8"/>
        <v>NA</v>
      </c>
      <c r="M34" s="3510" t="s">
        <v>199</v>
      </c>
      <c r="N34" s="3510" t="s">
        <v>199</v>
      </c>
      <c r="O34" s="3087" t="str">
        <f t="shared" ref="O34" si="46">IF(SUM(M34:N34)=0,M34,SUM(M34:N34))</f>
        <v>NO</v>
      </c>
      <c r="P34" s="3510" t="s">
        <v>199</v>
      </c>
      <c r="Q34" s="3510" t="s">
        <v>199</v>
      </c>
      <c r="R34" s="3510" t="s">
        <v>199</v>
      </c>
      <c r="S34" s="3511" t="str">
        <f t="shared" ref="S34" si="47">IF(SUM(O34:R34)=0,Q34,SUM(O34:R34)*-44/12)</f>
        <v>NO</v>
      </c>
      <c r="U34" s="2426"/>
    </row>
    <row r="35" spans="2:21" ht="18" customHeight="1" x14ac:dyDescent="0.2">
      <c r="B35" s="1472" t="s">
        <v>1423</v>
      </c>
      <c r="C35" s="476"/>
      <c r="D35" s="3529">
        <f>IF(SUM(D36,D38,D40,D42,D44)=0,"IE",SUM(D36,D38,D40,D42,D44))</f>
        <v>75.131607756082275</v>
      </c>
      <c r="E35" s="3531">
        <f>IF(SUM(E36,E38,E40,E42,E44)=0,"IE",SUM(E36,E38,E40,E42,E44))</f>
        <v>75.131607756082275</v>
      </c>
      <c r="F35" s="3535" t="str">
        <f>IF(SUM(F36,F38,F40,F42,F44)=0,"IE",SUM(F36,F38,F40,F42,F44))</f>
        <v>IE</v>
      </c>
      <c r="G35" s="3545" t="str">
        <f t="shared" si="3"/>
        <v>NA</v>
      </c>
      <c r="H35" s="3531">
        <f t="shared" si="4"/>
        <v>-0.50438277896664729</v>
      </c>
      <c r="I35" s="3546">
        <f t="shared" si="5"/>
        <v>-0.50438277896664729</v>
      </c>
      <c r="J35" s="3531" t="str">
        <f t="shared" si="6"/>
        <v>NA</v>
      </c>
      <c r="K35" s="3531" t="str">
        <f t="shared" si="7"/>
        <v>NA</v>
      </c>
      <c r="L35" s="3535" t="str">
        <f t="shared" si="8"/>
        <v>NA</v>
      </c>
      <c r="M35" s="3531" t="str">
        <f t="shared" ref="M35:S35" si="48">IF(SUM(M36,M38,M40,M42,M44)=0,"IE",SUM(M36,M38,M40,M42,M44))</f>
        <v>IE</v>
      </c>
      <c r="N35" s="3531">
        <f t="shared" si="48"/>
        <v>-37.895089108244889</v>
      </c>
      <c r="O35" s="3546">
        <f t="shared" si="48"/>
        <v>-37.895089108244889</v>
      </c>
      <c r="P35" s="3531" t="str">
        <f>IF(SUM(P36,P38,P40,P42,P44)=0,"NO",SUM(P36,P38,P40,P42,P44))</f>
        <v>NO</v>
      </c>
      <c r="Q35" s="3530" t="str">
        <f>IF(SUM(Q36,Q38,Q40,Q42,Q44)=0,"NO",SUM(Q36,Q38,Q40,Q42,Q44))</f>
        <v>NO</v>
      </c>
      <c r="R35" s="3530" t="str">
        <f>IF(SUM(R36,R38,R40,R42,R44)=0,"NO",SUM(R36,R38,R40,R42,R44))</f>
        <v>NO</v>
      </c>
      <c r="S35" s="3534">
        <f t="shared" si="48"/>
        <v>138.9486600635646</v>
      </c>
      <c r="U35" s="493"/>
    </row>
    <row r="36" spans="2:21" ht="18" customHeight="1" x14ac:dyDescent="0.2">
      <c r="B36" s="495" t="s">
        <v>1424</v>
      </c>
      <c r="C36" s="476"/>
      <c r="D36" s="3500">
        <f>D37</f>
        <v>75.131607756082275</v>
      </c>
      <c r="E36" s="3505">
        <f t="shared" ref="E36:F36" si="49">E37</f>
        <v>75.131607756082275</v>
      </c>
      <c r="F36" s="3506" t="str">
        <f t="shared" si="49"/>
        <v>IE</v>
      </c>
      <c r="G36" s="3500" t="str">
        <f t="shared" si="3"/>
        <v>NA</v>
      </c>
      <c r="H36" s="3057">
        <f t="shared" si="4"/>
        <v>-0.50438277896664729</v>
      </c>
      <c r="I36" s="3057">
        <f t="shared" si="5"/>
        <v>-0.50438277896664729</v>
      </c>
      <c r="J36" s="3057" t="str">
        <f t="shared" si="6"/>
        <v>NA</v>
      </c>
      <c r="K36" s="3514" t="str">
        <f t="shared" si="7"/>
        <v>NA</v>
      </c>
      <c r="L36" s="3106" t="str">
        <f t="shared" si="8"/>
        <v>NA</v>
      </c>
      <c r="M36" s="4170" t="str">
        <f t="shared" ref="M36:S36" si="50">M37</f>
        <v>IE</v>
      </c>
      <c r="N36" s="3057">
        <f t="shared" si="50"/>
        <v>-37.895089108244889</v>
      </c>
      <c r="O36" s="3057">
        <f t="shared" si="50"/>
        <v>-37.895089108244889</v>
      </c>
      <c r="P36" s="3057" t="str">
        <f t="shared" si="50"/>
        <v>NA</v>
      </c>
      <c r="Q36" s="3514" t="str">
        <f t="shared" si="50"/>
        <v>NA</v>
      </c>
      <c r="R36" s="3514" t="str">
        <f t="shared" si="50"/>
        <v>NA</v>
      </c>
      <c r="S36" s="3511">
        <f t="shared" si="50"/>
        <v>138.9486600635646</v>
      </c>
      <c r="U36" s="4329"/>
    </row>
    <row r="37" spans="2:21" ht="18" customHeight="1" x14ac:dyDescent="0.2">
      <c r="B37" s="1478"/>
      <c r="C37" s="4330" t="s">
        <v>409</v>
      </c>
      <c r="D37" s="3500">
        <f>IF(SUM(E37:F37)=0,E37,SUM(E37:F37))</f>
        <v>75.131607756082275</v>
      </c>
      <c r="E37" s="3510">
        <v>75.131607756082275</v>
      </c>
      <c r="F37" s="3496" t="s">
        <v>274</v>
      </c>
      <c r="G37" s="3545" t="str">
        <f t="shared" si="3"/>
        <v>NA</v>
      </c>
      <c r="H37" s="3531">
        <f t="shared" si="4"/>
        <v>-0.50438277896664729</v>
      </c>
      <c r="I37" s="3546">
        <f t="shared" si="5"/>
        <v>-0.50438277896664729</v>
      </c>
      <c r="J37" s="3531" t="str">
        <f t="shared" si="6"/>
        <v>NA</v>
      </c>
      <c r="K37" s="3531" t="str">
        <f t="shared" si="7"/>
        <v>NA</v>
      </c>
      <c r="L37" s="3535" t="str">
        <f t="shared" si="8"/>
        <v>NA</v>
      </c>
      <c r="M37" s="3547" t="s">
        <v>274</v>
      </c>
      <c r="N37" s="3548">
        <v>-37.895089108244889</v>
      </c>
      <c r="O37" s="3087">
        <f t="shared" ref="O37" si="51">IF(SUM(M37:N37)=0,M37,SUM(M37:N37))</f>
        <v>-37.895089108244889</v>
      </c>
      <c r="P37" s="3548" t="s">
        <v>205</v>
      </c>
      <c r="Q37" s="3549" t="s">
        <v>205</v>
      </c>
      <c r="R37" s="3549" t="s">
        <v>205</v>
      </c>
      <c r="S37" s="3511">
        <f t="shared" ref="S37" si="52">IF(SUM(O37:R37)=0,Q37,SUM(O37:R37)*-44/12)</f>
        <v>138.9486600635646</v>
      </c>
      <c r="U37" s="2426"/>
    </row>
    <row r="38" spans="2:21" ht="18" customHeight="1" x14ac:dyDescent="0.2">
      <c r="B38" s="495" t="s">
        <v>1425</v>
      </c>
      <c r="C38" s="476"/>
      <c r="D38" s="3500" t="str">
        <f>D39</f>
        <v>NO</v>
      </c>
      <c r="E38" s="3505" t="str">
        <f t="shared" ref="E38:F38" si="53">E39</f>
        <v>NO</v>
      </c>
      <c r="F38" s="3506" t="str">
        <f t="shared" si="53"/>
        <v>NO</v>
      </c>
      <c r="G38" s="3500" t="str">
        <f t="shared" si="3"/>
        <v>NA</v>
      </c>
      <c r="H38" s="3057" t="str">
        <f t="shared" si="4"/>
        <v>NA</v>
      </c>
      <c r="I38" s="3057" t="str">
        <f t="shared" si="5"/>
        <v>NA</v>
      </c>
      <c r="J38" s="3057" t="str">
        <f t="shared" si="6"/>
        <v>NA</v>
      </c>
      <c r="K38" s="3514" t="str">
        <f t="shared" si="7"/>
        <v>NA</v>
      </c>
      <c r="L38" s="3106" t="str">
        <f t="shared" si="8"/>
        <v>NA</v>
      </c>
      <c r="M38" s="4170" t="str">
        <f t="shared" ref="M38:S38" si="54">M39</f>
        <v>NO</v>
      </c>
      <c r="N38" s="3057" t="str">
        <f t="shared" si="54"/>
        <v>NO</v>
      </c>
      <c r="O38" s="3057" t="str">
        <f t="shared" si="54"/>
        <v>NO</v>
      </c>
      <c r="P38" s="3057" t="str">
        <f t="shared" si="54"/>
        <v>NO</v>
      </c>
      <c r="Q38" s="3514" t="str">
        <f t="shared" si="54"/>
        <v>NO</v>
      </c>
      <c r="R38" s="3514" t="str">
        <f t="shared" si="54"/>
        <v>NO</v>
      </c>
      <c r="S38" s="3511" t="str">
        <f t="shared" si="54"/>
        <v>NO</v>
      </c>
      <c r="U38" s="4329"/>
    </row>
    <row r="39" spans="2:21" ht="18" customHeight="1" x14ac:dyDescent="0.2">
      <c r="B39" s="1478"/>
      <c r="C39" s="4330" t="s">
        <v>409</v>
      </c>
      <c r="D39" s="3500" t="str">
        <f>IF(SUM(E39:F39)=0,E39,SUM(E39:F39))</f>
        <v>NO</v>
      </c>
      <c r="E39" s="3510" t="s">
        <v>199</v>
      </c>
      <c r="F39" s="3496" t="s">
        <v>199</v>
      </c>
      <c r="G39" s="3545" t="str">
        <f t="shared" si="3"/>
        <v>NA</v>
      </c>
      <c r="H39" s="3531" t="str">
        <f t="shared" si="4"/>
        <v>NA</v>
      </c>
      <c r="I39" s="3546" t="str">
        <f t="shared" si="5"/>
        <v>NA</v>
      </c>
      <c r="J39" s="3531" t="str">
        <f t="shared" si="6"/>
        <v>NA</v>
      </c>
      <c r="K39" s="3531" t="str">
        <f t="shared" si="7"/>
        <v>NA</v>
      </c>
      <c r="L39" s="3535" t="str">
        <f t="shared" si="8"/>
        <v>NA</v>
      </c>
      <c r="M39" s="3510" t="s">
        <v>199</v>
      </c>
      <c r="N39" s="3510" t="s">
        <v>199</v>
      </c>
      <c r="O39" s="3087" t="str">
        <f t="shared" ref="O39" si="55">IF(SUM(M39:N39)=0,M39,SUM(M39:N39))</f>
        <v>NO</v>
      </c>
      <c r="P39" s="3510" t="s">
        <v>199</v>
      </c>
      <c r="Q39" s="3510" t="s">
        <v>199</v>
      </c>
      <c r="R39" s="3510" t="s">
        <v>199</v>
      </c>
      <c r="S39" s="3511" t="str">
        <f t="shared" ref="S39" si="56">IF(SUM(O39:R39)=0,Q39,SUM(O39:R39)*-44/12)</f>
        <v>NO</v>
      </c>
      <c r="U39" s="2426"/>
    </row>
    <row r="40" spans="2:21" ht="18" customHeight="1" x14ac:dyDescent="0.2">
      <c r="B40" s="495" t="s">
        <v>1426</v>
      </c>
      <c r="C40" s="476"/>
      <c r="D40" s="3500" t="str">
        <f>D41</f>
        <v>NO</v>
      </c>
      <c r="E40" s="3505" t="str">
        <f t="shared" ref="E40:F40" si="57">E41</f>
        <v>NO</v>
      </c>
      <c r="F40" s="3506" t="str">
        <f t="shared" si="57"/>
        <v>NO</v>
      </c>
      <c r="G40" s="3500" t="str">
        <f t="shared" si="3"/>
        <v>NA</v>
      </c>
      <c r="H40" s="3057" t="str">
        <f t="shared" si="4"/>
        <v>NA</v>
      </c>
      <c r="I40" s="3057" t="str">
        <f t="shared" si="5"/>
        <v>NA</v>
      </c>
      <c r="J40" s="3057" t="str">
        <f t="shared" si="6"/>
        <v>NA</v>
      </c>
      <c r="K40" s="3514" t="str">
        <f t="shared" si="7"/>
        <v>NA</v>
      </c>
      <c r="L40" s="3106" t="str">
        <f t="shared" si="8"/>
        <v>NA</v>
      </c>
      <c r="M40" s="4170" t="str">
        <f t="shared" ref="M40:S40" si="58">M41</f>
        <v>NO</v>
      </c>
      <c r="N40" s="3057" t="str">
        <f t="shared" si="58"/>
        <v>NO</v>
      </c>
      <c r="O40" s="3057" t="str">
        <f t="shared" si="58"/>
        <v>NO</v>
      </c>
      <c r="P40" s="3057" t="str">
        <f t="shared" si="58"/>
        <v>NO</v>
      </c>
      <c r="Q40" s="3514" t="str">
        <f t="shared" si="58"/>
        <v>NO</v>
      </c>
      <c r="R40" s="3514" t="str">
        <f t="shared" si="58"/>
        <v>NO</v>
      </c>
      <c r="S40" s="3511" t="str">
        <f t="shared" si="58"/>
        <v>NO</v>
      </c>
      <c r="U40" s="4329"/>
    </row>
    <row r="41" spans="2:21" ht="18" customHeight="1" x14ac:dyDescent="0.2">
      <c r="B41" s="1478"/>
      <c r="C41" s="4330" t="s">
        <v>409</v>
      </c>
      <c r="D41" s="3500" t="str">
        <f>IF(SUM(E41:F41)=0,E41,SUM(E41:F41))</f>
        <v>NO</v>
      </c>
      <c r="E41" s="3510" t="s">
        <v>199</v>
      </c>
      <c r="F41" s="3496" t="s">
        <v>199</v>
      </c>
      <c r="G41" s="3545" t="str">
        <f t="shared" si="3"/>
        <v>NA</v>
      </c>
      <c r="H41" s="3531" t="str">
        <f t="shared" si="4"/>
        <v>NA</v>
      </c>
      <c r="I41" s="3546" t="str">
        <f t="shared" si="5"/>
        <v>NA</v>
      </c>
      <c r="J41" s="3531" t="str">
        <f t="shared" si="6"/>
        <v>NA</v>
      </c>
      <c r="K41" s="3531" t="str">
        <f t="shared" si="7"/>
        <v>NA</v>
      </c>
      <c r="L41" s="3535" t="str">
        <f t="shared" si="8"/>
        <v>NA</v>
      </c>
      <c r="M41" s="3510" t="s">
        <v>199</v>
      </c>
      <c r="N41" s="3510" t="s">
        <v>199</v>
      </c>
      <c r="O41" s="3087" t="str">
        <f t="shared" ref="O41" si="59">IF(SUM(M41:N41)=0,M41,SUM(M41:N41))</f>
        <v>NO</v>
      </c>
      <c r="P41" s="3510" t="s">
        <v>199</v>
      </c>
      <c r="Q41" s="3510" t="s">
        <v>199</v>
      </c>
      <c r="R41" s="3510" t="s">
        <v>199</v>
      </c>
      <c r="S41" s="3511" t="str">
        <f t="shared" ref="S41" si="60">IF(SUM(O41:R41)=0,Q41,SUM(O41:R41)*-44/12)</f>
        <v>NO</v>
      </c>
      <c r="U41" s="2426"/>
    </row>
    <row r="42" spans="2:21" ht="18" customHeight="1" x14ac:dyDescent="0.2">
      <c r="B42" s="495" t="s">
        <v>1427</v>
      </c>
      <c r="C42" s="476"/>
      <c r="D42" s="3500" t="str">
        <f>D43</f>
        <v>NO</v>
      </c>
      <c r="E42" s="3505" t="str">
        <f t="shared" ref="E42:F42" si="61">E43</f>
        <v>NO</v>
      </c>
      <c r="F42" s="3506" t="str">
        <f t="shared" si="61"/>
        <v>NO</v>
      </c>
      <c r="G42" s="3500" t="str">
        <f t="shared" si="3"/>
        <v>NA</v>
      </c>
      <c r="H42" s="3057" t="str">
        <f t="shared" si="4"/>
        <v>NA</v>
      </c>
      <c r="I42" s="3057" t="str">
        <f t="shared" si="5"/>
        <v>NA</v>
      </c>
      <c r="J42" s="3057" t="str">
        <f t="shared" si="6"/>
        <v>NA</v>
      </c>
      <c r="K42" s="3514" t="str">
        <f t="shared" si="7"/>
        <v>NA</v>
      </c>
      <c r="L42" s="3106" t="str">
        <f t="shared" si="8"/>
        <v>NA</v>
      </c>
      <c r="M42" s="4170" t="str">
        <f t="shared" ref="M42:S42" si="62">M43</f>
        <v>NO</v>
      </c>
      <c r="N42" s="3057" t="str">
        <f t="shared" si="62"/>
        <v>NO</v>
      </c>
      <c r="O42" s="3057" t="str">
        <f t="shared" si="62"/>
        <v>NO</v>
      </c>
      <c r="P42" s="3057" t="str">
        <f t="shared" si="62"/>
        <v>NO</v>
      </c>
      <c r="Q42" s="3514" t="str">
        <f t="shared" si="62"/>
        <v>NO</v>
      </c>
      <c r="R42" s="3514" t="str">
        <f t="shared" si="62"/>
        <v>NO</v>
      </c>
      <c r="S42" s="3511" t="str">
        <f t="shared" si="62"/>
        <v>NO</v>
      </c>
      <c r="U42" s="4329"/>
    </row>
    <row r="43" spans="2:21" ht="18" customHeight="1" x14ac:dyDescent="0.2">
      <c r="B43" s="1478"/>
      <c r="C43" s="4330" t="s">
        <v>409</v>
      </c>
      <c r="D43" s="3500" t="str">
        <f>IF(SUM(E43:F43)=0,E43,SUM(E43:F43))</f>
        <v>NO</v>
      </c>
      <c r="E43" s="3510" t="s">
        <v>199</v>
      </c>
      <c r="F43" s="3496" t="s">
        <v>199</v>
      </c>
      <c r="G43" s="3545" t="str">
        <f t="shared" si="3"/>
        <v>NA</v>
      </c>
      <c r="H43" s="3531" t="str">
        <f t="shared" si="4"/>
        <v>NA</v>
      </c>
      <c r="I43" s="3546" t="str">
        <f t="shared" si="5"/>
        <v>NA</v>
      </c>
      <c r="J43" s="3531" t="str">
        <f t="shared" si="6"/>
        <v>NA</v>
      </c>
      <c r="K43" s="3531" t="str">
        <f t="shared" si="7"/>
        <v>NA</v>
      </c>
      <c r="L43" s="3535" t="str">
        <f t="shared" si="8"/>
        <v>NA</v>
      </c>
      <c r="M43" s="3510" t="s">
        <v>199</v>
      </c>
      <c r="N43" s="3510" t="s">
        <v>199</v>
      </c>
      <c r="O43" s="3087" t="str">
        <f t="shared" ref="O43" si="63">IF(SUM(M43:N43)=0,M43,SUM(M43:N43))</f>
        <v>NO</v>
      </c>
      <c r="P43" s="3510" t="s">
        <v>199</v>
      </c>
      <c r="Q43" s="3510" t="s">
        <v>199</v>
      </c>
      <c r="R43" s="3510" t="s">
        <v>199</v>
      </c>
      <c r="S43" s="3511" t="str">
        <f t="shared" ref="S43" si="64">IF(SUM(O43:R43)=0,Q43,SUM(O43:R43)*-44/12)</f>
        <v>NO</v>
      </c>
      <c r="U43" s="2426"/>
    </row>
    <row r="44" spans="2:21" ht="18" customHeight="1" x14ac:dyDescent="0.2">
      <c r="B44" s="495" t="s">
        <v>1428</v>
      </c>
      <c r="C44" s="476"/>
      <c r="D44" s="3500" t="str">
        <f>D45</f>
        <v>NO</v>
      </c>
      <c r="E44" s="3505" t="str">
        <f t="shared" ref="E44:F44" si="65">E45</f>
        <v>NO</v>
      </c>
      <c r="F44" s="3506" t="str">
        <f t="shared" si="65"/>
        <v>NO</v>
      </c>
      <c r="G44" s="3500" t="str">
        <f t="shared" si="3"/>
        <v>NA</v>
      </c>
      <c r="H44" s="3057" t="str">
        <f t="shared" si="4"/>
        <v>NA</v>
      </c>
      <c r="I44" s="3057" t="str">
        <f t="shared" si="5"/>
        <v>NA</v>
      </c>
      <c r="J44" s="3057" t="str">
        <f t="shared" si="6"/>
        <v>NA</v>
      </c>
      <c r="K44" s="3514" t="str">
        <f t="shared" si="7"/>
        <v>NA</v>
      </c>
      <c r="L44" s="3106" t="str">
        <f t="shared" si="8"/>
        <v>NA</v>
      </c>
      <c r="M44" s="4170" t="str">
        <f t="shared" ref="M44:S44" si="66">M45</f>
        <v>NO</v>
      </c>
      <c r="N44" s="3057" t="str">
        <f t="shared" si="66"/>
        <v>NO</v>
      </c>
      <c r="O44" s="3057" t="str">
        <f t="shared" si="66"/>
        <v>NO</v>
      </c>
      <c r="P44" s="3057" t="str">
        <f t="shared" si="66"/>
        <v>NO</v>
      </c>
      <c r="Q44" s="3514" t="str">
        <f t="shared" si="66"/>
        <v>NO</v>
      </c>
      <c r="R44" s="3514" t="str">
        <f t="shared" si="66"/>
        <v>NO</v>
      </c>
      <c r="S44" s="3511" t="str">
        <f t="shared" si="66"/>
        <v>NO</v>
      </c>
      <c r="U44" s="4329"/>
    </row>
    <row r="45" spans="2:21" ht="18" customHeight="1" x14ac:dyDescent="0.2">
      <c r="B45" s="1478"/>
      <c r="C45" s="4330" t="s">
        <v>409</v>
      </c>
      <c r="D45" s="3500" t="str">
        <f>IF(SUM(E45:F45)=0,E45,SUM(E45:F45))</f>
        <v>NO</v>
      </c>
      <c r="E45" s="3510" t="s">
        <v>199</v>
      </c>
      <c r="F45" s="3496" t="s">
        <v>199</v>
      </c>
      <c r="G45" s="3545" t="str">
        <f t="shared" si="3"/>
        <v>NA</v>
      </c>
      <c r="H45" s="3531" t="str">
        <f t="shared" si="4"/>
        <v>NA</v>
      </c>
      <c r="I45" s="3546" t="str">
        <f t="shared" si="5"/>
        <v>NA</v>
      </c>
      <c r="J45" s="3531" t="str">
        <f t="shared" si="6"/>
        <v>NA</v>
      </c>
      <c r="K45" s="3531" t="str">
        <f t="shared" si="7"/>
        <v>NA</v>
      </c>
      <c r="L45" s="3535" t="str">
        <f t="shared" si="8"/>
        <v>NA</v>
      </c>
      <c r="M45" s="3510" t="s">
        <v>199</v>
      </c>
      <c r="N45" s="3510" t="s">
        <v>199</v>
      </c>
      <c r="O45" s="3087" t="str">
        <f t="shared" ref="O45" si="67">IF(SUM(M45:N45)=0,M45,SUM(M45:N45))</f>
        <v>NO</v>
      </c>
      <c r="P45" s="3510" t="s">
        <v>199</v>
      </c>
      <c r="Q45" s="3510" t="s">
        <v>199</v>
      </c>
      <c r="R45" s="3510" t="s">
        <v>199</v>
      </c>
      <c r="S45" s="3511" t="str">
        <f t="shared" ref="S45" si="68">IF(SUM(O45:R45)=0,Q45,SUM(O45:R45)*-44/12)</f>
        <v>NO</v>
      </c>
      <c r="U45" s="2426"/>
    </row>
    <row r="46" spans="2:21" ht="18" customHeight="1" x14ac:dyDescent="0.2">
      <c r="B46" s="1472" t="s">
        <v>1429</v>
      </c>
      <c r="C46" s="476"/>
      <c r="D46" s="3529" t="str">
        <f>IF(SUM(D47,D49,D51,D53,D55)=0,"NO",SUM(D47,D49,D51,D53,D55))</f>
        <v>NO</v>
      </c>
      <c r="E46" s="3531" t="str">
        <f t="shared" ref="E46:F46" si="69">IF(SUM(E47,E49,E51,E53,E55)=0,"NO",SUM(E47,E49,E51,E53,E55))</f>
        <v>NO</v>
      </c>
      <c r="F46" s="3535" t="str">
        <f t="shared" si="69"/>
        <v>NO</v>
      </c>
      <c r="G46" s="3545" t="str">
        <f t="shared" si="3"/>
        <v>NA</v>
      </c>
      <c r="H46" s="3531" t="str">
        <f t="shared" si="4"/>
        <v>NA</v>
      </c>
      <c r="I46" s="3546" t="str">
        <f t="shared" si="5"/>
        <v>NA</v>
      </c>
      <c r="J46" s="3531" t="str">
        <f t="shared" si="6"/>
        <v>NA</v>
      </c>
      <c r="K46" s="3531" t="str">
        <f t="shared" si="7"/>
        <v>NA</v>
      </c>
      <c r="L46" s="3535" t="str">
        <f t="shared" si="8"/>
        <v>NA</v>
      </c>
      <c r="M46" s="3531" t="str">
        <f t="shared" ref="M46:Q46" si="70">IF(SUM(M47,M49,M51,M53,M55)=0,"NO",SUM(M47,M49,M51,M53,M55))</f>
        <v>NO</v>
      </c>
      <c r="N46" s="3531" t="str">
        <f t="shared" si="70"/>
        <v>NO</v>
      </c>
      <c r="O46" s="3546" t="str">
        <f t="shared" si="70"/>
        <v>NO</v>
      </c>
      <c r="P46" s="3531" t="str">
        <f t="shared" si="70"/>
        <v>NO</v>
      </c>
      <c r="Q46" s="3530" t="str">
        <f t="shared" si="70"/>
        <v>NO</v>
      </c>
      <c r="R46" s="3530" t="str">
        <f>IF(SUM(R47,R49,R51,R53,R55)=0,"NO",SUM(R47,R49,R51,R53,R55))</f>
        <v>NO</v>
      </c>
      <c r="S46" s="3534" t="s">
        <v>199</v>
      </c>
      <c r="U46" s="493"/>
    </row>
    <row r="47" spans="2:21" ht="18" customHeight="1" x14ac:dyDescent="0.2">
      <c r="B47" s="495" t="s">
        <v>1430</v>
      </c>
      <c r="C47" s="476"/>
      <c r="D47" s="3500" t="str">
        <f>D48</f>
        <v>NO</v>
      </c>
      <c r="E47" s="3505" t="str">
        <f t="shared" ref="E47:F47" si="71">E48</f>
        <v>NO</v>
      </c>
      <c r="F47" s="3506" t="str">
        <f t="shared" si="71"/>
        <v>NO</v>
      </c>
      <c r="G47" s="3500" t="str">
        <f t="shared" si="3"/>
        <v>NA</v>
      </c>
      <c r="H47" s="3057" t="str">
        <f t="shared" si="4"/>
        <v>NA</v>
      </c>
      <c r="I47" s="3057" t="str">
        <f t="shared" si="5"/>
        <v>NA</v>
      </c>
      <c r="J47" s="3057" t="str">
        <f t="shared" si="6"/>
        <v>NA</v>
      </c>
      <c r="K47" s="3514" t="str">
        <f t="shared" si="7"/>
        <v>NA</v>
      </c>
      <c r="L47" s="3106" t="str">
        <f t="shared" si="8"/>
        <v>NA</v>
      </c>
      <c r="M47" s="4170" t="str">
        <f t="shared" ref="M47:S47" si="72">M48</f>
        <v>NO</v>
      </c>
      <c r="N47" s="3057" t="str">
        <f t="shared" si="72"/>
        <v>NO</v>
      </c>
      <c r="O47" s="3057" t="str">
        <f t="shared" si="72"/>
        <v>NO</v>
      </c>
      <c r="P47" s="3057" t="str">
        <f t="shared" si="72"/>
        <v>NO</v>
      </c>
      <c r="Q47" s="3514" t="str">
        <f t="shared" si="72"/>
        <v>NO</v>
      </c>
      <c r="R47" s="3514" t="str">
        <f t="shared" si="72"/>
        <v>NO</v>
      </c>
      <c r="S47" s="3511" t="str">
        <f t="shared" si="72"/>
        <v>NO</v>
      </c>
      <c r="U47" s="4329"/>
    </row>
    <row r="48" spans="2:21" ht="18" customHeight="1" x14ac:dyDescent="0.2">
      <c r="B48" s="1478"/>
      <c r="C48" s="4330" t="s">
        <v>409</v>
      </c>
      <c r="D48" s="3500" t="str">
        <f>IF(SUM(E48:F48)=0,E48,SUM(E48:F48))</f>
        <v>NO</v>
      </c>
      <c r="E48" s="3510" t="s">
        <v>199</v>
      </c>
      <c r="F48" s="3496" t="s">
        <v>199</v>
      </c>
      <c r="G48" s="3545" t="str">
        <f t="shared" si="3"/>
        <v>NA</v>
      </c>
      <c r="H48" s="3531" t="str">
        <f t="shared" si="4"/>
        <v>NA</v>
      </c>
      <c r="I48" s="3546" t="str">
        <f t="shared" si="5"/>
        <v>NA</v>
      </c>
      <c r="J48" s="3531" t="str">
        <f t="shared" si="6"/>
        <v>NA</v>
      </c>
      <c r="K48" s="3531" t="str">
        <f t="shared" si="7"/>
        <v>NA</v>
      </c>
      <c r="L48" s="3535" t="str">
        <f t="shared" si="8"/>
        <v>NA</v>
      </c>
      <c r="M48" s="3547" t="s">
        <v>199</v>
      </c>
      <c r="N48" s="3548" t="s">
        <v>199</v>
      </c>
      <c r="O48" s="3087" t="str">
        <f t="shared" ref="O48" si="73">IF(SUM(M48:N48)=0,M48,SUM(M48:N48))</f>
        <v>NO</v>
      </c>
      <c r="P48" s="3548" t="s">
        <v>199</v>
      </c>
      <c r="Q48" s="3549" t="s">
        <v>199</v>
      </c>
      <c r="R48" s="3549" t="s">
        <v>199</v>
      </c>
      <c r="S48" s="3511" t="str">
        <f t="shared" ref="S48" si="74">IF(SUM(O48:R48)=0,Q48,SUM(O48:R48)*-44/12)</f>
        <v>NO</v>
      </c>
      <c r="U48" s="2426"/>
    </row>
    <row r="49" spans="2:21" ht="18" customHeight="1" x14ac:dyDescent="0.2">
      <c r="B49" s="495" t="s">
        <v>1431</v>
      </c>
      <c r="C49" s="476"/>
      <c r="D49" s="3500" t="str">
        <f>D50</f>
        <v>NO</v>
      </c>
      <c r="E49" s="3505" t="str">
        <f t="shared" ref="E49:F49" si="75">E50</f>
        <v>NO</v>
      </c>
      <c r="F49" s="3506" t="str">
        <f t="shared" si="75"/>
        <v>NO</v>
      </c>
      <c r="G49" s="3500" t="str">
        <f t="shared" si="3"/>
        <v>NA</v>
      </c>
      <c r="H49" s="3057" t="str">
        <f t="shared" si="4"/>
        <v>NA</v>
      </c>
      <c r="I49" s="3057" t="str">
        <f t="shared" si="5"/>
        <v>NA</v>
      </c>
      <c r="J49" s="3057" t="str">
        <f t="shared" si="6"/>
        <v>NA</v>
      </c>
      <c r="K49" s="3514" t="str">
        <f t="shared" si="7"/>
        <v>NA</v>
      </c>
      <c r="L49" s="3106" t="str">
        <f t="shared" si="8"/>
        <v>NA</v>
      </c>
      <c r="M49" s="4170" t="str">
        <f t="shared" ref="M49:S49" si="76">M50</f>
        <v>NO</v>
      </c>
      <c r="N49" s="3057" t="str">
        <f t="shared" si="76"/>
        <v>NO</v>
      </c>
      <c r="O49" s="3057" t="str">
        <f t="shared" si="76"/>
        <v>NO</v>
      </c>
      <c r="P49" s="3057" t="str">
        <f t="shared" si="76"/>
        <v>NO</v>
      </c>
      <c r="Q49" s="3514" t="str">
        <f t="shared" si="76"/>
        <v>NO</v>
      </c>
      <c r="R49" s="3514" t="str">
        <f t="shared" si="76"/>
        <v>NO</v>
      </c>
      <c r="S49" s="3511" t="str">
        <f t="shared" si="76"/>
        <v>NO</v>
      </c>
      <c r="U49" s="4329"/>
    </row>
    <row r="50" spans="2:21" ht="18" customHeight="1" x14ac:dyDescent="0.2">
      <c r="B50" s="1478"/>
      <c r="C50" s="4330" t="s">
        <v>409</v>
      </c>
      <c r="D50" s="3500" t="str">
        <f>IF(SUM(E50:F50)=0,E50,SUM(E50:F50))</f>
        <v>NO</v>
      </c>
      <c r="E50" s="3510" t="s">
        <v>199</v>
      </c>
      <c r="F50" s="3496" t="s">
        <v>199</v>
      </c>
      <c r="G50" s="3545" t="str">
        <f t="shared" si="3"/>
        <v>NA</v>
      </c>
      <c r="H50" s="3531" t="str">
        <f t="shared" si="4"/>
        <v>NA</v>
      </c>
      <c r="I50" s="3546" t="str">
        <f t="shared" si="5"/>
        <v>NA</v>
      </c>
      <c r="J50" s="3531" t="str">
        <f t="shared" si="6"/>
        <v>NA</v>
      </c>
      <c r="K50" s="3531" t="str">
        <f t="shared" si="7"/>
        <v>NA</v>
      </c>
      <c r="L50" s="3535" t="str">
        <f t="shared" si="8"/>
        <v>NA</v>
      </c>
      <c r="M50" s="3510" t="s">
        <v>199</v>
      </c>
      <c r="N50" s="3510" t="s">
        <v>199</v>
      </c>
      <c r="O50" s="3087" t="str">
        <f t="shared" ref="O50" si="77">IF(SUM(M50:N50)=0,M50,SUM(M50:N50))</f>
        <v>NO</v>
      </c>
      <c r="P50" s="3510" t="s">
        <v>199</v>
      </c>
      <c r="Q50" s="3510" t="s">
        <v>199</v>
      </c>
      <c r="R50" s="3510" t="s">
        <v>199</v>
      </c>
      <c r="S50" s="3511" t="str">
        <f t="shared" ref="S50" si="78">IF(SUM(O50:R50)=0,Q50,SUM(O50:R50)*-44/12)</f>
        <v>NO</v>
      </c>
      <c r="U50" s="2426"/>
    </row>
    <row r="51" spans="2:21" ht="18" customHeight="1" x14ac:dyDescent="0.2">
      <c r="B51" s="495" t="s">
        <v>1432</v>
      </c>
      <c r="C51" s="476"/>
      <c r="D51" s="3500" t="str">
        <f>D52</f>
        <v>NO</v>
      </c>
      <c r="E51" s="3505" t="str">
        <f t="shared" ref="E51:F51" si="79">E52</f>
        <v>NO</v>
      </c>
      <c r="F51" s="3506" t="str">
        <f t="shared" si="79"/>
        <v>NO</v>
      </c>
      <c r="G51" s="3500" t="str">
        <f t="shared" si="3"/>
        <v>NA</v>
      </c>
      <c r="H51" s="3057" t="str">
        <f t="shared" si="4"/>
        <v>NA</v>
      </c>
      <c r="I51" s="3057" t="str">
        <f t="shared" si="5"/>
        <v>NA</v>
      </c>
      <c r="J51" s="3057" t="str">
        <f t="shared" si="6"/>
        <v>NA</v>
      </c>
      <c r="K51" s="3514" t="str">
        <f t="shared" si="7"/>
        <v>NA</v>
      </c>
      <c r="L51" s="3106" t="str">
        <f t="shared" si="8"/>
        <v>NA</v>
      </c>
      <c r="M51" s="4170" t="str">
        <f t="shared" ref="M51:S51" si="80">M52</f>
        <v>NO</v>
      </c>
      <c r="N51" s="3057" t="str">
        <f t="shared" si="80"/>
        <v>NO</v>
      </c>
      <c r="O51" s="3057" t="str">
        <f t="shared" si="80"/>
        <v>NO</v>
      </c>
      <c r="P51" s="3057" t="str">
        <f t="shared" si="80"/>
        <v>NO</v>
      </c>
      <c r="Q51" s="3514" t="str">
        <f t="shared" si="80"/>
        <v>NO</v>
      </c>
      <c r="R51" s="3514" t="str">
        <f t="shared" si="80"/>
        <v>NO</v>
      </c>
      <c r="S51" s="3511" t="str">
        <f t="shared" si="80"/>
        <v>NO</v>
      </c>
      <c r="U51" s="4329"/>
    </row>
    <row r="52" spans="2:21" ht="18" customHeight="1" x14ac:dyDescent="0.2">
      <c r="B52" s="1478"/>
      <c r="C52" s="4330" t="s">
        <v>409</v>
      </c>
      <c r="D52" s="3500" t="str">
        <f>IF(SUM(E52:F52)=0,E52,SUM(E52:F52))</f>
        <v>NO</v>
      </c>
      <c r="E52" s="3510" t="s">
        <v>199</v>
      </c>
      <c r="F52" s="3496" t="s">
        <v>199</v>
      </c>
      <c r="G52" s="3545" t="str">
        <f t="shared" si="3"/>
        <v>NA</v>
      </c>
      <c r="H52" s="3531" t="str">
        <f t="shared" si="4"/>
        <v>NA</v>
      </c>
      <c r="I52" s="3546" t="str">
        <f t="shared" si="5"/>
        <v>NA</v>
      </c>
      <c r="J52" s="3531" t="str">
        <f t="shared" si="6"/>
        <v>NA</v>
      </c>
      <c r="K52" s="3531" t="str">
        <f t="shared" si="7"/>
        <v>NA</v>
      </c>
      <c r="L52" s="3535" t="str">
        <f t="shared" si="8"/>
        <v>NA</v>
      </c>
      <c r="M52" s="3510" t="s">
        <v>199</v>
      </c>
      <c r="N52" s="3510" t="s">
        <v>199</v>
      </c>
      <c r="O52" s="3087" t="str">
        <f t="shared" ref="O52" si="81">IF(SUM(M52:N52)=0,M52,SUM(M52:N52))</f>
        <v>NO</v>
      </c>
      <c r="P52" s="3510" t="s">
        <v>199</v>
      </c>
      <c r="Q52" s="3510" t="s">
        <v>199</v>
      </c>
      <c r="R52" s="3510" t="s">
        <v>199</v>
      </c>
      <c r="S52" s="3511" t="str">
        <f t="shared" ref="S52" si="82">IF(SUM(O52:R52)=0,Q52,SUM(O52:R52)*-44/12)</f>
        <v>NO</v>
      </c>
      <c r="U52" s="2426"/>
    </row>
    <row r="53" spans="2:21" ht="18" customHeight="1" x14ac:dyDescent="0.2">
      <c r="B53" s="495" t="s">
        <v>1433</v>
      </c>
      <c r="C53" s="476"/>
      <c r="D53" s="3500" t="str">
        <f>D54</f>
        <v>NO</v>
      </c>
      <c r="E53" s="3505" t="str">
        <f t="shared" ref="E53:F53" si="83">E54</f>
        <v>NO</v>
      </c>
      <c r="F53" s="3506" t="str">
        <f t="shared" si="83"/>
        <v>NO</v>
      </c>
      <c r="G53" s="3500" t="str">
        <f t="shared" si="3"/>
        <v>NA</v>
      </c>
      <c r="H53" s="3057" t="str">
        <f t="shared" si="4"/>
        <v>NA</v>
      </c>
      <c r="I53" s="3057" t="str">
        <f t="shared" si="5"/>
        <v>NA</v>
      </c>
      <c r="J53" s="3057" t="str">
        <f t="shared" si="6"/>
        <v>NA</v>
      </c>
      <c r="K53" s="3514" t="str">
        <f t="shared" si="7"/>
        <v>NA</v>
      </c>
      <c r="L53" s="3106" t="str">
        <f t="shared" si="8"/>
        <v>NA</v>
      </c>
      <c r="M53" s="4170" t="str">
        <f t="shared" ref="M53:S53" si="84">M54</f>
        <v>NO</v>
      </c>
      <c r="N53" s="3057" t="str">
        <f t="shared" si="84"/>
        <v>NO</v>
      </c>
      <c r="O53" s="3057" t="str">
        <f t="shared" si="84"/>
        <v>NO</v>
      </c>
      <c r="P53" s="3057" t="str">
        <f t="shared" si="84"/>
        <v>NO</v>
      </c>
      <c r="Q53" s="3514" t="str">
        <f t="shared" si="84"/>
        <v>NO</v>
      </c>
      <c r="R53" s="3514" t="str">
        <f t="shared" si="84"/>
        <v>NO</v>
      </c>
      <c r="S53" s="3511" t="str">
        <f t="shared" si="84"/>
        <v>NO</v>
      </c>
      <c r="U53" s="4329"/>
    </row>
    <row r="54" spans="2:21" ht="18" customHeight="1" x14ac:dyDescent="0.2">
      <c r="B54" s="1478"/>
      <c r="C54" s="4330" t="s">
        <v>409</v>
      </c>
      <c r="D54" s="3500" t="str">
        <f>IF(SUM(E54:F54)=0,E54,SUM(E54:F54))</f>
        <v>NO</v>
      </c>
      <c r="E54" s="3510" t="s">
        <v>199</v>
      </c>
      <c r="F54" s="3496" t="s">
        <v>199</v>
      </c>
      <c r="G54" s="3545" t="str">
        <f t="shared" si="3"/>
        <v>NA</v>
      </c>
      <c r="H54" s="3531" t="str">
        <f t="shared" si="4"/>
        <v>NA</v>
      </c>
      <c r="I54" s="3546" t="str">
        <f t="shared" si="5"/>
        <v>NA</v>
      </c>
      <c r="J54" s="3531" t="str">
        <f t="shared" si="6"/>
        <v>NA</v>
      </c>
      <c r="K54" s="3531" t="str">
        <f t="shared" si="7"/>
        <v>NA</v>
      </c>
      <c r="L54" s="3535" t="str">
        <f t="shared" si="8"/>
        <v>NA</v>
      </c>
      <c r="M54" s="3510" t="s">
        <v>199</v>
      </c>
      <c r="N54" s="3510" t="s">
        <v>199</v>
      </c>
      <c r="O54" s="3087" t="str">
        <f t="shared" ref="O54" si="85">IF(SUM(M54:N54)=0,M54,SUM(M54:N54))</f>
        <v>NO</v>
      </c>
      <c r="P54" s="3510" t="s">
        <v>199</v>
      </c>
      <c r="Q54" s="3510" t="s">
        <v>199</v>
      </c>
      <c r="R54" s="3510" t="s">
        <v>199</v>
      </c>
      <c r="S54" s="3511" t="str">
        <f t="shared" ref="S54" si="86">IF(SUM(O54:R54)=0,Q54,SUM(O54:R54)*-44/12)</f>
        <v>NO</v>
      </c>
      <c r="U54" s="2426"/>
    </row>
    <row r="55" spans="2:21" ht="18" customHeight="1" x14ac:dyDescent="0.2">
      <c r="B55" s="495" t="s">
        <v>1434</v>
      </c>
      <c r="C55" s="890"/>
      <c r="D55" s="3500" t="str">
        <f>D56</f>
        <v>NO</v>
      </c>
      <c r="E55" s="3505" t="str">
        <f t="shared" ref="E55:F55" si="87">E56</f>
        <v>NO</v>
      </c>
      <c r="F55" s="3506" t="str">
        <f t="shared" si="87"/>
        <v>NO</v>
      </c>
      <c r="G55" s="3500" t="str">
        <f t="shared" si="3"/>
        <v>NA</v>
      </c>
      <c r="H55" s="3057" t="str">
        <f t="shared" si="4"/>
        <v>NA</v>
      </c>
      <c r="I55" s="3057" t="str">
        <f t="shared" si="5"/>
        <v>NA</v>
      </c>
      <c r="J55" s="3057" t="str">
        <f t="shared" si="6"/>
        <v>NA</v>
      </c>
      <c r="K55" s="3514" t="str">
        <f t="shared" si="7"/>
        <v>NA</v>
      </c>
      <c r="L55" s="3106" t="str">
        <f t="shared" si="8"/>
        <v>NA</v>
      </c>
      <c r="M55" s="4170" t="str">
        <f t="shared" ref="M55:S55" si="88">M56</f>
        <v>NO</v>
      </c>
      <c r="N55" s="3057" t="str">
        <f t="shared" si="88"/>
        <v>NO</v>
      </c>
      <c r="O55" s="3057" t="str">
        <f t="shared" si="88"/>
        <v>NO</v>
      </c>
      <c r="P55" s="3057" t="str">
        <f t="shared" si="88"/>
        <v>NO</v>
      </c>
      <c r="Q55" s="3514" t="str">
        <f t="shared" si="88"/>
        <v>NO</v>
      </c>
      <c r="R55" s="3514" t="str">
        <f t="shared" si="88"/>
        <v>NO</v>
      </c>
      <c r="S55" s="3511" t="str">
        <f t="shared" si="88"/>
        <v>NO</v>
      </c>
      <c r="U55" s="4329"/>
    </row>
    <row r="56" spans="2:21" ht="18" customHeight="1" thickBot="1" x14ac:dyDescent="0.25">
      <c r="B56" s="1479"/>
      <c r="C56" s="4336" t="s">
        <v>409</v>
      </c>
      <c r="D56" s="3536" t="str">
        <f>IF(SUM(E56:F56)=0,E56,SUM(E56:F56))</f>
        <v>NO</v>
      </c>
      <c r="E56" s="3516" t="s">
        <v>199</v>
      </c>
      <c r="F56" s="3517" t="s">
        <v>199</v>
      </c>
      <c r="G56" s="3557" t="str">
        <f t="shared" si="3"/>
        <v>NA</v>
      </c>
      <c r="H56" s="3558" t="str">
        <f t="shared" si="4"/>
        <v>NA</v>
      </c>
      <c r="I56" s="3559" t="str">
        <f t="shared" si="5"/>
        <v>NA</v>
      </c>
      <c r="J56" s="3558" t="str">
        <f t="shared" si="6"/>
        <v>NA</v>
      </c>
      <c r="K56" s="3558" t="str">
        <f t="shared" si="7"/>
        <v>NA</v>
      </c>
      <c r="L56" s="3560" t="str">
        <f t="shared" si="8"/>
        <v>NA</v>
      </c>
      <c r="M56" s="3561" t="s">
        <v>199</v>
      </c>
      <c r="N56" s="3562" t="s">
        <v>199</v>
      </c>
      <c r="O56" s="3559" t="str">
        <f t="shared" ref="O56" si="89">IF(SUM(M56:N56)=0,M56,SUM(M56:N56))</f>
        <v>NO</v>
      </c>
      <c r="P56" s="3562" t="s">
        <v>199</v>
      </c>
      <c r="Q56" s="3563" t="s">
        <v>199</v>
      </c>
      <c r="R56" s="3563" t="s">
        <v>199</v>
      </c>
      <c r="S56" s="4337" t="str">
        <f t="shared" ref="S56" si="90">IF(SUM(O56:R56)=0,Q56,SUM(O56:R56)*-44/12)</f>
        <v>NO</v>
      </c>
      <c r="U56" s="2427"/>
    </row>
    <row r="57" spans="2:21" ht="13.5" x14ac:dyDescent="0.2">
      <c r="B57" s="497"/>
      <c r="C57"/>
      <c r="D57"/>
      <c r="E57"/>
      <c r="F57"/>
      <c r="G57"/>
      <c r="H57"/>
      <c r="I57"/>
      <c r="J57"/>
      <c r="K57"/>
      <c r="L57"/>
      <c r="M57"/>
      <c r="N57"/>
      <c r="O57"/>
      <c r="P57"/>
      <c r="Q57"/>
      <c r="R57"/>
      <c r="S57"/>
    </row>
    <row r="58" spans="2:21" x14ac:dyDescent="0.2">
      <c r="B58" s="4338"/>
      <c r="C58"/>
      <c r="D58"/>
      <c r="E58"/>
      <c r="F58"/>
      <c r="G58"/>
      <c r="H58"/>
      <c r="I58"/>
      <c r="J58"/>
      <c r="K58"/>
      <c r="L58"/>
      <c r="M58"/>
      <c r="N58"/>
      <c r="O58"/>
      <c r="P58"/>
      <c r="Q58"/>
      <c r="R58"/>
      <c r="S58"/>
    </row>
    <row r="59" spans="2:21" x14ac:dyDescent="0.2">
      <c r="B59" s="4338"/>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27" t="s">
        <v>1435</v>
      </c>
      <c r="C80" s="4528"/>
      <c r="D80" s="4528"/>
      <c r="E80" s="4528"/>
      <c r="F80" s="4528"/>
      <c r="G80" s="4528"/>
      <c r="H80" s="4528"/>
      <c r="I80" s="4528"/>
      <c r="J80" s="4528"/>
      <c r="K80" s="4528"/>
      <c r="L80" s="4528"/>
      <c r="M80" s="4528"/>
      <c r="N80" s="4528"/>
      <c r="O80" s="4528"/>
      <c r="P80" s="4528"/>
      <c r="Q80" s="4528"/>
      <c r="R80" s="4528"/>
      <c r="S80" s="4529"/>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A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2460</v>
      </c>
    </row>
    <row r="2" spans="2:21" ht="15.75" x14ac:dyDescent="0.25">
      <c r="B2" s="13" t="s">
        <v>1287</v>
      </c>
      <c r="S2" s="14" t="s">
        <v>2461</v>
      </c>
    </row>
    <row r="3" spans="2:21" ht="15.75" x14ac:dyDescent="0.25">
      <c r="B3" s="13" t="s">
        <v>162</v>
      </c>
      <c r="S3" s="14" t="s">
        <v>163</v>
      </c>
    </row>
    <row r="4" spans="2:21" ht="15.75" x14ac:dyDescent="0.25">
      <c r="B4" s="13"/>
      <c r="S4" s="226"/>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8" t="s">
        <v>1310</v>
      </c>
    </row>
    <row r="7" spans="2:21" ht="48" x14ac:dyDescent="0.2">
      <c r="B7" s="2593"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7"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4"/>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1" t="s">
        <v>1439</v>
      </c>
      <c r="C10" s="2283"/>
      <c r="D10" s="3522">
        <f>IF(SUM(D11,D13)=0,"IE",SUM(D11,D13))</f>
        <v>1528.6771644228631</v>
      </c>
      <c r="E10" s="3523">
        <f t="shared" ref="E10:F10" si="0">IF(SUM(E11,E13)=0,"IE",SUM(E11,E13))</f>
        <v>1446.4337346099055</v>
      </c>
      <c r="F10" s="3524">
        <f t="shared" si="0"/>
        <v>82.243429812957558</v>
      </c>
      <c r="G10" s="3522" t="str">
        <f>IFERROR(IF(SUM($D10)=0,"NA",M10/$D10),"NA")</f>
        <v>NA</v>
      </c>
      <c r="H10" s="3523">
        <f t="shared" ref="H10:J10" si="1">IFERROR(IF(SUM($D10)=0,"NA",N10/$D10),"NA")</f>
        <v>-0.67446054952679135</v>
      </c>
      <c r="I10" s="3523">
        <f t="shared" si="1"/>
        <v>-0.67446054952679135</v>
      </c>
      <c r="J10" s="3523">
        <f t="shared" si="1"/>
        <v>-9.4684981014128422E-2</v>
      </c>
      <c r="K10" s="3525">
        <f>IFERROR(IF(SUM(E10)=0,"NA",Q10/E10),"NA")</f>
        <v>-9.4674527032866898E-2</v>
      </c>
      <c r="L10" s="3524">
        <f>IFERROR(IF(SUM(F10)=0,"NA",R10/F10),"NA")</f>
        <v>0.42300871955082009</v>
      </c>
      <c r="M10" s="3526" t="str">
        <f>IF(SUM(M11,M13)=0,"IE",SUM(M11,M13))</f>
        <v>IE</v>
      </c>
      <c r="N10" s="3523">
        <f t="shared" ref="N10:S10" si="2">IF(SUM(N11,N13)=0,"IE",SUM(N11,N13))</f>
        <v>-1031.0324403657014</v>
      </c>
      <c r="O10" s="3527">
        <f t="shared" si="2"/>
        <v>-1031.0324403657014</v>
      </c>
      <c r="P10" s="3523">
        <f t="shared" si="2"/>
        <v>-144.74276829011046</v>
      </c>
      <c r="Q10" s="3525">
        <f t="shared" si="2"/>
        <v>-136.94042970857612</v>
      </c>
      <c r="R10" s="3525">
        <f t="shared" si="2"/>
        <v>34.789687936646921</v>
      </c>
      <c r="S10" s="3528">
        <f t="shared" si="2"/>
        <v>4685.7284849017178</v>
      </c>
      <c r="U10" s="2287"/>
    </row>
    <row r="11" spans="2:21" ht="18" customHeight="1" x14ac:dyDescent="0.2">
      <c r="B11" s="483" t="s">
        <v>1265</v>
      </c>
      <c r="C11" s="2282"/>
      <c r="D11" s="3529">
        <f>D12</f>
        <v>1063.3746094830001</v>
      </c>
      <c r="E11" s="3057">
        <f t="shared" ref="E11:F11" si="3">E12</f>
        <v>1063.3746094830001</v>
      </c>
      <c r="F11" s="3057" t="str">
        <f t="shared" si="3"/>
        <v>IE</v>
      </c>
      <c r="G11" s="3500" t="str">
        <f t="shared" ref="G11:G24" si="4">IFERROR(IF(SUM($D11)=0,"NA",M11/$D11),"NA")</f>
        <v>NA</v>
      </c>
      <c r="H11" s="3057">
        <f t="shared" ref="H11:H24" si="5">IFERROR(IF(SUM($D11)=0,"NA",N11/$D11),"NA")</f>
        <v>-4.2435879878593638E-3</v>
      </c>
      <c r="I11" s="3057">
        <f t="shared" ref="I11:I24" si="6">IFERROR(IF(SUM($D11)=0,"NA",O11/$D11),"NA")</f>
        <v>-4.2435879878593638E-3</v>
      </c>
      <c r="J11" s="3057">
        <f t="shared" ref="J11:J24" si="7">IFERROR(IF(SUM($D11)=0,"NA",P11/$D11),"NA")</f>
        <v>-8.4871759757187265E-4</v>
      </c>
      <c r="K11" s="3514">
        <f t="shared" ref="K11:K24" si="8">IFERROR(IF(SUM(E11)=0,"NA",Q11/E11),"NA")</f>
        <v>-3.3948703902874906E-3</v>
      </c>
      <c r="L11" s="3106" t="str">
        <f t="shared" ref="L11:L24" si="9">IFERROR(IF(SUM(F11)=0,"NA",R11/F11),"NA")</f>
        <v>NA</v>
      </c>
      <c r="M11" s="3530" t="str">
        <f t="shared" ref="M11:S11" si="10">M12</f>
        <v>IE</v>
      </c>
      <c r="N11" s="3531">
        <f t="shared" si="10"/>
        <v>-4.5125237193967012</v>
      </c>
      <c r="O11" s="3532">
        <f t="shared" si="10"/>
        <v>-4.5125237193967012</v>
      </c>
      <c r="P11" s="3531">
        <f t="shared" si="10"/>
        <v>-0.9025047438793401</v>
      </c>
      <c r="Q11" s="3533">
        <f t="shared" si="10"/>
        <v>-3.6100189755173604</v>
      </c>
      <c r="R11" s="3533" t="str">
        <f t="shared" si="10"/>
        <v>IE</v>
      </c>
      <c r="S11" s="3534">
        <f t="shared" si="10"/>
        <v>33.091840608909138</v>
      </c>
      <c r="U11" s="2423"/>
    </row>
    <row r="12" spans="2:21" ht="18" customHeight="1" x14ac:dyDescent="0.2">
      <c r="B12" s="491"/>
      <c r="C12" s="4330" t="s">
        <v>409</v>
      </c>
      <c r="D12" s="3500">
        <f>IF(SUM(E12:F12)=0,E12,SUM(E12:F12))</f>
        <v>1063.3746094830001</v>
      </c>
      <c r="E12" s="3510">
        <v>1063.3746094830001</v>
      </c>
      <c r="F12" s="3496" t="s">
        <v>274</v>
      </c>
      <c r="G12" s="3500" t="str">
        <f t="shared" si="4"/>
        <v>NA</v>
      </c>
      <c r="H12" s="3057">
        <f t="shared" si="5"/>
        <v>-4.2435879878593638E-3</v>
      </c>
      <c r="I12" s="3057">
        <f t="shared" si="6"/>
        <v>-4.2435879878593638E-3</v>
      </c>
      <c r="J12" s="3057">
        <f t="shared" si="7"/>
        <v>-8.4871759757187265E-4</v>
      </c>
      <c r="K12" s="3514">
        <f t="shared" si="8"/>
        <v>-3.3948703902874906E-3</v>
      </c>
      <c r="L12" s="3106" t="str">
        <f t="shared" si="9"/>
        <v>NA</v>
      </c>
      <c r="M12" s="2917" t="s">
        <v>274</v>
      </c>
      <c r="N12" s="2917">
        <v>-4.5125237193967012</v>
      </c>
      <c r="O12" s="3087">
        <f>IF(SUM(M12:N12)=0,M12,SUM(M12:N12))</f>
        <v>-4.5125237193967012</v>
      </c>
      <c r="P12" s="2917">
        <v>-0.9025047438793401</v>
      </c>
      <c r="Q12" s="2918">
        <v>-3.6100189755173604</v>
      </c>
      <c r="R12" s="2918" t="s">
        <v>274</v>
      </c>
      <c r="S12" s="3511">
        <f>IF(SUM(O12:R12)=0,Q12,SUM(O12:R12)*-44/12)</f>
        <v>33.091840608909138</v>
      </c>
      <c r="U12" s="2424"/>
    </row>
    <row r="13" spans="2:21" ht="18" customHeight="1" x14ac:dyDescent="0.2">
      <c r="B13" s="483" t="s">
        <v>1266</v>
      </c>
      <c r="C13" s="494"/>
      <c r="D13" s="3529">
        <f>IF(SUM(D14,D17,D19,D21,D23)=0,"IE",SUM(D14,D17,D19,D21,D23))</f>
        <v>465.30255493986306</v>
      </c>
      <c r="E13" s="3531">
        <f t="shared" ref="E13:S13" si="11">IF(SUM(E14,E17,E19,E21,E23)=0,"IE",SUM(E14,E17,E19,E21,E23))</f>
        <v>383.05912512690549</v>
      </c>
      <c r="F13" s="3535">
        <f t="shared" si="11"/>
        <v>82.243429812957558</v>
      </c>
      <c r="G13" s="3500" t="str">
        <f t="shared" si="4"/>
        <v>NA</v>
      </c>
      <c r="H13" s="3057">
        <f t="shared" si="5"/>
        <v>-2.2061342791873875</v>
      </c>
      <c r="I13" s="3057">
        <f t="shared" si="6"/>
        <v>-2.2061342791873875</v>
      </c>
      <c r="J13" s="3057">
        <f t="shared" si="7"/>
        <v>-0.30913276108019955</v>
      </c>
      <c r="K13" s="3514">
        <f t="shared" si="8"/>
        <v>-0.3480674443896542</v>
      </c>
      <c r="L13" s="3106">
        <f t="shared" si="9"/>
        <v>0.42300871955082009</v>
      </c>
      <c r="M13" s="3057" t="str">
        <f t="shared" si="11"/>
        <v>IE</v>
      </c>
      <c r="N13" s="3057">
        <f t="shared" si="11"/>
        <v>-1026.5199166463046</v>
      </c>
      <c r="O13" s="3057">
        <f t="shared" si="11"/>
        <v>-1026.5199166463046</v>
      </c>
      <c r="P13" s="3057">
        <f t="shared" si="11"/>
        <v>-143.84026354623111</v>
      </c>
      <c r="Q13" s="3514">
        <f t="shared" si="11"/>
        <v>-133.33041073305876</v>
      </c>
      <c r="R13" s="3514">
        <f t="shared" si="11"/>
        <v>34.789687936646921</v>
      </c>
      <c r="S13" s="3511">
        <f t="shared" si="11"/>
        <v>4652.6366442928083</v>
      </c>
      <c r="U13" s="2048"/>
    </row>
    <row r="14" spans="2:21" ht="18" customHeight="1" x14ac:dyDescent="0.2">
      <c r="B14" s="485" t="s">
        <v>1440</v>
      </c>
      <c r="C14" s="494"/>
      <c r="D14" s="3539">
        <f>IF(SUM(D15:D16)=0,"IE",SUM(D15:D16))</f>
        <v>465.30255493986306</v>
      </c>
      <c r="E14" s="3505">
        <f t="shared" ref="E14:F14" si="12">IF(SUM(E15:E16)=0,"IE",SUM(E15:E16))</f>
        <v>383.05912512690549</v>
      </c>
      <c r="F14" s="3506">
        <f t="shared" si="12"/>
        <v>82.243429812957558</v>
      </c>
      <c r="G14" s="3500" t="str">
        <f t="shared" si="4"/>
        <v>NA</v>
      </c>
      <c r="H14" s="3057">
        <f t="shared" si="5"/>
        <v>-2.2061342791873875</v>
      </c>
      <c r="I14" s="3057">
        <f t="shared" si="6"/>
        <v>-2.2061342791873875</v>
      </c>
      <c r="J14" s="3057">
        <f t="shared" si="7"/>
        <v>-0.30913276108019955</v>
      </c>
      <c r="K14" s="3514">
        <f t="shared" si="8"/>
        <v>-0.3480674443896542</v>
      </c>
      <c r="L14" s="3106">
        <f t="shared" si="9"/>
        <v>0.42300871955082009</v>
      </c>
      <c r="M14" s="3057" t="str">
        <f>IF(SUM(M15:M16)=0,"IE",SUM(M15:M16))</f>
        <v>IE</v>
      </c>
      <c r="N14" s="3057">
        <f t="shared" ref="N14:S14" si="13">IF(SUM(N15:N16)=0,"IE",SUM(N15:N16))</f>
        <v>-1026.5199166463046</v>
      </c>
      <c r="O14" s="3057">
        <f t="shared" si="13"/>
        <v>-1026.5199166463046</v>
      </c>
      <c r="P14" s="3057">
        <f t="shared" si="13"/>
        <v>-143.84026354623111</v>
      </c>
      <c r="Q14" s="3514">
        <f t="shared" si="13"/>
        <v>-133.33041073305876</v>
      </c>
      <c r="R14" s="3514">
        <f t="shared" si="13"/>
        <v>34.789687936646921</v>
      </c>
      <c r="S14" s="3511">
        <f t="shared" si="13"/>
        <v>4652.6366442928083</v>
      </c>
      <c r="U14" s="2048"/>
    </row>
    <row r="15" spans="2:21" ht="18" customHeight="1" x14ac:dyDescent="0.2">
      <c r="B15" s="486"/>
      <c r="C15" s="498" t="s">
        <v>1441</v>
      </c>
      <c r="D15" s="3500">
        <f>IF(SUM(E15:F15)=0,E15,SUM(E15:F15))</f>
        <v>82.243429812957558</v>
      </c>
      <c r="E15" s="3510" t="s">
        <v>199</v>
      </c>
      <c r="F15" s="3496">
        <v>82.243429812957558</v>
      </c>
      <c r="G15" s="3500" t="str">
        <f t="shared" si="4"/>
        <v>NA</v>
      </c>
      <c r="H15" s="3057">
        <f t="shared" si="5"/>
        <v>-9.1138668059927426</v>
      </c>
      <c r="I15" s="3057">
        <f t="shared" si="6"/>
        <v>-9.1138668059927426</v>
      </c>
      <c r="J15" s="3057">
        <f t="shared" si="7"/>
        <v>-0.11890819076462594</v>
      </c>
      <c r="K15" s="3514" t="str">
        <f t="shared" si="8"/>
        <v>NA</v>
      </c>
      <c r="L15" s="3106">
        <f t="shared" si="9"/>
        <v>0.42300871955082009</v>
      </c>
      <c r="M15" s="2917" t="s">
        <v>274</v>
      </c>
      <c r="N15" s="2917">
        <v>-749.55566498330779</v>
      </c>
      <c r="O15" s="3087">
        <f>IF(SUM(M15:N15)=0,M15,SUM(M15:N15))</f>
        <v>-749.55566498330779</v>
      </c>
      <c r="P15" s="2917">
        <v>-9.7794174413362818</v>
      </c>
      <c r="Q15" s="2918" t="s">
        <v>199</v>
      </c>
      <c r="R15" s="2918">
        <v>34.789687936646921</v>
      </c>
      <c r="S15" s="3511">
        <f>IF(SUM(O15:R15)=0,Q15,SUM(O15:R15)*-44/12)</f>
        <v>2656.6664464559894</v>
      </c>
      <c r="U15" s="2048"/>
    </row>
    <row r="16" spans="2:21" ht="18" customHeight="1" x14ac:dyDescent="0.2">
      <c r="B16" s="484"/>
      <c r="C16" s="498" t="s">
        <v>1442</v>
      </c>
      <c r="D16" s="3500">
        <f>IF(SUM(E16:F16)=0,E16,SUM(E16:F16))</f>
        <v>383.05912512690549</v>
      </c>
      <c r="E16" s="3510">
        <v>383.05912512690549</v>
      </c>
      <c r="F16" s="3496" t="s">
        <v>274</v>
      </c>
      <c r="G16" s="3500" t="str">
        <f t="shared" si="4"/>
        <v>NA</v>
      </c>
      <c r="H16" s="3057">
        <f t="shared" si="5"/>
        <v>-0.72303264299274961</v>
      </c>
      <c r="I16" s="3057">
        <f t="shared" si="6"/>
        <v>-0.72303264299274961</v>
      </c>
      <c r="J16" s="3057">
        <f t="shared" si="7"/>
        <v>-0.34997429198555491</v>
      </c>
      <c r="K16" s="3514">
        <f t="shared" si="8"/>
        <v>-0.3480674443896542</v>
      </c>
      <c r="L16" s="3106" t="str">
        <f t="shared" si="9"/>
        <v>NA</v>
      </c>
      <c r="M16" s="2917" t="s">
        <v>274</v>
      </c>
      <c r="N16" s="2917">
        <v>-276.96425166299684</v>
      </c>
      <c r="O16" s="3087">
        <f>IF(SUM(M16:N16)=0,M16,SUM(M16:N16))</f>
        <v>-276.96425166299684</v>
      </c>
      <c r="P16" s="2917">
        <v>-134.06084610489484</v>
      </c>
      <c r="Q16" s="2918">
        <v>-133.33041073305876</v>
      </c>
      <c r="R16" s="2918" t="s">
        <v>274</v>
      </c>
      <c r="S16" s="3511">
        <f>IF(SUM(O16:R16)=0,Q16,SUM(O16:R16)*-44/12)</f>
        <v>1995.9701978368184</v>
      </c>
      <c r="U16" s="2424"/>
    </row>
    <row r="17" spans="2:35" s="4303" customFormat="1" ht="18" customHeight="1" x14ac:dyDescent="0.2">
      <c r="B17" s="486" t="s">
        <v>1443</v>
      </c>
      <c r="C17" s="494"/>
      <c r="D17" s="3529" t="str">
        <f>D18</f>
        <v>IE</v>
      </c>
      <c r="E17" s="3057" t="str">
        <f t="shared" ref="E17:F17" si="14">E18</f>
        <v>IE</v>
      </c>
      <c r="F17" s="3057" t="str">
        <f t="shared" si="14"/>
        <v>IE</v>
      </c>
      <c r="G17" s="3500" t="str">
        <f t="shared" si="4"/>
        <v>NA</v>
      </c>
      <c r="H17" s="3057" t="str">
        <f t="shared" si="5"/>
        <v>NA</v>
      </c>
      <c r="I17" s="3057" t="str">
        <f t="shared" si="6"/>
        <v>NA</v>
      </c>
      <c r="J17" s="3057" t="str">
        <f t="shared" si="7"/>
        <v>NA</v>
      </c>
      <c r="K17" s="3514" t="str">
        <f t="shared" si="8"/>
        <v>NA</v>
      </c>
      <c r="L17" s="3106" t="str">
        <f t="shared" si="9"/>
        <v>NA</v>
      </c>
      <c r="M17" s="3530" t="str">
        <f t="shared" ref="M17:S17" si="15">M18</f>
        <v>IE</v>
      </c>
      <c r="N17" s="3531" t="str">
        <f t="shared" si="15"/>
        <v>IE</v>
      </c>
      <c r="O17" s="3532" t="str">
        <f t="shared" si="15"/>
        <v>IE</v>
      </c>
      <c r="P17" s="3531" t="str">
        <f t="shared" si="15"/>
        <v>IE</v>
      </c>
      <c r="Q17" s="3533" t="str">
        <f t="shared" si="15"/>
        <v>IE</v>
      </c>
      <c r="R17" s="3533" t="str">
        <f t="shared" si="15"/>
        <v>IE</v>
      </c>
      <c r="S17" s="3534" t="str">
        <f t="shared" si="15"/>
        <v>IE</v>
      </c>
      <c r="T17" s="83"/>
      <c r="U17" s="2048"/>
    </row>
    <row r="18" spans="2:35" s="4303" customFormat="1" ht="18" customHeight="1" x14ac:dyDescent="0.2">
      <c r="B18" s="484"/>
      <c r="C18" s="4330" t="s">
        <v>409</v>
      </c>
      <c r="D18" s="3500" t="str">
        <f>IF(SUM(E18:F18)=0,E18,SUM(E18:F18))</f>
        <v>IE</v>
      </c>
      <c r="E18" s="3510" t="s">
        <v>274</v>
      </c>
      <c r="F18" s="3510" t="s">
        <v>274</v>
      </c>
      <c r="G18" s="3500" t="str">
        <f t="shared" si="4"/>
        <v>NA</v>
      </c>
      <c r="H18" s="3057" t="str">
        <f t="shared" si="5"/>
        <v>NA</v>
      </c>
      <c r="I18" s="3057" t="str">
        <f t="shared" si="6"/>
        <v>NA</v>
      </c>
      <c r="J18" s="3057" t="str">
        <f t="shared" si="7"/>
        <v>NA</v>
      </c>
      <c r="K18" s="3514" t="str">
        <f t="shared" si="8"/>
        <v>NA</v>
      </c>
      <c r="L18" s="3106" t="str">
        <f t="shared" si="9"/>
        <v>NA</v>
      </c>
      <c r="M18" s="3510" t="s">
        <v>274</v>
      </c>
      <c r="N18" s="3510" t="s">
        <v>274</v>
      </c>
      <c r="O18" s="3087" t="str">
        <f>IF(SUM(M18:N18)=0,M18,SUM(M18:N18))</f>
        <v>IE</v>
      </c>
      <c r="P18" s="3510" t="s">
        <v>274</v>
      </c>
      <c r="Q18" s="3510" t="s">
        <v>274</v>
      </c>
      <c r="R18" s="3510" t="s">
        <v>274</v>
      </c>
      <c r="S18" s="3511" t="str">
        <f>IF(SUM(O18:R18)=0,Q18,SUM(O18:R18)*-44/12)</f>
        <v>IE</v>
      </c>
      <c r="T18" s="83"/>
      <c r="U18" s="2424"/>
    </row>
    <row r="19" spans="2:35" s="4303" customFormat="1" ht="18" customHeight="1" x14ac:dyDescent="0.2">
      <c r="B19" s="486" t="s">
        <v>1444</v>
      </c>
      <c r="C19" s="494"/>
      <c r="D19" s="3529" t="str">
        <f>D20</f>
        <v>IE</v>
      </c>
      <c r="E19" s="3057" t="str">
        <f t="shared" ref="E19:F19" si="16">E20</f>
        <v>IE</v>
      </c>
      <c r="F19" s="3057" t="str">
        <f t="shared" si="16"/>
        <v>IE</v>
      </c>
      <c r="G19" s="3500" t="str">
        <f t="shared" si="4"/>
        <v>NA</v>
      </c>
      <c r="H19" s="3057" t="str">
        <f t="shared" si="5"/>
        <v>NA</v>
      </c>
      <c r="I19" s="3057" t="str">
        <f t="shared" si="6"/>
        <v>NA</v>
      </c>
      <c r="J19" s="3057" t="str">
        <f t="shared" si="7"/>
        <v>NA</v>
      </c>
      <c r="K19" s="3514" t="str">
        <f t="shared" si="8"/>
        <v>NA</v>
      </c>
      <c r="L19" s="3106" t="str">
        <f t="shared" si="9"/>
        <v>NA</v>
      </c>
      <c r="M19" s="3530" t="str">
        <f t="shared" ref="M19:S19" si="17">M20</f>
        <v>IE</v>
      </c>
      <c r="N19" s="3531" t="str">
        <f t="shared" si="17"/>
        <v>IE</v>
      </c>
      <c r="O19" s="3532" t="str">
        <f t="shared" si="17"/>
        <v>IE</v>
      </c>
      <c r="P19" s="3531" t="str">
        <f t="shared" si="17"/>
        <v>IE</v>
      </c>
      <c r="Q19" s="3533" t="str">
        <f t="shared" si="17"/>
        <v>IE</v>
      </c>
      <c r="R19" s="3533" t="str">
        <f t="shared" si="17"/>
        <v>IE</v>
      </c>
      <c r="S19" s="3534" t="str">
        <f t="shared" si="17"/>
        <v>IE</v>
      </c>
      <c r="T19" s="83"/>
      <c r="U19" s="2048"/>
    </row>
    <row r="20" spans="2:35" s="4303" customFormat="1" ht="18" customHeight="1" x14ac:dyDescent="0.2">
      <c r="B20" s="484"/>
      <c r="C20" s="4330" t="s">
        <v>409</v>
      </c>
      <c r="D20" s="3500" t="str">
        <f>IF(SUM(E20:F20)=0,E20,SUM(E20:F20))</f>
        <v>IE</v>
      </c>
      <c r="E20" s="3510" t="s">
        <v>274</v>
      </c>
      <c r="F20" s="3510" t="s">
        <v>274</v>
      </c>
      <c r="G20" s="3500" t="str">
        <f t="shared" si="4"/>
        <v>NA</v>
      </c>
      <c r="H20" s="3057" t="str">
        <f t="shared" si="5"/>
        <v>NA</v>
      </c>
      <c r="I20" s="3057" t="str">
        <f t="shared" si="6"/>
        <v>NA</v>
      </c>
      <c r="J20" s="3057" t="str">
        <f t="shared" si="7"/>
        <v>NA</v>
      </c>
      <c r="K20" s="3514" t="str">
        <f t="shared" si="8"/>
        <v>NA</v>
      </c>
      <c r="L20" s="3106" t="str">
        <f t="shared" si="9"/>
        <v>NA</v>
      </c>
      <c r="M20" s="3510" t="s">
        <v>274</v>
      </c>
      <c r="N20" s="3510" t="s">
        <v>274</v>
      </c>
      <c r="O20" s="3087" t="str">
        <f>IF(SUM(M20:N20)=0,M20,SUM(M20:N20))</f>
        <v>IE</v>
      </c>
      <c r="P20" s="3510" t="s">
        <v>274</v>
      </c>
      <c r="Q20" s="3510" t="s">
        <v>274</v>
      </c>
      <c r="R20" s="3510" t="s">
        <v>274</v>
      </c>
      <c r="S20" s="3511" t="str">
        <f>IF(SUM(O20:R20)=0,Q20,SUM(O20:R20)*-44/12)</f>
        <v>IE</v>
      </c>
      <c r="T20" s="83"/>
      <c r="U20" s="2424"/>
    </row>
    <row r="21" spans="2:35" s="4303" customFormat="1" ht="18" customHeight="1" x14ac:dyDescent="0.2">
      <c r="B21" s="486" t="s">
        <v>1445</v>
      </c>
      <c r="C21" s="494"/>
      <c r="D21" s="3529" t="str">
        <f>D22</f>
        <v>IE</v>
      </c>
      <c r="E21" s="3057" t="str">
        <f t="shared" ref="E21:F21" si="18">E22</f>
        <v>NO</v>
      </c>
      <c r="F21" s="3057" t="str">
        <f t="shared" si="18"/>
        <v>IE</v>
      </c>
      <c r="G21" s="3500" t="str">
        <f t="shared" si="4"/>
        <v>NA</v>
      </c>
      <c r="H21" s="3057" t="str">
        <f t="shared" si="5"/>
        <v>NA</v>
      </c>
      <c r="I21" s="3057" t="str">
        <f t="shared" si="6"/>
        <v>NA</v>
      </c>
      <c r="J21" s="3057" t="str">
        <f t="shared" si="7"/>
        <v>NA</v>
      </c>
      <c r="K21" s="3514" t="str">
        <f t="shared" si="8"/>
        <v>NA</v>
      </c>
      <c r="L21" s="3106" t="str">
        <f t="shared" si="9"/>
        <v>NA</v>
      </c>
      <c r="M21" s="3530" t="str">
        <f t="shared" ref="M21:S21" si="19">M22</f>
        <v>IE</v>
      </c>
      <c r="N21" s="3531" t="str">
        <f t="shared" si="19"/>
        <v>IE</v>
      </c>
      <c r="O21" s="3532" t="str">
        <f t="shared" si="19"/>
        <v>IE</v>
      </c>
      <c r="P21" s="3531" t="str">
        <f t="shared" si="19"/>
        <v>IE</v>
      </c>
      <c r="Q21" s="3533" t="str">
        <f t="shared" si="19"/>
        <v>NO</v>
      </c>
      <c r="R21" s="3533" t="str">
        <f t="shared" si="19"/>
        <v>IE</v>
      </c>
      <c r="S21" s="3534" t="str">
        <f t="shared" si="19"/>
        <v>IE</v>
      </c>
      <c r="T21" s="83"/>
      <c r="U21" s="2048"/>
    </row>
    <row r="22" spans="2:35" s="4303" customFormat="1" ht="18" customHeight="1" x14ac:dyDescent="0.2">
      <c r="B22" s="484"/>
      <c r="C22" s="4330" t="s">
        <v>409</v>
      </c>
      <c r="D22" s="3500" t="str">
        <f>IF(SUM(E22:F22)=0,F22,SUM(E22:F22))</f>
        <v>IE</v>
      </c>
      <c r="E22" s="3510" t="s">
        <v>199</v>
      </c>
      <c r="F22" s="3496" t="s">
        <v>274</v>
      </c>
      <c r="G22" s="3500" t="str">
        <f t="shared" si="4"/>
        <v>NA</v>
      </c>
      <c r="H22" s="3057" t="str">
        <f t="shared" si="5"/>
        <v>NA</v>
      </c>
      <c r="I22" s="3057" t="str">
        <f t="shared" si="6"/>
        <v>NA</v>
      </c>
      <c r="J22" s="3057" t="str">
        <f t="shared" si="7"/>
        <v>NA</v>
      </c>
      <c r="K22" s="3514" t="str">
        <f t="shared" si="8"/>
        <v>NA</v>
      </c>
      <c r="L22" s="3106" t="str">
        <f t="shared" si="9"/>
        <v>NA</v>
      </c>
      <c r="M22" s="2917" t="s">
        <v>274</v>
      </c>
      <c r="N22" s="2917" t="s">
        <v>274</v>
      </c>
      <c r="O22" s="3087" t="str">
        <f>IF(SUM(M22:N22)=0,M22,SUM(M22:N22))</f>
        <v>IE</v>
      </c>
      <c r="P22" s="2917" t="s">
        <v>274</v>
      </c>
      <c r="Q22" s="2918" t="s">
        <v>199</v>
      </c>
      <c r="R22" s="2918" t="s">
        <v>274</v>
      </c>
      <c r="S22" s="3511" t="str">
        <f>IF(SUM(O22:R22)=0,R22,SUM(O22:R22)*-44/12)</f>
        <v>IE</v>
      </c>
      <c r="T22" s="83"/>
      <c r="U22" s="2424"/>
    </row>
    <row r="23" spans="2:35" ht="18" customHeight="1" x14ac:dyDescent="0.2">
      <c r="B23" s="486" t="s">
        <v>1446</v>
      </c>
      <c r="C23" s="494"/>
      <c r="D23" s="3529" t="str">
        <f>D24</f>
        <v>NO</v>
      </c>
      <c r="E23" s="3057" t="str">
        <f t="shared" ref="E23:F23" si="20">E24</f>
        <v>NO</v>
      </c>
      <c r="F23" s="3057" t="str">
        <f t="shared" si="20"/>
        <v>NO</v>
      </c>
      <c r="G23" s="3500" t="str">
        <f t="shared" si="4"/>
        <v>NA</v>
      </c>
      <c r="H23" s="3057" t="str">
        <f t="shared" si="5"/>
        <v>NA</v>
      </c>
      <c r="I23" s="3057" t="str">
        <f t="shared" si="6"/>
        <v>NA</v>
      </c>
      <c r="J23" s="3057" t="str">
        <f t="shared" si="7"/>
        <v>NA</v>
      </c>
      <c r="K23" s="3514" t="str">
        <f t="shared" si="8"/>
        <v>NA</v>
      </c>
      <c r="L23" s="3106" t="str">
        <f t="shared" si="9"/>
        <v>NA</v>
      </c>
      <c r="M23" s="3530" t="str">
        <f t="shared" ref="M23:S23" si="21">M24</f>
        <v>NO</v>
      </c>
      <c r="N23" s="3531" t="str">
        <f t="shared" si="21"/>
        <v>NO</v>
      </c>
      <c r="O23" s="3532" t="str">
        <f t="shared" si="21"/>
        <v>NO</v>
      </c>
      <c r="P23" s="3531" t="str">
        <f t="shared" si="21"/>
        <v>NO</v>
      </c>
      <c r="Q23" s="3533" t="str">
        <f t="shared" si="21"/>
        <v>NO</v>
      </c>
      <c r="R23" s="3533" t="str">
        <f t="shared" si="21"/>
        <v>NO</v>
      </c>
      <c r="S23" s="3534" t="str">
        <f t="shared" si="21"/>
        <v>NO</v>
      </c>
      <c r="U23" s="2048"/>
    </row>
    <row r="24" spans="2:35" ht="18" customHeight="1" thickBot="1" x14ac:dyDescent="0.25">
      <c r="B24" s="499"/>
      <c r="C24" s="500" t="s">
        <v>409</v>
      </c>
      <c r="D24" s="3536" t="str">
        <f>IF(SUM(E24:F24)=0,E24,SUM(E24:F24))</f>
        <v>NO</v>
      </c>
      <c r="E24" s="3516" t="s">
        <v>199</v>
      </c>
      <c r="F24" s="3517" t="s">
        <v>199</v>
      </c>
      <c r="G24" s="3518" t="str">
        <f t="shared" si="4"/>
        <v>NA</v>
      </c>
      <c r="H24" s="3116" t="str">
        <f t="shared" si="5"/>
        <v>NA</v>
      </c>
      <c r="I24" s="3116" t="str">
        <f t="shared" si="6"/>
        <v>NA</v>
      </c>
      <c r="J24" s="3116" t="str">
        <f t="shared" si="7"/>
        <v>NA</v>
      </c>
      <c r="K24" s="3537" t="str">
        <f t="shared" si="8"/>
        <v>NA</v>
      </c>
      <c r="L24" s="3519" t="str">
        <f t="shared" si="9"/>
        <v>NA</v>
      </c>
      <c r="M24" s="3115" t="s">
        <v>199</v>
      </c>
      <c r="N24" s="3115" t="s">
        <v>199</v>
      </c>
      <c r="O24" s="3520" t="str">
        <f>IF(SUM(M24:N24)=0,M24,SUM(M24:N24))</f>
        <v>NO</v>
      </c>
      <c r="P24" s="3115" t="s">
        <v>199</v>
      </c>
      <c r="Q24" s="4315" t="s">
        <v>199</v>
      </c>
      <c r="R24" s="4315" t="s">
        <v>199</v>
      </c>
      <c r="S24" s="3521" t="str">
        <f>IF(SUM(O24:R24)=0,Q24,SUM(O24:R24)*-44/12)</f>
        <v>NO</v>
      </c>
      <c r="U24" s="2425"/>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30"/>
      <c r="W29" s="4530"/>
      <c r="X29" s="4530"/>
      <c r="Y29" s="4530"/>
      <c r="Z29" s="4530"/>
      <c r="AA29" s="4530"/>
      <c r="AB29" s="4530"/>
      <c r="AC29" s="4530"/>
      <c r="AD29" s="4530"/>
      <c r="AE29" s="4530"/>
      <c r="AF29" s="4530"/>
      <c r="AG29" s="4530"/>
      <c r="AH29" s="4530"/>
      <c r="AI29" s="4530"/>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2460</v>
      </c>
    </row>
    <row r="2" spans="2:21" ht="15.75" x14ac:dyDescent="0.25">
      <c r="B2" s="13" t="s">
        <v>1288</v>
      </c>
      <c r="S2" s="14" t="s">
        <v>2461</v>
      </c>
    </row>
    <row r="3" spans="2:21" ht="15.75" x14ac:dyDescent="0.25">
      <c r="B3" s="13" t="s">
        <v>162</v>
      </c>
      <c r="S3" s="14" t="s">
        <v>163</v>
      </c>
    </row>
    <row r="4" spans="2:21" ht="15.75" x14ac:dyDescent="0.25">
      <c r="B4" s="13"/>
      <c r="S4" s="226"/>
    </row>
    <row r="5" spans="2:21" ht="24.75" thickBot="1" x14ac:dyDescent="0.25">
      <c r="B5" s="2465" t="s">
        <v>62</v>
      </c>
      <c r="U5" s="2589" t="s">
        <v>1307</v>
      </c>
    </row>
    <row r="6" spans="2:21" ht="13.5" x14ac:dyDescent="0.2">
      <c r="B6" s="836" t="s">
        <v>164</v>
      </c>
      <c r="C6" s="2701"/>
      <c r="D6" s="837" t="s">
        <v>592</v>
      </c>
      <c r="E6" s="837"/>
      <c r="F6" s="837"/>
      <c r="G6" s="831" t="s">
        <v>1308</v>
      </c>
      <c r="H6" s="833"/>
      <c r="I6" s="833"/>
      <c r="J6" s="833"/>
      <c r="K6" s="833"/>
      <c r="L6" s="832"/>
      <c r="M6" s="831" t="s">
        <v>1309</v>
      </c>
      <c r="N6" s="833"/>
      <c r="O6" s="833"/>
      <c r="P6" s="833"/>
      <c r="Q6" s="833"/>
      <c r="R6" s="833"/>
      <c r="S6" s="891"/>
      <c r="U6" s="2588" t="s">
        <v>1310</v>
      </c>
    </row>
    <row r="7" spans="2:21" ht="48" x14ac:dyDescent="0.2">
      <c r="B7" s="2593" t="s">
        <v>1311</v>
      </c>
      <c r="C7" s="807" t="s">
        <v>1312</v>
      </c>
      <c r="D7" s="2695"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7" t="s">
        <v>1325</v>
      </c>
    </row>
    <row r="8" spans="2:21" ht="36" x14ac:dyDescent="0.2">
      <c r="B8" s="806"/>
      <c r="C8" s="808"/>
      <c r="D8" s="2696"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1"/>
    </row>
    <row r="9" spans="2:21" ht="15.95" customHeight="1" thickBot="1" x14ac:dyDescent="0.25">
      <c r="B9" s="2594"/>
      <c r="C9" s="808"/>
      <c r="D9" s="2697"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1" t="s">
        <v>1449</v>
      </c>
      <c r="C10" s="2702"/>
      <c r="D10" s="3526">
        <f>IF(SUM(D11:D12)=0,"NO",SUM(D11:D12))</f>
        <v>60692.328845821001</v>
      </c>
      <c r="E10" s="3523">
        <f t="shared" ref="E10:S10" si="0">IF(SUM(E11:E12)=0,"NO",SUM(E11:E12))</f>
        <v>60692.328845821001</v>
      </c>
      <c r="F10" s="3524" t="str">
        <f t="shared" si="0"/>
        <v>NO</v>
      </c>
      <c r="G10" s="3522" t="s">
        <v>205</v>
      </c>
      <c r="H10" s="3523" t="s">
        <v>205</v>
      </c>
      <c r="I10" s="3523" t="s">
        <v>205</v>
      </c>
      <c r="J10" s="3523" t="s">
        <v>205</v>
      </c>
      <c r="K10" s="3525" t="s">
        <v>205</v>
      </c>
      <c r="L10" s="3525" t="s">
        <v>205</v>
      </c>
      <c r="M10" s="3564" t="str">
        <f t="shared" si="0"/>
        <v>NO</v>
      </c>
      <c r="N10" s="3523" t="str">
        <f t="shared" si="0"/>
        <v>NO</v>
      </c>
      <c r="O10" s="3565" t="str">
        <f t="shared" si="0"/>
        <v>NO</v>
      </c>
      <c r="P10" s="3523" t="str">
        <f t="shared" si="0"/>
        <v>NO</v>
      </c>
      <c r="Q10" s="3525" t="str">
        <f t="shared" si="0"/>
        <v>NO</v>
      </c>
      <c r="R10" s="3525" t="str">
        <f t="shared" si="0"/>
        <v>NO</v>
      </c>
      <c r="S10" s="3566" t="str">
        <f t="shared" si="0"/>
        <v>NO</v>
      </c>
      <c r="U10" s="2287"/>
    </row>
    <row r="11" spans="2:21" ht="18" customHeight="1" x14ac:dyDescent="0.2">
      <c r="B11" s="483" t="s">
        <v>1450</v>
      </c>
      <c r="C11" s="2703"/>
      <c r="D11" s="3567">
        <f>IF(SUM(E11:F11)=0,E11,SUM(E11:F11))</f>
        <v>60692.328845821001</v>
      </c>
      <c r="E11" s="3540">
        <v>60692.328845821001</v>
      </c>
      <c r="F11" s="3541" t="s">
        <v>199</v>
      </c>
      <c r="G11" s="3568"/>
      <c r="H11" s="3569"/>
      <c r="I11" s="3569"/>
      <c r="J11" s="3569"/>
      <c r="K11" s="3569"/>
      <c r="L11" s="3569"/>
      <c r="M11" s="3570"/>
      <c r="N11" s="3569"/>
      <c r="O11" s="3569"/>
      <c r="P11" s="3569"/>
      <c r="Q11" s="3571"/>
      <c r="R11" s="3571"/>
      <c r="S11" s="3572"/>
      <c r="U11" s="2428"/>
    </row>
    <row r="12" spans="2:21" ht="18" customHeight="1" x14ac:dyDescent="0.2">
      <c r="B12" s="475" t="s">
        <v>1451</v>
      </c>
      <c r="C12" s="2704"/>
      <c r="D12" s="3530" t="str">
        <f>IF(SUM(D13,D15,D17,D19,D21)=0,"NO",SUM(D13,D15,D17,D19,D21))</f>
        <v>NO</v>
      </c>
      <c r="E12" s="3531" t="str">
        <f>IF(SUM(E13,E15,E17,E19,E21)=0,"NO",SUM(E13,E15,E17,E19,E21))</f>
        <v>NO</v>
      </c>
      <c r="F12" s="3535" t="str">
        <f>IF(SUM(F13,F15,F17,F19,F21)=0,"NO",SUM(F13,F15,F17,F19,F21))</f>
        <v>NO</v>
      </c>
      <c r="G12" s="3500" t="s">
        <v>205</v>
      </c>
      <c r="H12" s="3057" t="s">
        <v>205</v>
      </c>
      <c r="I12" s="3057" t="s">
        <v>205</v>
      </c>
      <c r="J12" s="3057" t="s">
        <v>205</v>
      </c>
      <c r="K12" s="3514" t="s">
        <v>205</v>
      </c>
      <c r="L12" s="3106" t="s">
        <v>205</v>
      </c>
      <c r="M12" s="3530" t="str">
        <f t="shared" ref="M12:S12" si="1">IF(SUM(M13,M15,M17,M19,M21)=0,"NO",SUM(M13,M15,M17,M19,M21))</f>
        <v>NO</v>
      </c>
      <c r="N12" s="3531" t="str">
        <f t="shared" si="1"/>
        <v>NO</v>
      </c>
      <c r="O12" s="3532" t="str">
        <f t="shared" si="1"/>
        <v>NO</v>
      </c>
      <c r="P12" s="3532" t="str">
        <f t="shared" si="1"/>
        <v>NO</v>
      </c>
      <c r="Q12" s="3532" t="str">
        <f t="shared" si="1"/>
        <v>NO</v>
      </c>
      <c r="R12" s="3532" t="str">
        <f t="shared" si="1"/>
        <v>NO</v>
      </c>
      <c r="S12" s="3534" t="str">
        <f t="shared" si="1"/>
        <v>NO</v>
      </c>
      <c r="U12" s="2048"/>
    </row>
    <row r="13" spans="2:21" ht="18" customHeight="1" x14ac:dyDescent="0.2">
      <c r="B13" s="477" t="s">
        <v>1452</v>
      </c>
      <c r="C13" s="2704"/>
      <c r="D13" s="3530" t="str">
        <f>D14</f>
        <v>NO</v>
      </c>
      <c r="E13" s="3057" t="str">
        <f t="shared" ref="E13:F13" si="2">E14</f>
        <v>NO</v>
      </c>
      <c r="F13" s="3057" t="str">
        <f t="shared" si="2"/>
        <v>NO</v>
      </c>
      <c r="G13" s="3500" t="s">
        <v>205</v>
      </c>
      <c r="H13" s="3057" t="s">
        <v>205</v>
      </c>
      <c r="I13" s="3057" t="s">
        <v>205</v>
      </c>
      <c r="J13" s="3057" t="s">
        <v>205</v>
      </c>
      <c r="K13" s="3514" t="s">
        <v>205</v>
      </c>
      <c r="L13" s="3106" t="s">
        <v>205</v>
      </c>
      <c r="M13" s="3530" t="str">
        <f t="shared" ref="M13:S13" si="3">M14</f>
        <v>NO</v>
      </c>
      <c r="N13" s="3531" t="str">
        <f t="shared" si="3"/>
        <v>NO</v>
      </c>
      <c r="O13" s="3532" t="str">
        <f t="shared" si="3"/>
        <v>NO</v>
      </c>
      <c r="P13" s="3531" t="str">
        <f t="shared" si="3"/>
        <v>NO</v>
      </c>
      <c r="Q13" s="3533" t="str">
        <f t="shared" si="3"/>
        <v>NO</v>
      </c>
      <c r="R13" s="3533" t="str">
        <f t="shared" si="3"/>
        <v>NO</v>
      </c>
      <c r="S13" s="3534" t="str">
        <f t="shared" si="3"/>
        <v>NO</v>
      </c>
      <c r="U13" s="2048"/>
    </row>
    <row r="14" spans="2:21" ht="18" customHeight="1" x14ac:dyDescent="0.2">
      <c r="B14" s="490"/>
      <c r="C14" s="498" t="s">
        <v>409</v>
      </c>
      <c r="D14" s="3509" t="str">
        <f>IF(SUM(E14:F14)=0,E14,SUM(E14:F14))</f>
        <v>NO</v>
      </c>
      <c r="E14" s="3510" t="s">
        <v>199</v>
      </c>
      <c r="F14" s="3496" t="s">
        <v>199</v>
      </c>
      <c r="G14" s="3500" t="s">
        <v>205</v>
      </c>
      <c r="H14" s="3057" t="s">
        <v>205</v>
      </c>
      <c r="I14" s="3057" t="s">
        <v>205</v>
      </c>
      <c r="J14" s="3057" t="s">
        <v>205</v>
      </c>
      <c r="K14" s="3514" t="s">
        <v>205</v>
      </c>
      <c r="L14" s="3106" t="s">
        <v>205</v>
      </c>
      <c r="M14" s="2917" t="s">
        <v>199</v>
      </c>
      <c r="N14" s="2917" t="s">
        <v>199</v>
      </c>
      <c r="O14" s="3087" t="str">
        <f>IF(SUM(M14:N14)=0,M14,SUM(M14:N14))</f>
        <v>NO</v>
      </c>
      <c r="P14" s="2917" t="s">
        <v>199</v>
      </c>
      <c r="Q14" s="2918" t="s">
        <v>199</v>
      </c>
      <c r="R14" s="2918" t="s">
        <v>199</v>
      </c>
      <c r="S14" s="3534" t="str">
        <f>IF(SUM(O14:R14)=0,Q14,SUM(O14:R14)*-44/12)</f>
        <v>NO</v>
      </c>
      <c r="U14" s="2424"/>
    </row>
    <row r="15" spans="2:21" ht="18" customHeight="1" x14ac:dyDescent="0.2">
      <c r="B15" s="477" t="s">
        <v>1453</v>
      </c>
      <c r="C15" s="2704"/>
      <c r="D15" s="3530" t="str">
        <f>D16</f>
        <v>NO</v>
      </c>
      <c r="E15" s="3057" t="str">
        <f t="shared" ref="E15:F15" si="4">E16</f>
        <v>NO</v>
      </c>
      <c r="F15" s="3057" t="str">
        <f t="shared" si="4"/>
        <v>NO</v>
      </c>
      <c r="G15" s="3500" t="s">
        <v>205</v>
      </c>
      <c r="H15" s="3057" t="s">
        <v>205</v>
      </c>
      <c r="I15" s="3057" t="s">
        <v>205</v>
      </c>
      <c r="J15" s="3057" t="s">
        <v>205</v>
      </c>
      <c r="K15" s="3514" t="s">
        <v>205</v>
      </c>
      <c r="L15" s="3106" t="s">
        <v>205</v>
      </c>
      <c r="M15" s="3530" t="str">
        <f t="shared" ref="M15:S15" si="5">M16</f>
        <v>NO</v>
      </c>
      <c r="N15" s="3531" t="str">
        <f t="shared" si="5"/>
        <v>NO</v>
      </c>
      <c r="O15" s="3532" t="str">
        <f t="shared" si="5"/>
        <v>NO</v>
      </c>
      <c r="P15" s="3531" t="str">
        <f t="shared" si="5"/>
        <v>NO</v>
      </c>
      <c r="Q15" s="3533" t="str">
        <f t="shared" si="5"/>
        <v>NO</v>
      </c>
      <c r="R15" s="3533" t="str">
        <f t="shared" si="5"/>
        <v>NO</v>
      </c>
      <c r="S15" s="3534" t="str">
        <f t="shared" si="5"/>
        <v>NO</v>
      </c>
      <c r="U15" s="2048"/>
    </row>
    <row r="16" spans="2:21" ht="18" customHeight="1" x14ac:dyDescent="0.2">
      <c r="B16" s="490"/>
      <c r="C16" s="498" t="s">
        <v>409</v>
      </c>
      <c r="D16" s="3509" t="str">
        <f>IF(SUM(E16:F16)=0,E16,SUM(E16:F16))</f>
        <v>NO</v>
      </c>
      <c r="E16" s="3510" t="s">
        <v>199</v>
      </c>
      <c r="F16" s="3496" t="s">
        <v>199</v>
      </c>
      <c r="G16" s="3500" t="s">
        <v>205</v>
      </c>
      <c r="H16" s="3057" t="s">
        <v>205</v>
      </c>
      <c r="I16" s="3057" t="s">
        <v>205</v>
      </c>
      <c r="J16" s="3057" t="s">
        <v>205</v>
      </c>
      <c r="K16" s="3514" t="s">
        <v>205</v>
      </c>
      <c r="L16" s="3106" t="s">
        <v>205</v>
      </c>
      <c r="M16" s="2917" t="s">
        <v>199</v>
      </c>
      <c r="N16" s="2917" t="s">
        <v>199</v>
      </c>
      <c r="O16" s="3087" t="str">
        <f>IF(SUM(M16:N16)=0,M16,SUM(M16:N16))</f>
        <v>NO</v>
      </c>
      <c r="P16" s="2917" t="s">
        <v>199</v>
      </c>
      <c r="Q16" s="2918" t="s">
        <v>199</v>
      </c>
      <c r="R16" s="2918" t="s">
        <v>199</v>
      </c>
      <c r="S16" s="3534" t="str">
        <f>IF(SUM(O16:R16)=0,Q16,SUM(O16:R16)*-44/12)</f>
        <v>NO</v>
      </c>
      <c r="U16" s="2424"/>
    </row>
    <row r="17" spans="2:21" ht="18" customHeight="1" x14ac:dyDescent="0.2">
      <c r="B17" s="477" t="s">
        <v>1454</v>
      </c>
      <c r="C17" s="2704"/>
      <c r="D17" s="3530" t="str">
        <f>D18</f>
        <v>NO</v>
      </c>
      <c r="E17" s="3057" t="str">
        <f t="shared" ref="E17:F17" si="6">E18</f>
        <v>NO</v>
      </c>
      <c r="F17" s="3057" t="str">
        <f t="shared" si="6"/>
        <v>NO</v>
      </c>
      <c r="G17" s="3500" t="s">
        <v>205</v>
      </c>
      <c r="H17" s="3057" t="s">
        <v>205</v>
      </c>
      <c r="I17" s="3057" t="s">
        <v>205</v>
      </c>
      <c r="J17" s="3057" t="s">
        <v>205</v>
      </c>
      <c r="K17" s="3514" t="s">
        <v>205</v>
      </c>
      <c r="L17" s="3106" t="s">
        <v>205</v>
      </c>
      <c r="M17" s="3530" t="str">
        <f t="shared" ref="M17:S17" si="7">M18</f>
        <v>NO</v>
      </c>
      <c r="N17" s="3531" t="str">
        <f t="shared" si="7"/>
        <v>NO</v>
      </c>
      <c r="O17" s="3532" t="str">
        <f t="shared" si="7"/>
        <v>NO</v>
      </c>
      <c r="P17" s="3531" t="str">
        <f t="shared" si="7"/>
        <v>NO</v>
      </c>
      <c r="Q17" s="3533" t="str">
        <f t="shared" si="7"/>
        <v>NO</v>
      </c>
      <c r="R17" s="3533" t="str">
        <f t="shared" si="7"/>
        <v>NO</v>
      </c>
      <c r="S17" s="3534" t="str">
        <f t="shared" si="7"/>
        <v>NO</v>
      </c>
      <c r="U17" s="2048"/>
    </row>
    <row r="18" spans="2:21" ht="18" customHeight="1" x14ac:dyDescent="0.2">
      <c r="B18" s="490"/>
      <c r="C18" s="498" t="s">
        <v>409</v>
      </c>
      <c r="D18" s="3509" t="str">
        <f>IF(SUM(E18:F18)=0,E18,SUM(E18:F18))</f>
        <v>NO</v>
      </c>
      <c r="E18" s="3510" t="s">
        <v>199</v>
      </c>
      <c r="F18" s="3496" t="s">
        <v>199</v>
      </c>
      <c r="G18" s="3500" t="s">
        <v>205</v>
      </c>
      <c r="H18" s="3057" t="s">
        <v>205</v>
      </c>
      <c r="I18" s="3057" t="s">
        <v>205</v>
      </c>
      <c r="J18" s="3057" t="s">
        <v>205</v>
      </c>
      <c r="K18" s="3514" t="s">
        <v>205</v>
      </c>
      <c r="L18" s="3106" t="s">
        <v>205</v>
      </c>
      <c r="M18" s="2917" t="s">
        <v>199</v>
      </c>
      <c r="N18" s="2917" t="s">
        <v>199</v>
      </c>
      <c r="O18" s="3087" t="str">
        <f>IF(SUM(M18:N18)=0,M18,SUM(M18:N18))</f>
        <v>NO</v>
      </c>
      <c r="P18" s="2917" t="s">
        <v>199</v>
      </c>
      <c r="Q18" s="2918" t="s">
        <v>199</v>
      </c>
      <c r="R18" s="2918" t="s">
        <v>199</v>
      </c>
      <c r="S18" s="3534" t="str">
        <f>IF(SUM(O18:R18)=0,Q18,SUM(O18:R18)*-44/12)</f>
        <v>NO</v>
      </c>
      <c r="U18" s="2424"/>
    </row>
    <row r="19" spans="2:21" ht="18" customHeight="1" x14ac:dyDescent="0.2">
      <c r="B19" s="477" t="s">
        <v>1455</v>
      </c>
      <c r="C19" s="2704"/>
      <c r="D19" s="3530" t="str">
        <f>D20</f>
        <v>NO</v>
      </c>
      <c r="E19" s="3057" t="str">
        <f t="shared" ref="E19:F19" si="8">E20</f>
        <v>NO</v>
      </c>
      <c r="F19" s="3057" t="str">
        <f t="shared" si="8"/>
        <v>NO</v>
      </c>
      <c r="G19" s="3500" t="s">
        <v>205</v>
      </c>
      <c r="H19" s="3057" t="s">
        <v>205</v>
      </c>
      <c r="I19" s="3057" t="s">
        <v>205</v>
      </c>
      <c r="J19" s="3057" t="s">
        <v>205</v>
      </c>
      <c r="K19" s="3514" t="s">
        <v>205</v>
      </c>
      <c r="L19" s="3106" t="s">
        <v>205</v>
      </c>
      <c r="M19" s="3530" t="str">
        <f t="shared" ref="M19:S19" si="9">M20</f>
        <v>NO</v>
      </c>
      <c r="N19" s="3531" t="str">
        <f t="shared" si="9"/>
        <v>NO</v>
      </c>
      <c r="O19" s="3532" t="str">
        <f t="shared" si="9"/>
        <v>NO</v>
      </c>
      <c r="P19" s="3531" t="str">
        <f t="shared" si="9"/>
        <v>NO</v>
      </c>
      <c r="Q19" s="3533" t="str">
        <f t="shared" si="9"/>
        <v>NO</v>
      </c>
      <c r="R19" s="3533" t="str">
        <f t="shared" si="9"/>
        <v>NO</v>
      </c>
      <c r="S19" s="3534" t="str">
        <f t="shared" si="9"/>
        <v>NO</v>
      </c>
      <c r="U19" s="2048"/>
    </row>
    <row r="20" spans="2:21" ht="18" customHeight="1" x14ac:dyDescent="0.2">
      <c r="B20" s="490"/>
      <c r="C20" s="498" t="s">
        <v>409</v>
      </c>
      <c r="D20" s="3509" t="str">
        <f>IF(SUM(E20:F20)=0,E20,SUM(E20:F20))</f>
        <v>NO</v>
      </c>
      <c r="E20" s="3510" t="s">
        <v>199</v>
      </c>
      <c r="F20" s="3496" t="s">
        <v>199</v>
      </c>
      <c r="G20" s="3500" t="s">
        <v>205</v>
      </c>
      <c r="H20" s="3057" t="s">
        <v>205</v>
      </c>
      <c r="I20" s="3057" t="s">
        <v>205</v>
      </c>
      <c r="J20" s="3057" t="s">
        <v>205</v>
      </c>
      <c r="K20" s="3514" t="s">
        <v>205</v>
      </c>
      <c r="L20" s="3106" t="s">
        <v>205</v>
      </c>
      <c r="M20" s="2917" t="s">
        <v>199</v>
      </c>
      <c r="N20" s="2917" t="s">
        <v>199</v>
      </c>
      <c r="O20" s="3087" t="str">
        <f>IF(SUM(M20:N20)=0,M20,SUM(M20:N20))</f>
        <v>NO</v>
      </c>
      <c r="P20" s="2917" t="s">
        <v>199</v>
      </c>
      <c r="Q20" s="2918" t="s">
        <v>199</v>
      </c>
      <c r="R20" s="2918" t="s">
        <v>199</v>
      </c>
      <c r="S20" s="3534" t="str">
        <f>IF(SUM(O20:R20)=0,Q20,SUM(O20:R20)*-44/12)</f>
        <v>NO</v>
      </c>
      <c r="U20" s="2424"/>
    </row>
    <row r="21" spans="2:21" ht="18" customHeight="1" x14ac:dyDescent="0.2">
      <c r="B21" s="477" t="s">
        <v>1456</v>
      </c>
      <c r="C21" s="2704"/>
      <c r="D21" s="3530" t="str">
        <f>D22</f>
        <v>NO</v>
      </c>
      <c r="E21" s="3057" t="str">
        <f t="shared" ref="E21:F21" si="10">E22</f>
        <v>NO</v>
      </c>
      <c r="F21" s="3057" t="str">
        <f t="shared" si="10"/>
        <v>NO</v>
      </c>
      <c r="G21" s="3500" t="s">
        <v>205</v>
      </c>
      <c r="H21" s="3057" t="s">
        <v>205</v>
      </c>
      <c r="I21" s="3057" t="s">
        <v>205</v>
      </c>
      <c r="J21" s="3057" t="s">
        <v>205</v>
      </c>
      <c r="K21" s="3514" t="s">
        <v>205</v>
      </c>
      <c r="L21" s="3106" t="s">
        <v>205</v>
      </c>
      <c r="M21" s="3530" t="str">
        <f t="shared" ref="M21:S21" si="11">M22</f>
        <v>NO</v>
      </c>
      <c r="N21" s="3531" t="str">
        <f t="shared" si="11"/>
        <v>NO</v>
      </c>
      <c r="O21" s="3532" t="str">
        <f t="shared" si="11"/>
        <v>NO</v>
      </c>
      <c r="P21" s="3531" t="str">
        <f t="shared" si="11"/>
        <v>NO</v>
      </c>
      <c r="Q21" s="3533" t="str">
        <f t="shared" si="11"/>
        <v>NO</v>
      </c>
      <c r="R21" s="3533" t="str">
        <f t="shared" si="11"/>
        <v>NO</v>
      </c>
      <c r="S21" s="3534" t="str">
        <f t="shared" si="11"/>
        <v>NO</v>
      </c>
      <c r="U21" s="2048"/>
    </row>
    <row r="22" spans="2:21" ht="18" customHeight="1" thickBot="1" x14ac:dyDescent="0.25">
      <c r="B22" s="865"/>
      <c r="C22" s="500" t="s">
        <v>409</v>
      </c>
      <c r="D22" s="3509" t="str">
        <f>IF(SUM(E22:F22)=0,E22,SUM(E22:F22))</f>
        <v>NO</v>
      </c>
      <c r="E22" s="3510" t="s">
        <v>199</v>
      </c>
      <c r="F22" s="3496" t="s">
        <v>199</v>
      </c>
      <c r="G22" s="3500" t="s">
        <v>205</v>
      </c>
      <c r="H22" s="3057" t="s">
        <v>205</v>
      </c>
      <c r="I22" s="3057" t="s">
        <v>205</v>
      </c>
      <c r="J22" s="3057" t="s">
        <v>205</v>
      </c>
      <c r="K22" s="3514" t="s">
        <v>205</v>
      </c>
      <c r="L22" s="3106" t="s">
        <v>205</v>
      </c>
      <c r="M22" s="2917" t="s">
        <v>199</v>
      </c>
      <c r="N22" s="2917" t="s">
        <v>199</v>
      </c>
      <c r="O22" s="3087" t="str">
        <f>IF(SUM(M22:N22)=0,M22,SUM(M22:N22))</f>
        <v>NO</v>
      </c>
      <c r="P22" s="2917" t="s">
        <v>199</v>
      </c>
      <c r="Q22" s="2918" t="s">
        <v>199</v>
      </c>
      <c r="R22" s="2918" t="s">
        <v>199</v>
      </c>
      <c r="S22" s="3534" t="str">
        <f>IF(SUM(O22:R22)=0,Q22,SUM(O22:R22)*-44/12)</f>
        <v>NO</v>
      </c>
      <c r="U22" s="2425"/>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2460</v>
      </c>
    </row>
    <row r="2" spans="1:12" ht="19.5" x14ac:dyDescent="0.3">
      <c r="B2" s="208" t="s">
        <v>1458</v>
      </c>
      <c r="C2" s="208"/>
      <c r="D2" s="208"/>
      <c r="E2" s="208"/>
      <c r="F2"/>
      <c r="G2"/>
      <c r="H2"/>
      <c r="I2" s="226"/>
      <c r="L2" s="14" t="s">
        <v>2461</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5"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3"/>
      <c r="D7" s="2344"/>
      <c r="E7" s="2345"/>
      <c r="F7" s="337" t="s">
        <v>1461</v>
      </c>
      <c r="G7" s="2350" t="s">
        <v>1462</v>
      </c>
      <c r="H7" s="2342"/>
      <c r="I7" s="337" t="s">
        <v>1463</v>
      </c>
      <c r="J7" s="325" t="s">
        <v>1464</v>
      </c>
      <c r="K7" s="325"/>
      <c r="L7" s="263" t="s">
        <v>1465</v>
      </c>
    </row>
    <row r="8" spans="1:12" ht="72" x14ac:dyDescent="0.2">
      <c r="B8" s="2341" t="s">
        <v>1466</v>
      </c>
      <c r="C8" s="1477" t="s">
        <v>1467</v>
      </c>
      <c r="D8" s="2346" t="s">
        <v>1468</v>
      </c>
      <c r="E8" s="1809" t="s">
        <v>1469</v>
      </c>
      <c r="F8" s="2349" t="s">
        <v>1470</v>
      </c>
      <c r="G8" s="2351" t="s">
        <v>1471</v>
      </c>
      <c r="H8" s="2352" t="s">
        <v>1472</v>
      </c>
      <c r="I8" s="2353"/>
      <c r="J8" s="92" t="s">
        <v>1473</v>
      </c>
      <c r="K8" s="1772" t="s">
        <v>1474</v>
      </c>
      <c r="L8" s="1848"/>
    </row>
    <row r="9" spans="1:12" ht="24" customHeight="1" thickBot="1" x14ac:dyDescent="0.25">
      <c r="B9" s="1592"/>
      <c r="C9" s="2357" t="s">
        <v>1152</v>
      </c>
      <c r="D9" s="2358"/>
      <c r="E9" s="2359"/>
      <c r="F9" s="2347" t="s">
        <v>1475</v>
      </c>
      <c r="G9" s="2051"/>
      <c r="H9" s="2348"/>
      <c r="I9" s="2354" t="s">
        <v>171</v>
      </c>
      <c r="J9" s="2355"/>
      <c r="K9" s="2355"/>
      <c r="L9" s="2356"/>
    </row>
    <row r="10" spans="1:12" ht="39" thickTop="1" thickBot="1" x14ac:dyDescent="0.25">
      <c r="B10" s="901" t="s">
        <v>1476</v>
      </c>
      <c r="C10" s="2705" t="s">
        <v>274</v>
      </c>
      <c r="D10" s="2706" t="s">
        <v>274</v>
      </c>
      <c r="E10" s="2707" t="s">
        <v>274</v>
      </c>
      <c r="F10" s="2705" t="s">
        <v>205</v>
      </c>
      <c r="G10" s="2708" t="s">
        <v>205</v>
      </c>
      <c r="H10" s="2707" t="s">
        <v>205</v>
      </c>
      <c r="I10" s="2705" t="s">
        <v>274</v>
      </c>
      <c r="J10" s="2706" t="s">
        <v>274</v>
      </c>
      <c r="K10" s="2709" t="s">
        <v>274</v>
      </c>
      <c r="L10" s="2707" t="s">
        <v>274</v>
      </c>
    </row>
    <row r="11" spans="1:12" ht="18" customHeight="1" x14ac:dyDescent="0.2">
      <c r="A11" s="1559"/>
      <c r="B11" s="1811" t="s">
        <v>498</v>
      </c>
      <c r="C11" s="2710"/>
      <c r="D11" s="2711"/>
      <c r="E11" s="2711"/>
      <c r="F11" s="2711"/>
      <c r="G11" s="2711"/>
      <c r="H11" s="2711"/>
      <c r="I11" s="2711"/>
      <c r="J11" s="2711"/>
      <c r="K11" s="2711"/>
      <c r="L11" s="2712"/>
    </row>
    <row r="12" spans="1:12" ht="18" customHeight="1" x14ac:dyDescent="0.2">
      <c r="B12" s="900" t="s">
        <v>1477</v>
      </c>
      <c r="C12" s="2713" t="s">
        <v>274</v>
      </c>
      <c r="D12" s="2714" t="s">
        <v>274</v>
      </c>
      <c r="E12" s="2715" t="s">
        <v>274</v>
      </c>
      <c r="F12" s="2713" t="s">
        <v>205</v>
      </c>
      <c r="G12" s="2716" t="s">
        <v>205</v>
      </c>
      <c r="H12" s="2715" t="s">
        <v>205</v>
      </c>
      <c r="I12" s="2713" t="s">
        <v>274</v>
      </c>
      <c r="J12" s="2714" t="s">
        <v>274</v>
      </c>
      <c r="K12" s="2717" t="s">
        <v>274</v>
      </c>
      <c r="L12" s="2715" t="s">
        <v>274</v>
      </c>
    </row>
    <row r="13" spans="1:12" ht="18" customHeight="1" x14ac:dyDescent="0.2">
      <c r="B13" s="900" t="s">
        <v>1478</v>
      </c>
      <c r="C13" s="2713" t="s">
        <v>274</v>
      </c>
      <c r="D13" s="2714" t="s">
        <v>274</v>
      </c>
      <c r="E13" s="2715" t="s">
        <v>274</v>
      </c>
      <c r="F13" s="2713" t="s">
        <v>205</v>
      </c>
      <c r="G13" s="2716" t="s">
        <v>205</v>
      </c>
      <c r="H13" s="2715" t="s">
        <v>205</v>
      </c>
      <c r="I13" s="2713" t="s">
        <v>274</v>
      </c>
      <c r="J13" s="2714" t="s">
        <v>274</v>
      </c>
      <c r="K13" s="2717" t="s">
        <v>274</v>
      </c>
      <c r="L13" s="2715" t="s">
        <v>274</v>
      </c>
    </row>
    <row r="14" spans="1:12" ht="18" customHeight="1" x14ac:dyDescent="0.2">
      <c r="B14" s="2458" t="s">
        <v>1479</v>
      </c>
      <c r="C14" s="2718" t="s">
        <v>274</v>
      </c>
      <c r="D14" s="2669" t="s">
        <v>274</v>
      </c>
      <c r="E14" s="2719" t="s">
        <v>274</v>
      </c>
      <c r="F14" s="2720" t="s">
        <v>205</v>
      </c>
      <c r="G14" s="2721" t="s">
        <v>205</v>
      </c>
      <c r="H14" s="2722" t="s">
        <v>205</v>
      </c>
      <c r="I14" s="2723" t="s">
        <v>274</v>
      </c>
      <c r="J14" s="2724" t="s">
        <v>274</v>
      </c>
      <c r="K14" s="2725" t="s">
        <v>274</v>
      </c>
      <c r="L14" s="2726" t="s">
        <v>274</v>
      </c>
    </row>
    <row r="15" spans="1:12" ht="18" customHeight="1" x14ac:dyDescent="0.2">
      <c r="B15" s="2458" t="s">
        <v>1480</v>
      </c>
      <c r="C15" s="2727" t="s">
        <v>199</v>
      </c>
      <c r="D15" s="2728" t="s">
        <v>199</v>
      </c>
      <c r="E15" s="2729" t="s">
        <v>199</v>
      </c>
      <c r="F15" s="2713" t="s">
        <v>205</v>
      </c>
      <c r="G15" s="2716" t="s">
        <v>205</v>
      </c>
      <c r="H15" s="2715" t="s">
        <v>205</v>
      </c>
      <c r="I15" s="2727" t="s">
        <v>199</v>
      </c>
      <c r="J15" s="2728" t="s">
        <v>199</v>
      </c>
      <c r="K15" s="2730" t="s">
        <v>199</v>
      </c>
      <c r="L15" s="2729" t="s">
        <v>199</v>
      </c>
    </row>
    <row r="16" spans="1:12" ht="18" customHeight="1" x14ac:dyDescent="0.2">
      <c r="B16" s="900" t="s">
        <v>1481</v>
      </c>
      <c r="C16" s="2731" t="s">
        <v>274</v>
      </c>
      <c r="D16" s="2732" t="s">
        <v>274</v>
      </c>
      <c r="E16" s="2733" t="s">
        <v>274</v>
      </c>
      <c r="F16" s="2720" t="s">
        <v>205</v>
      </c>
      <c r="G16" s="2721" t="s">
        <v>205</v>
      </c>
      <c r="H16" s="2722" t="s">
        <v>205</v>
      </c>
      <c r="I16" s="2734" t="s">
        <v>274</v>
      </c>
      <c r="J16" s="2735" t="s">
        <v>274</v>
      </c>
      <c r="K16" s="2736" t="s">
        <v>274</v>
      </c>
      <c r="L16" s="2737" t="s">
        <v>274</v>
      </c>
    </row>
    <row r="17" spans="2:12" ht="18" customHeight="1" x14ac:dyDescent="0.2">
      <c r="B17" s="2458" t="s">
        <v>1482</v>
      </c>
      <c r="C17" s="2718" t="s">
        <v>274</v>
      </c>
      <c r="D17" s="2669" t="s">
        <v>274</v>
      </c>
      <c r="E17" s="2719" t="s">
        <v>274</v>
      </c>
      <c r="F17" s="2720" t="s">
        <v>205</v>
      </c>
      <c r="G17" s="2721" t="s">
        <v>205</v>
      </c>
      <c r="H17" s="2722" t="s">
        <v>205</v>
      </c>
      <c r="I17" s="2723" t="s">
        <v>274</v>
      </c>
      <c r="J17" s="2724" t="s">
        <v>274</v>
      </c>
      <c r="K17" s="2725" t="s">
        <v>274</v>
      </c>
      <c r="L17" s="2726" t="s">
        <v>274</v>
      </c>
    </row>
    <row r="18" spans="2:12" ht="18" customHeight="1" thickBot="1" x14ac:dyDescent="0.25">
      <c r="B18" s="2459" t="s">
        <v>1483</v>
      </c>
      <c r="C18" s="2738" t="s">
        <v>199</v>
      </c>
      <c r="D18" s="2739" t="s">
        <v>199</v>
      </c>
      <c r="E18" s="2686" t="s">
        <v>199</v>
      </c>
      <c r="F18" s="2740" t="s">
        <v>205</v>
      </c>
      <c r="G18" s="2741" t="s">
        <v>205</v>
      </c>
      <c r="H18" s="2742" t="s">
        <v>205</v>
      </c>
      <c r="I18" s="2743" t="s">
        <v>199</v>
      </c>
      <c r="J18" s="2744" t="s">
        <v>199</v>
      </c>
      <c r="K18" s="2745" t="s">
        <v>199</v>
      </c>
      <c r="L18" s="246" t="s">
        <v>199</v>
      </c>
    </row>
    <row r="19" spans="2:12" ht="18" customHeight="1" x14ac:dyDescent="0.2">
      <c r="B19" s="853" t="s">
        <v>1484</v>
      </c>
      <c r="C19" s="2746" t="s">
        <v>274</v>
      </c>
      <c r="D19" s="2747" t="s">
        <v>274</v>
      </c>
      <c r="E19" s="2748" t="s">
        <v>274</v>
      </c>
      <c r="F19" s="2746" t="s">
        <v>205</v>
      </c>
      <c r="G19" s="2749" t="s">
        <v>205</v>
      </c>
      <c r="H19" s="2748" t="s">
        <v>205</v>
      </c>
      <c r="I19" s="2746" t="s">
        <v>274</v>
      </c>
      <c r="J19" s="2747" t="s">
        <v>274</v>
      </c>
      <c r="K19" s="2750" t="s">
        <v>274</v>
      </c>
      <c r="L19" s="2748" t="s">
        <v>274</v>
      </c>
    </row>
    <row r="20" spans="2:12" ht="18" customHeight="1" x14ac:dyDescent="0.2">
      <c r="B20" s="900" t="s">
        <v>1485</v>
      </c>
      <c r="C20" s="2731" t="s">
        <v>274</v>
      </c>
      <c r="D20" s="2732" t="s">
        <v>274</v>
      </c>
      <c r="E20" s="2733" t="s">
        <v>274</v>
      </c>
      <c r="F20" s="2720" t="s">
        <v>205</v>
      </c>
      <c r="G20" s="2721" t="s">
        <v>205</v>
      </c>
      <c r="H20" s="2722" t="s">
        <v>205</v>
      </c>
      <c r="I20" s="2731" t="s">
        <v>274</v>
      </c>
      <c r="J20" s="2732" t="s">
        <v>274</v>
      </c>
      <c r="K20" s="2751" t="s">
        <v>274</v>
      </c>
      <c r="L20" s="2733" t="s">
        <v>274</v>
      </c>
    </row>
    <row r="21" spans="2:12" ht="18" customHeight="1" x14ac:dyDescent="0.2">
      <c r="B21" s="2458" t="s">
        <v>1486</v>
      </c>
      <c r="C21" s="2718" t="s">
        <v>274</v>
      </c>
      <c r="D21" s="2669" t="s">
        <v>274</v>
      </c>
      <c r="E21" s="2719" t="s">
        <v>274</v>
      </c>
      <c r="F21" s="2720" t="s">
        <v>205</v>
      </c>
      <c r="G21" s="2721" t="s">
        <v>205</v>
      </c>
      <c r="H21" s="2722" t="s">
        <v>205</v>
      </c>
      <c r="I21" s="2723" t="s">
        <v>274</v>
      </c>
      <c r="J21" s="2724" t="s">
        <v>274</v>
      </c>
      <c r="K21" s="2725" t="s">
        <v>274</v>
      </c>
      <c r="L21" s="2726" t="s">
        <v>274</v>
      </c>
    </row>
    <row r="22" spans="2:12" ht="18" customHeight="1" x14ac:dyDescent="0.2">
      <c r="B22" s="2458" t="s">
        <v>1487</v>
      </c>
      <c r="C22" s="2718" t="s">
        <v>199</v>
      </c>
      <c r="D22" s="2669" t="s">
        <v>199</v>
      </c>
      <c r="E22" s="2719" t="s">
        <v>199</v>
      </c>
      <c r="F22" s="2720" t="s">
        <v>205</v>
      </c>
      <c r="G22" s="2721" t="s">
        <v>205</v>
      </c>
      <c r="H22" s="2722" t="s">
        <v>205</v>
      </c>
      <c r="I22" s="2723" t="s">
        <v>199</v>
      </c>
      <c r="J22" s="2724" t="s">
        <v>199</v>
      </c>
      <c r="K22" s="2725" t="s">
        <v>199</v>
      </c>
      <c r="L22" s="2726" t="s">
        <v>199</v>
      </c>
    </row>
    <row r="23" spans="2:12" ht="18" customHeight="1" x14ac:dyDescent="0.2">
      <c r="B23" s="900" t="s">
        <v>1488</v>
      </c>
      <c r="C23" s="2731" t="s">
        <v>274</v>
      </c>
      <c r="D23" s="2732" t="s">
        <v>274</v>
      </c>
      <c r="E23" s="2733" t="s">
        <v>274</v>
      </c>
      <c r="F23" s="2720" t="s">
        <v>205</v>
      </c>
      <c r="G23" s="2721" t="s">
        <v>205</v>
      </c>
      <c r="H23" s="2722" t="s">
        <v>205</v>
      </c>
      <c r="I23" s="2731" t="s">
        <v>274</v>
      </c>
      <c r="J23" s="2732" t="s">
        <v>274</v>
      </c>
      <c r="K23" s="2751" t="s">
        <v>274</v>
      </c>
      <c r="L23" s="2733" t="s">
        <v>274</v>
      </c>
    </row>
    <row r="24" spans="2:12" ht="18" customHeight="1" x14ac:dyDescent="0.2">
      <c r="B24" s="2458" t="s">
        <v>1489</v>
      </c>
      <c r="C24" s="2718" t="s">
        <v>274</v>
      </c>
      <c r="D24" s="2669" t="s">
        <v>274</v>
      </c>
      <c r="E24" s="2719" t="s">
        <v>274</v>
      </c>
      <c r="F24" s="2720" t="s">
        <v>205</v>
      </c>
      <c r="G24" s="2721" t="s">
        <v>205</v>
      </c>
      <c r="H24" s="2722" t="s">
        <v>205</v>
      </c>
      <c r="I24" s="2723" t="s">
        <v>274</v>
      </c>
      <c r="J24" s="2724" t="s">
        <v>274</v>
      </c>
      <c r="K24" s="2725" t="s">
        <v>274</v>
      </c>
      <c r="L24" s="2726" t="s">
        <v>274</v>
      </c>
    </row>
    <row r="25" spans="2:12" ht="18" customHeight="1" thickBot="1" x14ac:dyDescent="0.25">
      <c r="B25" s="2459" t="s">
        <v>1490</v>
      </c>
      <c r="C25" s="2738" t="s">
        <v>199</v>
      </c>
      <c r="D25" s="2739" t="s">
        <v>199</v>
      </c>
      <c r="E25" s="2686" t="s">
        <v>199</v>
      </c>
      <c r="F25" s="2740" t="s">
        <v>205</v>
      </c>
      <c r="G25" s="2741" t="s">
        <v>205</v>
      </c>
      <c r="H25" s="2742" t="s">
        <v>205</v>
      </c>
      <c r="I25" s="2743" t="s">
        <v>199</v>
      </c>
      <c r="J25" s="2744" t="s">
        <v>199</v>
      </c>
      <c r="K25" s="2745" t="s">
        <v>199</v>
      </c>
      <c r="L25" s="246" t="s">
        <v>199</v>
      </c>
    </row>
    <row r="26" spans="2:12" ht="18" customHeight="1" x14ac:dyDescent="0.2">
      <c r="B26" s="853" t="s">
        <v>1491</v>
      </c>
      <c r="C26" s="2746" t="s">
        <v>274</v>
      </c>
      <c r="D26" s="2747" t="s">
        <v>274</v>
      </c>
      <c r="E26" s="2748" t="s">
        <v>274</v>
      </c>
      <c r="F26" s="2746" t="s">
        <v>205</v>
      </c>
      <c r="G26" s="2749" t="s">
        <v>205</v>
      </c>
      <c r="H26" s="2748" t="s">
        <v>205</v>
      </c>
      <c r="I26" s="2746" t="s">
        <v>274</v>
      </c>
      <c r="J26" s="2747" t="s">
        <v>274</v>
      </c>
      <c r="K26" s="2750" t="s">
        <v>274</v>
      </c>
      <c r="L26" s="2748" t="s">
        <v>274</v>
      </c>
    </row>
    <row r="27" spans="2:12" ht="18" customHeight="1" x14ac:dyDescent="0.2">
      <c r="B27" s="900" t="s">
        <v>1492</v>
      </c>
      <c r="C27" s="2731" t="s">
        <v>274</v>
      </c>
      <c r="D27" s="2732" t="s">
        <v>274</v>
      </c>
      <c r="E27" s="2733" t="s">
        <v>274</v>
      </c>
      <c r="F27" s="2720" t="s">
        <v>205</v>
      </c>
      <c r="G27" s="2721" t="s">
        <v>205</v>
      </c>
      <c r="H27" s="2722" t="s">
        <v>205</v>
      </c>
      <c r="I27" s="2731" t="s">
        <v>274</v>
      </c>
      <c r="J27" s="2732" t="s">
        <v>274</v>
      </c>
      <c r="K27" s="2751" t="s">
        <v>274</v>
      </c>
      <c r="L27" s="2733" t="s">
        <v>274</v>
      </c>
    </row>
    <row r="28" spans="2:12" ht="18" customHeight="1" x14ac:dyDescent="0.2">
      <c r="B28" s="2458" t="s">
        <v>1493</v>
      </c>
      <c r="C28" s="2718" t="s">
        <v>274</v>
      </c>
      <c r="D28" s="2669" t="s">
        <v>274</v>
      </c>
      <c r="E28" s="2719" t="s">
        <v>274</v>
      </c>
      <c r="F28" s="2720" t="s">
        <v>205</v>
      </c>
      <c r="G28" s="2721" t="s">
        <v>205</v>
      </c>
      <c r="H28" s="2722" t="s">
        <v>205</v>
      </c>
      <c r="I28" s="2723" t="s">
        <v>274</v>
      </c>
      <c r="J28" s="2724" t="s">
        <v>274</v>
      </c>
      <c r="K28" s="2725" t="s">
        <v>274</v>
      </c>
      <c r="L28" s="2726" t="s">
        <v>274</v>
      </c>
    </row>
    <row r="29" spans="2:12" ht="18" customHeight="1" x14ac:dyDescent="0.2">
      <c r="B29" s="2458" t="s">
        <v>1494</v>
      </c>
      <c r="C29" s="2718" t="s">
        <v>199</v>
      </c>
      <c r="D29" s="2669" t="s">
        <v>199</v>
      </c>
      <c r="E29" s="2719" t="s">
        <v>199</v>
      </c>
      <c r="F29" s="2720" t="s">
        <v>205</v>
      </c>
      <c r="G29" s="2721" t="s">
        <v>205</v>
      </c>
      <c r="H29" s="2722" t="s">
        <v>205</v>
      </c>
      <c r="I29" s="2723" t="s">
        <v>199</v>
      </c>
      <c r="J29" s="2724" t="s">
        <v>199</v>
      </c>
      <c r="K29" s="2725" t="s">
        <v>199</v>
      </c>
      <c r="L29" s="2726" t="s">
        <v>199</v>
      </c>
    </row>
    <row r="30" spans="2:12" ht="18" customHeight="1" x14ac:dyDescent="0.2">
      <c r="B30" s="900" t="s">
        <v>1495</v>
      </c>
      <c r="C30" s="2731" t="s">
        <v>274</v>
      </c>
      <c r="D30" s="2732" t="s">
        <v>274</v>
      </c>
      <c r="E30" s="2733" t="s">
        <v>274</v>
      </c>
      <c r="F30" s="2720" t="s">
        <v>205</v>
      </c>
      <c r="G30" s="2721" t="s">
        <v>205</v>
      </c>
      <c r="H30" s="2722" t="s">
        <v>205</v>
      </c>
      <c r="I30" s="2731" t="s">
        <v>274</v>
      </c>
      <c r="J30" s="2732" t="s">
        <v>274</v>
      </c>
      <c r="K30" s="2751" t="s">
        <v>274</v>
      </c>
      <c r="L30" s="2733" t="s">
        <v>274</v>
      </c>
    </row>
    <row r="31" spans="2:12" ht="18" customHeight="1" x14ac:dyDescent="0.2">
      <c r="B31" s="2458" t="s">
        <v>1496</v>
      </c>
      <c r="C31" s="2718" t="s">
        <v>274</v>
      </c>
      <c r="D31" s="2669" t="s">
        <v>274</v>
      </c>
      <c r="E31" s="2719" t="s">
        <v>274</v>
      </c>
      <c r="F31" s="2720" t="s">
        <v>205</v>
      </c>
      <c r="G31" s="2721" t="s">
        <v>205</v>
      </c>
      <c r="H31" s="2722" t="s">
        <v>205</v>
      </c>
      <c r="I31" s="2723" t="s">
        <v>274</v>
      </c>
      <c r="J31" s="2724" t="s">
        <v>274</v>
      </c>
      <c r="K31" s="2725" t="s">
        <v>274</v>
      </c>
      <c r="L31" s="2726" t="s">
        <v>274</v>
      </c>
    </row>
    <row r="32" spans="2:12" ht="18" customHeight="1" thickBot="1" x14ac:dyDescent="0.25">
      <c r="B32" s="2459" t="s">
        <v>1497</v>
      </c>
      <c r="C32" s="2738" t="s">
        <v>199</v>
      </c>
      <c r="D32" s="2739" t="s">
        <v>199</v>
      </c>
      <c r="E32" s="2686" t="s">
        <v>199</v>
      </c>
      <c r="F32" s="2740" t="s">
        <v>205</v>
      </c>
      <c r="G32" s="2741" t="s">
        <v>205</v>
      </c>
      <c r="H32" s="2742" t="s">
        <v>205</v>
      </c>
      <c r="I32" s="2743" t="s">
        <v>199</v>
      </c>
      <c r="J32" s="2744" t="s">
        <v>199</v>
      </c>
      <c r="K32" s="2745" t="s">
        <v>199</v>
      </c>
      <c r="L32" s="246" t="s">
        <v>199</v>
      </c>
    </row>
    <row r="33" spans="2:12" ht="18" customHeight="1" x14ac:dyDescent="0.2">
      <c r="B33" s="902" t="s">
        <v>1498</v>
      </c>
      <c r="C33" s="2752" t="s">
        <v>199</v>
      </c>
      <c r="D33" s="2753" t="s">
        <v>199</v>
      </c>
      <c r="E33" s="2754" t="s">
        <v>199</v>
      </c>
      <c r="F33" s="2755" t="s">
        <v>205</v>
      </c>
      <c r="G33" s="2756" t="s">
        <v>205</v>
      </c>
      <c r="H33" s="2757" t="s">
        <v>205</v>
      </c>
      <c r="I33" s="2758" t="s">
        <v>199</v>
      </c>
      <c r="J33" s="2759" t="s">
        <v>199</v>
      </c>
      <c r="K33" s="2760" t="s">
        <v>199</v>
      </c>
      <c r="L33" s="2761" t="s">
        <v>199</v>
      </c>
    </row>
    <row r="34" spans="2:12" ht="18" customHeight="1" x14ac:dyDescent="0.2">
      <c r="B34" s="2458" t="s">
        <v>1499</v>
      </c>
      <c r="C34" s="2718" t="s">
        <v>199</v>
      </c>
      <c r="D34" s="2669" t="s">
        <v>199</v>
      </c>
      <c r="E34" s="2719" t="s">
        <v>199</v>
      </c>
      <c r="F34" s="2720" t="s">
        <v>205</v>
      </c>
      <c r="G34" s="2721" t="s">
        <v>205</v>
      </c>
      <c r="H34" s="2722" t="s">
        <v>205</v>
      </c>
      <c r="I34" s="2723" t="s">
        <v>199</v>
      </c>
      <c r="J34" s="2724" t="s">
        <v>199</v>
      </c>
      <c r="K34" s="2725" t="s">
        <v>199</v>
      </c>
      <c r="L34" s="2726" t="s">
        <v>199</v>
      </c>
    </row>
    <row r="35" spans="2:12" ht="18" customHeight="1" thickBot="1" x14ac:dyDescent="0.25">
      <c r="B35" s="2459" t="s">
        <v>1500</v>
      </c>
      <c r="C35" s="2762" t="s">
        <v>199</v>
      </c>
      <c r="D35" s="2763" t="s">
        <v>199</v>
      </c>
      <c r="E35" s="2764" t="s">
        <v>199</v>
      </c>
      <c r="F35" s="2765" t="s">
        <v>205</v>
      </c>
      <c r="G35" s="2766" t="s">
        <v>205</v>
      </c>
      <c r="H35" s="2767" t="s">
        <v>205</v>
      </c>
      <c r="I35" s="2743" t="s">
        <v>199</v>
      </c>
      <c r="J35" s="2744" t="s">
        <v>199</v>
      </c>
      <c r="K35" s="2745"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509" t="s">
        <v>1501</v>
      </c>
      <c r="C53" s="4510"/>
      <c r="D53" s="4510"/>
      <c r="E53" s="4510"/>
      <c r="F53" s="4510"/>
      <c r="G53" s="4510"/>
      <c r="H53" s="4510"/>
      <c r="I53" s="4510"/>
      <c r="J53" s="4510"/>
      <c r="K53" s="4510"/>
      <c r="L53" s="4511"/>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31"/>
      <c r="C55" s="4531"/>
      <c r="D55" s="4531"/>
      <c r="E55" s="4531"/>
      <c r="F55" s="4531"/>
      <c r="G55" s="4531"/>
      <c r="H55" s="4531"/>
      <c r="I55" s="4531"/>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2460</v>
      </c>
    </row>
    <row r="2" spans="2:10" ht="15.75" x14ac:dyDescent="0.25">
      <c r="B2" s="510" t="s">
        <v>1503</v>
      </c>
      <c r="C2" s="510"/>
      <c r="D2" s="510"/>
      <c r="E2" s="510"/>
      <c r="J2" s="14" t="s">
        <v>2461</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5"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32" t="s">
        <v>1505</v>
      </c>
      <c r="C8" s="2474" t="s">
        <v>1312</v>
      </c>
      <c r="D8" s="2838" t="s">
        <v>1506</v>
      </c>
      <c r="E8" s="910" t="s">
        <v>1507</v>
      </c>
      <c r="F8" s="909" t="s">
        <v>1508</v>
      </c>
      <c r="G8" s="511" t="s">
        <v>1509</v>
      </c>
      <c r="H8" s="512" t="s">
        <v>1510</v>
      </c>
      <c r="I8" s="512" t="s">
        <v>1511</v>
      </c>
      <c r="J8" s="513" t="s">
        <v>1512</v>
      </c>
    </row>
    <row r="9" spans="2:10" ht="15" thickBot="1" x14ac:dyDescent="0.3">
      <c r="B9" s="4533"/>
      <c r="C9" s="2475"/>
      <c r="D9" s="2839" t="s">
        <v>1292</v>
      </c>
      <c r="E9" s="911" t="s">
        <v>1513</v>
      </c>
      <c r="F9" s="813" t="s">
        <v>1514</v>
      </c>
      <c r="G9" s="514" t="s">
        <v>1515</v>
      </c>
      <c r="H9" s="907" t="s">
        <v>171</v>
      </c>
      <c r="I9" s="907"/>
      <c r="J9" s="908"/>
    </row>
    <row r="10" spans="2:10" ht="18" customHeight="1" thickTop="1" thickBot="1" x14ac:dyDescent="0.25">
      <c r="B10" s="913" t="s">
        <v>1516</v>
      </c>
      <c r="C10" s="2840"/>
      <c r="D10" s="2798"/>
      <c r="E10" s="2799"/>
      <c r="F10" s="2800"/>
      <c r="G10" s="2798"/>
      <c r="H10" s="2832" t="str">
        <f>H269</f>
        <v>IE,NE</v>
      </c>
      <c r="I10" s="2801" t="s">
        <v>221</v>
      </c>
      <c r="J10" s="3657">
        <f>J269</f>
        <v>55.006675600249558</v>
      </c>
    </row>
    <row r="11" spans="2:10" ht="18" customHeight="1" x14ac:dyDescent="0.2">
      <c r="B11" s="912" t="s">
        <v>1517</v>
      </c>
      <c r="C11" s="2841"/>
      <c r="D11" s="2802"/>
      <c r="E11" s="2803"/>
      <c r="F11" s="2804"/>
      <c r="G11" s="2802"/>
      <c r="H11" s="2833" t="s">
        <v>221</v>
      </c>
      <c r="I11" s="2828" t="s">
        <v>221</v>
      </c>
      <c r="J11" s="3658" t="s">
        <v>221</v>
      </c>
    </row>
    <row r="12" spans="2:10" ht="18" customHeight="1" collapsed="1" x14ac:dyDescent="0.2">
      <c r="B12" s="912" t="s">
        <v>1518</v>
      </c>
      <c r="C12" s="2841"/>
      <c r="D12" s="2802"/>
      <c r="E12" s="2803"/>
      <c r="F12" s="2804"/>
      <c r="G12" s="2802"/>
      <c r="H12" s="2834" t="s">
        <v>221</v>
      </c>
      <c r="I12" s="2830" t="s">
        <v>221</v>
      </c>
      <c r="J12" s="3659" t="s">
        <v>221</v>
      </c>
    </row>
    <row r="13" spans="2:10" ht="18" hidden="1" customHeight="1" outlineLevel="1" x14ac:dyDescent="0.2">
      <c r="B13" s="2842" t="s">
        <v>1519</v>
      </c>
      <c r="C13" s="2843"/>
      <c r="D13" s="2805" t="s">
        <v>221</v>
      </c>
      <c r="E13" s="2835" t="s">
        <v>205</v>
      </c>
      <c r="F13" s="2813" t="s">
        <v>205</v>
      </c>
      <c r="G13" s="2805" t="s">
        <v>205</v>
      </c>
      <c r="H13" s="2806" t="s">
        <v>221</v>
      </c>
      <c r="I13" s="2768" t="s">
        <v>221</v>
      </c>
      <c r="J13" s="3651" t="s">
        <v>221</v>
      </c>
    </row>
    <row r="14" spans="2:10" ht="18" hidden="1" customHeight="1" outlineLevel="1" x14ac:dyDescent="0.2">
      <c r="B14" s="2844" t="s">
        <v>271</v>
      </c>
      <c r="C14" s="2843"/>
      <c r="D14" s="2807"/>
      <c r="E14" s="2807"/>
      <c r="F14" s="2807"/>
      <c r="G14" s="2807"/>
      <c r="H14" s="2807"/>
      <c r="I14" s="2807"/>
      <c r="J14" s="3660"/>
    </row>
    <row r="15" spans="2:10" ht="18" hidden="1" customHeight="1" outlineLevel="1" x14ac:dyDescent="0.2">
      <c r="B15" s="2845" t="s">
        <v>1520</v>
      </c>
      <c r="C15" s="2846" t="s">
        <v>409</v>
      </c>
      <c r="D15" s="2808" t="s">
        <v>199</v>
      </c>
      <c r="E15" s="2770" t="s">
        <v>205</v>
      </c>
      <c r="F15" s="2768" t="s">
        <v>205</v>
      </c>
      <c r="G15" s="2769" t="s">
        <v>205</v>
      </c>
      <c r="H15" s="2809" t="s">
        <v>199</v>
      </c>
      <c r="I15" s="2810" t="s">
        <v>199</v>
      </c>
      <c r="J15" s="3661" t="s">
        <v>199</v>
      </c>
    </row>
    <row r="16" spans="2:10" ht="18" hidden="1" customHeight="1" outlineLevel="1" x14ac:dyDescent="0.2">
      <c r="B16" s="2845" t="s">
        <v>1521</v>
      </c>
      <c r="C16" s="2847" t="s">
        <v>409</v>
      </c>
      <c r="D16" s="2808" t="s">
        <v>221</v>
      </c>
      <c r="E16" s="2770" t="s">
        <v>205</v>
      </c>
      <c r="F16" s="2768" t="s">
        <v>205</v>
      </c>
      <c r="G16" s="2769" t="s">
        <v>205</v>
      </c>
      <c r="H16" s="2809" t="s">
        <v>221</v>
      </c>
      <c r="I16" s="2810" t="s">
        <v>221</v>
      </c>
      <c r="J16" s="3661" t="s">
        <v>221</v>
      </c>
    </row>
    <row r="17" spans="2:10" ht="18" hidden="1" customHeight="1" outlineLevel="1" x14ac:dyDescent="0.2">
      <c r="B17" s="2845" t="s">
        <v>1522</v>
      </c>
      <c r="C17" s="2848"/>
      <c r="D17" s="2769" t="str">
        <f>D18</f>
        <v>NA</v>
      </c>
      <c r="E17" s="2770" t="s">
        <v>205</v>
      </c>
      <c r="F17" s="2768" t="s">
        <v>205</v>
      </c>
      <c r="G17" s="2769" t="s">
        <v>205</v>
      </c>
      <c r="H17" s="2771" t="str">
        <f>H18</f>
        <v>NA</v>
      </c>
      <c r="I17" s="2768" t="str">
        <f>I18</f>
        <v>NA</v>
      </c>
      <c r="J17" s="3651" t="str">
        <f>J18</f>
        <v>NA</v>
      </c>
    </row>
    <row r="18" spans="2:10" ht="18" hidden="1" customHeight="1" outlineLevel="1" x14ac:dyDescent="0.2">
      <c r="B18" s="2849" t="s">
        <v>205</v>
      </c>
      <c r="C18" s="2850" t="s">
        <v>205</v>
      </c>
      <c r="D18" s="2772" t="s">
        <v>205</v>
      </c>
      <c r="E18" s="2770" t="s">
        <v>205</v>
      </c>
      <c r="F18" s="2768" t="s">
        <v>205</v>
      </c>
      <c r="G18" s="2769" t="s">
        <v>205</v>
      </c>
      <c r="H18" s="2809" t="s">
        <v>205</v>
      </c>
      <c r="I18" s="2773" t="s">
        <v>205</v>
      </c>
      <c r="J18" s="3662" t="s">
        <v>205</v>
      </c>
    </row>
    <row r="19" spans="2:10" ht="18" hidden="1" customHeight="1" outlineLevel="1" x14ac:dyDescent="0.2">
      <c r="B19" s="2842" t="s">
        <v>1523</v>
      </c>
      <c r="C19" s="2843"/>
      <c r="D19" s="2812" t="s">
        <v>221</v>
      </c>
      <c r="E19" s="2770" t="s">
        <v>205</v>
      </c>
      <c r="F19" s="2768" t="s">
        <v>205</v>
      </c>
      <c r="G19" s="2769" t="s">
        <v>205</v>
      </c>
      <c r="H19" s="2806" t="s">
        <v>221</v>
      </c>
      <c r="I19" s="2768" t="s">
        <v>221</v>
      </c>
      <c r="J19" s="3651" t="s">
        <v>221</v>
      </c>
    </row>
    <row r="20" spans="2:10" ht="18" hidden="1" customHeight="1" outlineLevel="1" x14ac:dyDescent="0.2">
      <c r="B20" s="2844" t="s">
        <v>271</v>
      </c>
      <c r="C20" s="2843"/>
      <c r="D20" s="2775"/>
      <c r="E20" s="2776"/>
      <c r="F20" s="2777"/>
      <c r="G20" s="2778"/>
      <c r="H20" s="2779"/>
      <c r="I20" s="2777"/>
      <c r="J20" s="3663"/>
    </row>
    <row r="21" spans="2:10" ht="18" hidden="1" customHeight="1" outlineLevel="1" x14ac:dyDescent="0.2">
      <c r="B21" s="2845" t="s">
        <v>1524</v>
      </c>
      <c r="C21" s="2850" t="s">
        <v>409</v>
      </c>
      <c r="D21" s="2772" t="s">
        <v>221</v>
      </c>
      <c r="E21" s="2770" t="s">
        <v>205</v>
      </c>
      <c r="F21" s="2768" t="s">
        <v>205</v>
      </c>
      <c r="G21" s="2769" t="s">
        <v>205</v>
      </c>
      <c r="H21" s="2780" t="s">
        <v>221</v>
      </c>
      <c r="I21" s="2773" t="s">
        <v>221</v>
      </c>
      <c r="J21" s="3662" t="s">
        <v>221</v>
      </c>
    </row>
    <row r="22" spans="2:10" ht="18" hidden="1" customHeight="1" outlineLevel="1" x14ac:dyDescent="0.2">
      <c r="B22" s="2845" t="s">
        <v>1525</v>
      </c>
      <c r="C22" s="2843"/>
      <c r="D22" s="2769" t="s">
        <v>205</v>
      </c>
      <c r="E22" s="2770" t="s">
        <v>205</v>
      </c>
      <c r="F22" s="2768" t="s">
        <v>205</v>
      </c>
      <c r="G22" s="2769" t="s">
        <v>205</v>
      </c>
      <c r="H22" s="2771" t="s">
        <v>205</v>
      </c>
      <c r="I22" s="2768" t="s">
        <v>205</v>
      </c>
      <c r="J22" s="3651" t="s">
        <v>205</v>
      </c>
    </row>
    <row r="23" spans="2:10" ht="18" hidden="1" customHeight="1" outlineLevel="1" x14ac:dyDescent="0.2">
      <c r="B23" s="2849" t="s">
        <v>205</v>
      </c>
      <c r="C23" s="2850" t="s">
        <v>205</v>
      </c>
      <c r="D23" s="2772" t="s">
        <v>205</v>
      </c>
      <c r="E23" s="2770" t="s">
        <v>205</v>
      </c>
      <c r="F23" s="2768" t="s">
        <v>205</v>
      </c>
      <c r="G23" s="2769" t="s">
        <v>205</v>
      </c>
      <c r="H23" s="2809" t="s">
        <v>205</v>
      </c>
      <c r="I23" s="2773" t="s">
        <v>205</v>
      </c>
      <c r="J23" s="3662" t="s">
        <v>205</v>
      </c>
    </row>
    <row r="24" spans="2:10" ht="18" customHeight="1" collapsed="1" thickBot="1" x14ac:dyDescent="0.25">
      <c r="B24" s="912" t="s">
        <v>1526</v>
      </c>
      <c r="C24" s="2841"/>
      <c r="D24" s="2802"/>
      <c r="E24" s="2803"/>
      <c r="F24" s="2804"/>
      <c r="G24" s="2802"/>
      <c r="H24" s="2834" t="s">
        <v>221</v>
      </c>
      <c r="I24" s="2830" t="s">
        <v>221</v>
      </c>
      <c r="J24" s="3659" t="s">
        <v>221</v>
      </c>
    </row>
    <row r="25" spans="2:10" ht="18" hidden="1" customHeight="1" outlineLevel="1" x14ac:dyDescent="0.2">
      <c r="B25" s="2842" t="s">
        <v>1519</v>
      </c>
      <c r="C25" s="2843"/>
      <c r="D25" s="2805" t="s">
        <v>221</v>
      </c>
      <c r="E25" s="2835" t="s">
        <v>205</v>
      </c>
      <c r="F25" s="2813" t="s">
        <v>205</v>
      </c>
      <c r="G25" s="2805" t="s">
        <v>205</v>
      </c>
      <c r="H25" s="2806" t="s">
        <v>221</v>
      </c>
      <c r="I25" s="2768" t="s">
        <v>221</v>
      </c>
      <c r="J25" s="3651" t="s">
        <v>221</v>
      </c>
    </row>
    <row r="26" spans="2:10" ht="18" hidden="1" customHeight="1" outlineLevel="1" x14ac:dyDescent="0.2">
      <c r="B26" s="2844" t="s">
        <v>271</v>
      </c>
      <c r="C26" s="2843"/>
      <c r="D26" s="2807"/>
      <c r="E26" s="2807"/>
      <c r="F26" s="2807"/>
      <c r="G26" s="2807"/>
      <c r="H26" s="2807"/>
      <c r="I26" s="2807"/>
      <c r="J26" s="3660"/>
    </row>
    <row r="27" spans="2:10" ht="18" hidden="1" customHeight="1" outlineLevel="1" x14ac:dyDescent="0.2">
      <c r="B27" s="2845" t="s">
        <v>1520</v>
      </c>
      <c r="C27" s="2846" t="s">
        <v>409</v>
      </c>
      <c r="D27" s="2808" t="s">
        <v>199</v>
      </c>
      <c r="E27" s="2770" t="s">
        <v>205</v>
      </c>
      <c r="F27" s="2813" t="s">
        <v>205</v>
      </c>
      <c r="G27" s="2805" t="s">
        <v>205</v>
      </c>
      <c r="H27" s="2809" t="s">
        <v>199</v>
      </c>
      <c r="I27" s="2810" t="s">
        <v>199</v>
      </c>
      <c r="J27" s="3661" t="s">
        <v>199</v>
      </c>
    </row>
    <row r="28" spans="2:10" ht="18" hidden="1" customHeight="1" outlineLevel="1" x14ac:dyDescent="0.2">
      <c r="B28" s="2845" t="s">
        <v>1521</v>
      </c>
      <c r="C28" s="2847" t="s">
        <v>409</v>
      </c>
      <c r="D28" s="2808" t="s">
        <v>221</v>
      </c>
      <c r="E28" s="2770" t="s">
        <v>205</v>
      </c>
      <c r="F28" s="2813" t="s">
        <v>205</v>
      </c>
      <c r="G28" s="2805" t="s">
        <v>205</v>
      </c>
      <c r="H28" s="2809" t="s">
        <v>221</v>
      </c>
      <c r="I28" s="2810" t="s">
        <v>221</v>
      </c>
      <c r="J28" s="3661" t="s">
        <v>221</v>
      </c>
    </row>
    <row r="29" spans="2:10" ht="18" hidden="1" customHeight="1" outlineLevel="1" x14ac:dyDescent="0.2">
      <c r="B29" s="2845" t="s">
        <v>1522</v>
      </c>
      <c r="C29" s="2848"/>
      <c r="D29" s="2769" t="s">
        <v>205</v>
      </c>
      <c r="E29" s="2770" t="s">
        <v>205</v>
      </c>
      <c r="F29" s="2768" t="s">
        <v>205</v>
      </c>
      <c r="G29" s="2769" t="s">
        <v>205</v>
      </c>
      <c r="H29" s="2771" t="s">
        <v>205</v>
      </c>
      <c r="I29" s="2768" t="s">
        <v>205</v>
      </c>
      <c r="J29" s="3651" t="s">
        <v>205</v>
      </c>
    </row>
    <row r="30" spans="2:10" ht="18" hidden="1" customHeight="1" outlineLevel="1" x14ac:dyDescent="0.2">
      <c r="B30" s="2849" t="s">
        <v>205</v>
      </c>
      <c r="C30" s="2850" t="s">
        <v>205</v>
      </c>
      <c r="D30" s="2772" t="s">
        <v>205</v>
      </c>
      <c r="E30" s="2770" t="s">
        <v>205</v>
      </c>
      <c r="F30" s="2768" t="s">
        <v>205</v>
      </c>
      <c r="G30" s="2769" t="s">
        <v>205</v>
      </c>
      <c r="H30" s="2809" t="s">
        <v>205</v>
      </c>
      <c r="I30" s="2773" t="s">
        <v>205</v>
      </c>
      <c r="J30" s="3662" t="s">
        <v>205</v>
      </c>
    </row>
    <row r="31" spans="2:10" ht="18" hidden="1" customHeight="1" outlineLevel="1" x14ac:dyDescent="0.2">
      <c r="B31" s="2842" t="s">
        <v>1523</v>
      </c>
      <c r="C31" s="2843"/>
      <c r="D31" s="2812" t="s">
        <v>221</v>
      </c>
      <c r="E31" s="2770" t="s">
        <v>205</v>
      </c>
      <c r="F31" s="2813" t="s">
        <v>205</v>
      </c>
      <c r="G31" s="2805" t="s">
        <v>205</v>
      </c>
      <c r="H31" s="2806" t="s">
        <v>221</v>
      </c>
      <c r="I31" s="2768" t="s">
        <v>221</v>
      </c>
      <c r="J31" s="3651" t="s">
        <v>221</v>
      </c>
    </row>
    <row r="32" spans="2:10" ht="18" hidden="1" customHeight="1" outlineLevel="1" x14ac:dyDescent="0.2">
      <c r="B32" s="2844" t="s">
        <v>271</v>
      </c>
      <c r="C32" s="2843"/>
      <c r="D32" s="2781"/>
      <c r="E32" s="2781"/>
      <c r="F32" s="2782"/>
      <c r="G32" s="2782"/>
      <c r="H32" s="2782"/>
      <c r="I32" s="2782"/>
      <c r="J32" s="3664"/>
    </row>
    <row r="33" spans="2:10" ht="18" hidden="1" customHeight="1" outlineLevel="1" x14ac:dyDescent="0.2">
      <c r="B33" s="2845" t="s">
        <v>1524</v>
      </c>
      <c r="C33" s="2850" t="s">
        <v>409</v>
      </c>
      <c r="D33" s="2772" t="s">
        <v>221</v>
      </c>
      <c r="E33" s="2770" t="s">
        <v>205</v>
      </c>
      <c r="F33" s="2768" t="s">
        <v>205</v>
      </c>
      <c r="G33" s="2769" t="s">
        <v>205</v>
      </c>
      <c r="H33" s="2780" t="s">
        <v>221</v>
      </c>
      <c r="I33" s="2773" t="s">
        <v>221</v>
      </c>
      <c r="J33" s="3662" t="s">
        <v>221</v>
      </c>
    </row>
    <row r="34" spans="2:10" ht="18" hidden="1" customHeight="1" outlineLevel="1" x14ac:dyDescent="0.2">
      <c r="B34" s="2845" t="s">
        <v>1525</v>
      </c>
      <c r="C34" s="2843"/>
      <c r="D34" s="2769" t="s">
        <v>205</v>
      </c>
      <c r="E34" s="2770" t="s">
        <v>205</v>
      </c>
      <c r="F34" s="2768" t="s">
        <v>205</v>
      </c>
      <c r="G34" s="2769" t="s">
        <v>205</v>
      </c>
      <c r="H34" s="2771" t="s">
        <v>205</v>
      </c>
      <c r="I34" s="2768" t="s">
        <v>205</v>
      </c>
      <c r="J34" s="3651" t="s">
        <v>205</v>
      </c>
    </row>
    <row r="35" spans="2:10" ht="18" hidden="1" customHeight="1" outlineLevel="1" x14ac:dyDescent="0.2">
      <c r="B35" s="2849" t="s">
        <v>205</v>
      </c>
      <c r="C35" s="2850" t="s">
        <v>205</v>
      </c>
      <c r="D35" s="2772" t="s">
        <v>205</v>
      </c>
      <c r="E35" s="2770" t="s">
        <v>205</v>
      </c>
      <c r="F35" s="2768" t="s">
        <v>205</v>
      </c>
      <c r="G35" s="2769" t="s">
        <v>205</v>
      </c>
      <c r="H35" s="2809" t="s">
        <v>205</v>
      </c>
      <c r="I35" s="2773" t="s">
        <v>205</v>
      </c>
      <c r="J35" s="3662" t="s">
        <v>205</v>
      </c>
    </row>
    <row r="36" spans="2:10" ht="18" hidden="1" customHeight="1" outlineLevel="1" x14ac:dyDescent="0.2">
      <c r="B36" s="2844" t="s">
        <v>271</v>
      </c>
      <c r="C36" s="2843"/>
      <c r="D36" s="2781"/>
      <c r="E36" s="2781"/>
      <c r="F36" s="2782"/>
      <c r="G36" s="2782"/>
      <c r="H36" s="2782"/>
      <c r="I36" s="2782"/>
      <c r="J36" s="3664"/>
    </row>
    <row r="37" spans="2:10" ht="18" hidden="1" customHeight="1" outlineLevel="1" collapsed="1" x14ac:dyDescent="0.2">
      <c r="B37" s="2842" t="s">
        <v>1527</v>
      </c>
      <c r="C37" s="2843"/>
      <c r="D37" s="2805" t="s">
        <v>221</v>
      </c>
      <c r="E37" s="2835" t="s">
        <v>205</v>
      </c>
      <c r="F37" s="2813" t="s">
        <v>205</v>
      </c>
      <c r="G37" s="2805" t="s">
        <v>205</v>
      </c>
      <c r="H37" s="2806" t="s">
        <v>221</v>
      </c>
      <c r="I37" s="2768" t="s">
        <v>221</v>
      </c>
      <c r="J37" s="3651" t="s">
        <v>221</v>
      </c>
    </row>
    <row r="38" spans="2:10" ht="18" hidden="1" customHeight="1" outlineLevel="2" x14ac:dyDescent="0.2">
      <c r="B38" s="2842" t="s">
        <v>1519</v>
      </c>
      <c r="C38" s="2843"/>
      <c r="D38" s="2805" t="s">
        <v>221</v>
      </c>
      <c r="E38" s="2835" t="s">
        <v>205</v>
      </c>
      <c r="F38" s="2813" t="s">
        <v>205</v>
      </c>
      <c r="G38" s="2805" t="s">
        <v>205</v>
      </c>
      <c r="H38" s="2806" t="s">
        <v>221</v>
      </c>
      <c r="I38" s="2768" t="s">
        <v>221</v>
      </c>
      <c r="J38" s="3651" t="s">
        <v>221</v>
      </c>
    </row>
    <row r="39" spans="2:10" ht="18" hidden="1" customHeight="1" outlineLevel="2" x14ac:dyDescent="0.2">
      <c r="B39" s="2844" t="s">
        <v>271</v>
      </c>
      <c r="C39" s="2843"/>
      <c r="D39" s="2807"/>
      <c r="E39" s="2807"/>
      <c r="F39" s="2807"/>
      <c r="G39" s="2807"/>
      <c r="H39" s="2807"/>
      <c r="I39" s="2807"/>
      <c r="J39" s="3660"/>
    </row>
    <row r="40" spans="2:10" ht="18" hidden="1" customHeight="1" outlineLevel="2" x14ac:dyDescent="0.2">
      <c r="B40" s="2845" t="s">
        <v>1520</v>
      </c>
      <c r="C40" s="2846" t="s">
        <v>409</v>
      </c>
      <c r="D40" s="2808" t="s">
        <v>199</v>
      </c>
      <c r="E40" s="2770" t="s">
        <v>205</v>
      </c>
      <c r="F40" s="2813" t="s">
        <v>205</v>
      </c>
      <c r="G40" s="2805" t="s">
        <v>205</v>
      </c>
      <c r="H40" s="2809" t="s">
        <v>199</v>
      </c>
      <c r="I40" s="2810" t="s">
        <v>199</v>
      </c>
      <c r="J40" s="3661" t="s">
        <v>199</v>
      </c>
    </row>
    <row r="41" spans="2:10" ht="18" hidden="1" customHeight="1" outlineLevel="2" x14ac:dyDescent="0.2">
      <c r="B41" s="2845" t="s">
        <v>1521</v>
      </c>
      <c r="C41" s="2847" t="s">
        <v>409</v>
      </c>
      <c r="D41" s="2808" t="s">
        <v>221</v>
      </c>
      <c r="E41" s="2770" t="s">
        <v>205</v>
      </c>
      <c r="F41" s="2813" t="s">
        <v>205</v>
      </c>
      <c r="G41" s="2805" t="s">
        <v>205</v>
      </c>
      <c r="H41" s="2809" t="s">
        <v>221</v>
      </c>
      <c r="I41" s="2810" t="s">
        <v>221</v>
      </c>
      <c r="J41" s="3661" t="s">
        <v>221</v>
      </c>
    </row>
    <row r="42" spans="2:10" ht="18" hidden="1" customHeight="1" outlineLevel="2" x14ac:dyDescent="0.2">
      <c r="B42" s="2845" t="s">
        <v>1522</v>
      </c>
      <c r="C42" s="2848"/>
      <c r="D42" s="2769" t="s">
        <v>205</v>
      </c>
      <c r="E42" s="2770" t="s">
        <v>205</v>
      </c>
      <c r="F42" s="2768" t="s">
        <v>205</v>
      </c>
      <c r="G42" s="2769" t="s">
        <v>205</v>
      </c>
      <c r="H42" s="2771" t="s">
        <v>205</v>
      </c>
      <c r="I42" s="2768" t="s">
        <v>205</v>
      </c>
      <c r="J42" s="3651" t="s">
        <v>205</v>
      </c>
    </row>
    <row r="43" spans="2:10" ht="18" hidden="1" customHeight="1" outlineLevel="2" x14ac:dyDescent="0.2">
      <c r="B43" s="2849" t="s">
        <v>205</v>
      </c>
      <c r="C43" s="2850" t="s">
        <v>205</v>
      </c>
      <c r="D43" s="2772" t="s">
        <v>205</v>
      </c>
      <c r="E43" s="2770" t="s">
        <v>205</v>
      </c>
      <c r="F43" s="2768" t="s">
        <v>205</v>
      </c>
      <c r="G43" s="2769" t="s">
        <v>205</v>
      </c>
      <c r="H43" s="2809" t="s">
        <v>205</v>
      </c>
      <c r="I43" s="2773" t="s">
        <v>205</v>
      </c>
      <c r="J43" s="3662" t="s">
        <v>205</v>
      </c>
    </row>
    <row r="44" spans="2:10" ht="18" hidden="1" customHeight="1" outlineLevel="2" x14ac:dyDescent="0.2">
      <c r="B44" s="2842" t="s">
        <v>1523</v>
      </c>
      <c r="C44" s="2843"/>
      <c r="D44" s="2812" t="s">
        <v>221</v>
      </c>
      <c r="E44" s="2770" t="s">
        <v>205</v>
      </c>
      <c r="F44" s="2813" t="s">
        <v>205</v>
      </c>
      <c r="G44" s="2805" t="s">
        <v>205</v>
      </c>
      <c r="H44" s="2806" t="s">
        <v>221</v>
      </c>
      <c r="I44" s="2768" t="s">
        <v>221</v>
      </c>
      <c r="J44" s="3651" t="s">
        <v>221</v>
      </c>
    </row>
    <row r="45" spans="2:10" ht="18" hidden="1" customHeight="1" outlineLevel="2" x14ac:dyDescent="0.2">
      <c r="B45" s="2844" t="s">
        <v>271</v>
      </c>
      <c r="C45" s="2843"/>
      <c r="D45" s="2781"/>
      <c r="E45" s="2781"/>
      <c r="F45" s="2782"/>
      <c r="G45" s="2782"/>
      <c r="H45" s="2782"/>
      <c r="I45" s="2782"/>
      <c r="J45" s="3664"/>
    </row>
    <row r="46" spans="2:10" ht="18" hidden="1" customHeight="1" outlineLevel="2" x14ac:dyDescent="0.2">
      <c r="B46" s="2845" t="s">
        <v>1524</v>
      </c>
      <c r="C46" s="2850" t="s">
        <v>409</v>
      </c>
      <c r="D46" s="2772" t="s">
        <v>221</v>
      </c>
      <c r="E46" s="2770" t="s">
        <v>205</v>
      </c>
      <c r="F46" s="2768" t="s">
        <v>205</v>
      </c>
      <c r="G46" s="2769" t="s">
        <v>205</v>
      </c>
      <c r="H46" s="2780" t="s">
        <v>221</v>
      </c>
      <c r="I46" s="2773" t="s">
        <v>221</v>
      </c>
      <c r="J46" s="3662" t="s">
        <v>221</v>
      </c>
    </row>
    <row r="47" spans="2:10" ht="18" hidden="1" customHeight="1" outlineLevel="2" x14ac:dyDescent="0.2">
      <c r="B47" s="2845" t="s">
        <v>1525</v>
      </c>
      <c r="C47" s="2843"/>
      <c r="D47" s="2769" t="s">
        <v>205</v>
      </c>
      <c r="E47" s="2770" t="s">
        <v>205</v>
      </c>
      <c r="F47" s="2768" t="s">
        <v>205</v>
      </c>
      <c r="G47" s="2769" t="s">
        <v>205</v>
      </c>
      <c r="H47" s="2771" t="s">
        <v>205</v>
      </c>
      <c r="I47" s="2768" t="s">
        <v>205</v>
      </c>
      <c r="J47" s="3651" t="s">
        <v>205</v>
      </c>
    </row>
    <row r="48" spans="2:10" ht="18" hidden="1" customHeight="1" outlineLevel="2" x14ac:dyDescent="0.2">
      <c r="B48" s="2849" t="s">
        <v>205</v>
      </c>
      <c r="C48" s="2850" t="s">
        <v>205</v>
      </c>
      <c r="D48" s="2772" t="s">
        <v>205</v>
      </c>
      <c r="E48" s="2770" t="s">
        <v>205</v>
      </c>
      <c r="F48" s="2768" t="s">
        <v>205</v>
      </c>
      <c r="G48" s="2769" t="s">
        <v>205</v>
      </c>
      <c r="H48" s="2809" t="s">
        <v>205</v>
      </c>
      <c r="I48" s="2773" t="s">
        <v>205</v>
      </c>
      <c r="J48" s="3662" t="s">
        <v>205</v>
      </c>
    </row>
    <row r="49" spans="2:10" ht="18" hidden="1" customHeight="1" outlineLevel="1" collapsed="1" x14ac:dyDescent="0.2">
      <c r="B49" s="2851" t="s">
        <v>1528</v>
      </c>
      <c r="C49" s="2852"/>
      <c r="D49" s="2805" t="s">
        <v>221</v>
      </c>
      <c r="E49" s="2835" t="s">
        <v>205</v>
      </c>
      <c r="F49" s="2813" t="s">
        <v>205</v>
      </c>
      <c r="G49" s="2805" t="s">
        <v>205</v>
      </c>
      <c r="H49" s="2806" t="s">
        <v>221</v>
      </c>
      <c r="I49" s="2768" t="s">
        <v>221</v>
      </c>
      <c r="J49" s="3651" t="s">
        <v>221</v>
      </c>
    </row>
    <row r="50" spans="2:10" ht="18" hidden="1" customHeight="1" outlineLevel="2" x14ac:dyDescent="0.2">
      <c r="B50" s="2842" t="s">
        <v>1519</v>
      </c>
      <c r="C50" s="2843"/>
      <c r="D50" s="2805" t="s">
        <v>221</v>
      </c>
      <c r="E50" s="2835" t="s">
        <v>205</v>
      </c>
      <c r="F50" s="2813" t="s">
        <v>205</v>
      </c>
      <c r="G50" s="2805" t="s">
        <v>205</v>
      </c>
      <c r="H50" s="2806" t="s">
        <v>221</v>
      </c>
      <c r="I50" s="2768" t="s">
        <v>221</v>
      </c>
      <c r="J50" s="3651" t="s">
        <v>221</v>
      </c>
    </row>
    <row r="51" spans="2:10" ht="18" hidden="1" customHeight="1" outlineLevel="2" x14ac:dyDescent="0.2">
      <c r="B51" s="2844" t="s">
        <v>271</v>
      </c>
      <c r="C51" s="2843"/>
      <c r="D51" s="2807"/>
      <c r="E51" s="2807"/>
      <c r="F51" s="2807"/>
      <c r="G51" s="2807"/>
      <c r="H51" s="2807"/>
      <c r="I51" s="2807"/>
      <c r="J51" s="3660"/>
    </row>
    <row r="52" spans="2:10" ht="18" hidden="1" customHeight="1" outlineLevel="2" x14ac:dyDescent="0.2">
      <c r="B52" s="2845" t="s">
        <v>1520</v>
      </c>
      <c r="C52" s="2846" t="s">
        <v>409</v>
      </c>
      <c r="D52" s="2808" t="s">
        <v>199</v>
      </c>
      <c r="E52" s="2770" t="s">
        <v>205</v>
      </c>
      <c r="F52" s="2813" t="s">
        <v>205</v>
      </c>
      <c r="G52" s="2805" t="s">
        <v>205</v>
      </c>
      <c r="H52" s="2809" t="s">
        <v>199</v>
      </c>
      <c r="I52" s="2810" t="s">
        <v>199</v>
      </c>
      <c r="J52" s="3661" t="s">
        <v>199</v>
      </c>
    </row>
    <row r="53" spans="2:10" ht="18" hidden="1" customHeight="1" outlineLevel="2" x14ac:dyDescent="0.2">
      <c r="B53" s="2845" t="s">
        <v>1521</v>
      </c>
      <c r="C53" s="2847" t="s">
        <v>409</v>
      </c>
      <c r="D53" s="2808" t="s">
        <v>221</v>
      </c>
      <c r="E53" s="2770" t="s">
        <v>205</v>
      </c>
      <c r="F53" s="2813" t="s">
        <v>205</v>
      </c>
      <c r="G53" s="2805" t="s">
        <v>205</v>
      </c>
      <c r="H53" s="2809" t="s">
        <v>221</v>
      </c>
      <c r="I53" s="2810" t="s">
        <v>221</v>
      </c>
      <c r="J53" s="3661" t="s">
        <v>221</v>
      </c>
    </row>
    <row r="54" spans="2:10" ht="18" hidden="1" customHeight="1" outlineLevel="2" x14ac:dyDescent="0.2">
      <c r="B54" s="2845" t="s">
        <v>1522</v>
      </c>
      <c r="C54" s="2848"/>
      <c r="D54" s="2769" t="s">
        <v>205</v>
      </c>
      <c r="E54" s="2770" t="s">
        <v>205</v>
      </c>
      <c r="F54" s="2768" t="s">
        <v>205</v>
      </c>
      <c r="G54" s="2769" t="s">
        <v>205</v>
      </c>
      <c r="H54" s="2771" t="s">
        <v>205</v>
      </c>
      <c r="I54" s="2768" t="s">
        <v>205</v>
      </c>
      <c r="J54" s="3651" t="s">
        <v>205</v>
      </c>
    </row>
    <row r="55" spans="2:10" ht="18" hidden="1" customHeight="1" outlineLevel="2" x14ac:dyDescent="0.2">
      <c r="B55" s="2849" t="s">
        <v>205</v>
      </c>
      <c r="C55" s="2850" t="s">
        <v>205</v>
      </c>
      <c r="D55" s="2772" t="s">
        <v>205</v>
      </c>
      <c r="E55" s="2770" t="s">
        <v>205</v>
      </c>
      <c r="F55" s="2768" t="s">
        <v>205</v>
      </c>
      <c r="G55" s="2769" t="s">
        <v>205</v>
      </c>
      <c r="H55" s="2809" t="s">
        <v>205</v>
      </c>
      <c r="I55" s="2773" t="s">
        <v>205</v>
      </c>
      <c r="J55" s="3662" t="s">
        <v>205</v>
      </c>
    </row>
    <row r="56" spans="2:10" ht="18" hidden="1" customHeight="1" outlineLevel="2" x14ac:dyDescent="0.2">
      <c r="B56" s="2842" t="s">
        <v>1523</v>
      </c>
      <c r="C56" s="2843"/>
      <c r="D56" s="2812" t="s">
        <v>221</v>
      </c>
      <c r="E56" s="2770" t="s">
        <v>205</v>
      </c>
      <c r="F56" s="2813" t="s">
        <v>205</v>
      </c>
      <c r="G56" s="2805" t="s">
        <v>205</v>
      </c>
      <c r="H56" s="2806" t="s">
        <v>221</v>
      </c>
      <c r="I56" s="2768" t="s">
        <v>221</v>
      </c>
      <c r="J56" s="3651" t="s">
        <v>221</v>
      </c>
    </row>
    <row r="57" spans="2:10" ht="18" hidden="1" customHeight="1" outlineLevel="2" x14ac:dyDescent="0.2">
      <c r="B57" s="2844" t="s">
        <v>271</v>
      </c>
      <c r="C57" s="2843"/>
      <c r="D57" s="2781"/>
      <c r="E57" s="2781"/>
      <c r="F57" s="2782"/>
      <c r="G57" s="2782"/>
      <c r="H57" s="2782"/>
      <c r="I57" s="2782"/>
      <c r="J57" s="3664"/>
    </row>
    <row r="58" spans="2:10" ht="18" hidden="1" customHeight="1" outlineLevel="2" x14ac:dyDescent="0.2">
      <c r="B58" s="2845" t="s">
        <v>1524</v>
      </c>
      <c r="C58" s="2850" t="s">
        <v>409</v>
      </c>
      <c r="D58" s="2772" t="s">
        <v>221</v>
      </c>
      <c r="E58" s="2770" t="s">
        <v>205</v>
      </c>
      <c r="F58" s="2768" t="s">
        <v>205</v>
      </c>
      <c r="G58" s="2769" t="s">
        <v>205</v>
      </c>
      <c r="H58" s="2780" t="s">
        <v>221</v>
      </c>
      <c r="I58" s="2773" t="s">
        <v>221</v>
      </c>
      <c r="J58" s="3662" t="s">
        <v>221</v>
      </c>
    </row>
    <row r="59" spans="2:10" ht="18" hidden="1" customHeight="1" outlineLevel="2" x14ac:dyDescent="0.2">
      <c r="B59" s="2845" t="s">
        <v>1525</v>
      </c>
      <c r="C59" s="2843"/>
      <c r="D59" s="2769" t="s">
        <v>205</v>
      </c>
      <c r="E59" s="2770" t="s">
        <v>205</v>
      </c>
      <c r="F59" s="2768" t="s">
        <v>205</v>
      </c>
      <c r="G59" s="2769" t="s">
        <v>205</v>
      </c>
      <c r="H59" s="2771" t="s">
        <v>205</v>
      </c>
      <c r="I59" s="2768" t="s">
        <v>205</v>
      </c>
      <c r="J59" s="3651" t="s">
        <v>205</v>
      </c>
    </row>
    <row r="60" spans="2:10" ht="18" hidden="1" customHeight="1" outlineLevel="2" x14ac:dyDescent="0.2">
      <c r="B60" s="2849" t="s">
        <v>205</v>
      </c>
      <c r="C60" s="2850" t="s">
        <v>205</v>
      </c>
      <c r="D60" s="2772" t="s">
        <v>205</v>
      </c>
      <c r="E60" s="2770" t="s">
        <v>205</v>
      </c>
      <c r="F60" s="2768" t="s">
        <v>205</v>
      </c>
      <c r="G60" s="2769" t="s">
        <v>205</v>
      </c>
      <c r="H60" s="2809" t="s">
        <v>205</v>
      </c>
      <c r="I60" s="2773" t="s">
        <v>205</v>
      </c>
      <c r="J60" s="3662" t="s">
        <v>205</v>
      </c>
    </row>
    <row r="61" spans="2:10" ht="18" hidden="1" customHeight="1" outlineLevel="1" collapsed="1" x14ac:dyDescent="0.2">
      <c r="B61" s="2851" t="s">
        <v>1529</v>
      </c>
      <c r="C61" s="2852"/>
      <c r="D61" s="2805" t="s">
        <v>221</v>
      </c>
      <c r="E61" s="2835" t="s">
        <v>205</v>
      </c>
      <c r="F61" s="2813" t="s">
        <v>205</v>
      </c>
      <c r="G61" s="2805" t="s">
        <v>205</v>
      </c>
      <c r="H61" s="2806" t="s">
        <v>221</v>
      </c>
      <c r="I61" s="2768" t="s">
        <v>221</v>
      </c>
      <c r="J61" s="3651" t="s">
        <v>221</v>
      </c>
    </row>
    <row r="62" spans="2:10" ht="18" hidden="1" customHeight="1" outlineLevel="2" x14ac:dyDescent="0.2">
      <c r="B62" s="2842" t="s">
        <v>1519</v>
      </c>
      <c r="C62" s="2843"/>
      <c r="D62" s="2805" t="s">
        <v>221</v>
      </c>
      <c r="E62" s="2835" t="s">
        <v>205</v>
      </c>
      <c r="F62" s="2813" t="s">
        <v>205</v>
      </c>
      <c r="G62" s="2805" t="s">
        <v>205</v>
      </c>
      <c r="H62" s="2806" t="s">
        <v>221</v>
      </c>
      <c r="I62" s="2768" t="s">
        <v>221</v>
      </c>
      <c r="J62" s="3651" t="s">
        <v>221</v>
      </c>
    </row>
    <row r="63" spans="2:10" ht="18" hidden="1" customHeight="1" outlineLevel="2" x14ac:dyDescent="0.2">
      <c r="B63" s="2844" t="s">
        <v>271</v>
      </c>
      <c r="C63" s="2843"/>
      <c r="D63" s="2807"/>
      <c r="E63" s="2807"/>
      <c r="F63" s="2807"/>
      <c r="G63" s="2807"/>
      <c r="H63" s="2807"/>
      <c r="I63" s="2807"/>
      <c r="J63" s="3660"/>
    </row>
    <row r="64" spans="2:10" ht="18" hidden="1" customHeight="1" outlineLevel="2" x14ac:dyDescent="0.2">
      <c r="B64" s="2845" t="s">
        <v>1520</v>
      </c>
      <c r="C64" s="2846" t="s">
        <v>409</v>
      </c>
      <c r="D64" s="2808" t="s">
        <v>199</v>
      </c>
      <c r="E64" s="2770" t="s">
        <v>205</v>
      </c>
      <c r="F64" s="2813" t="s">
        <v>205</v>
      </c>
      <c r="G64" s="2805" t="s">
        <v>205</v>
      </c>
      <c r="H64" s="2809" t="s">
        <v>199</v>
      </c>
      <c r="I64" s="2810" t="s">
        <v>199</v>
      </c>
      <c r="J64" s="3661" t="s">
        <v>199</v>
      </c>
    </row>
    <row r="65" spans="2:10" ht="18" hidden="1" customHeight="1" outlineLevel="2" x14ac:dyDescent="0.2">
      <c r="B65" s="2845" t="s">
        <v>1521</v>
      </c>
      <c r="C65" s="2847" t="s">
        <v>409</v>
      </c>
      <c r="D65" s="2808" t="s">
        <v>221</v>
      </c>
      <c r="E65" s="2770" t="s">
        <v>205</v>
      </c>
      <c r="F65" s="2813" t="s">
        <v>205</v>
      </c>
      <c r="G65" s="2805" t="s">
        <v>205</v>
      </c>
      <c r="H65" s="2809" t="s">
        <v>221</v>
      </c>
      <c r="I65" s="2810" t="s">
        <v>221</v>
      </c>
      <c r="J65" s="3661" t="s">
        <v>221</v>
      </c>
    </row>
    <row r="66" spans="2:10" ht="18" hidden="1" customHeight="1" outlineLevel="2" x14ac:dyDescent="0.2">
      <c r="B66" s="2845" t="s">
        <v>1522</v>
      </c>
      <c r="C66" s="2848"/>
      <c r="D66" s="2769" t="s">
        <v>205</v>
      </c>
      <c r="E66" s="2770" t="s">
        <v>205</v>
      </c>
      <c r="F66" s="2768" t="s">
        <v>205</v>
      </c>
      <c r="G66" s="2769" t="s">
        <v>205</v>
      </c>
      <c r="H66" s="2771" t="s">
        <v>205</v>
      </c>
      <c r="I66" s="2768" t="s">
        <v>205</v>
      </c>
      <c r="J66" s="3651" t="s">
        <v>205</v>
      </c>
    </row>
    <row r="67" spans="2:10" ht="18" hidden="1" customHeight="1" outlineLevel="2" x14ac:dyDescent="0.2">
      <c r="B67" s="2849" t="s">
        <v>205</v>
      </c>
      <c r="C67" s="2850" t="s">
        <v>205</v>
      </c>
      <c r="D67" s="2772" t="s">
        <v>205</v>
      </c>
      <c r="E67" s="2770" t="s">
        <v>205</v>
      </c>
      <c r="F67" s="2768" t="s">
        <v>205</v>
      </c>
      <c r="G67" s="2769" t="s">
        <v>205</v>
      </c>
      <c r="H67" s="2809" t="s">
        <v>205</v>
      </c>
      <c r="I67" s="2773" t="s">
        <v>205</v>
      </c>
      <c r="J67" s="3662" t="s">
        <v>205</v>
      </c>
    </row>
    <row r="68" spans="2:10" ht="18" hidden="1" customHeight="1" outlineLevel="2" x14ac:dyDescent="0.2">
      <c r="B68" s="2842" t="s">
        <v>1523</v>
      </c>
      <c r="C68" s="2843"/>
      <c r="D68" s="2812" t="s">
        <v>221</v>
      </c>
      <c r="E68" s="2770" t="s">
        <v>205</v>
      </c>
      <c r="F68" s="2813" t="s">
        <v>205</v>
      </c>
      <c r="G68" s="2805" t="s">
        <v>205</v>
      </c>
      <c r="H68" s="2806" t="s">
        <v>221</v>
      </c>
      <c r="I68" s="2768" t="s">
        <v>221</v>
      </c>
      <c r="J68" s="3651" t="s">
        <v>221</v>
      </c>
    </row>
    <row r="69" spans="2:10" ht="18" hidden="1" customHeight="1" outlineLevel="2" x14ac:dyDescent="0.2">
      <c r="B69" s="2844" t="s">
        <v>271</v>
      </c>
      <c r="C69" s="2843"/>
      <c r="D69" s="2781"/>
      <c r="E69" s="2781"/>
      <c r="F69" s="2782"/>
      <c r="G69" s="2782"/>
      <c r="H69" s="2782"/>
      <c r="I69" s="2782"/>
      <c r="J69" s="3664"/>
    </row>
    <row r="70" spans="2:10" ht="18" hidden="1" customHeight="1" outlineLevel="2" x14ac:dyDescent="0.2">
      <c r="B70" s="2845" t="s">
        <v>1524</v>
      </c>
      <c r="C70" s="2850" t="s">
        <v>409</v>
      </c>
      <c r="D70" s="2772" t="s">
        <v>221</v>
      </c>
      <c r="E70" s="2770" t="s">
        <v>205</v>
      </c>
      <c r="F70" s="2768" t="s">
        <v>205</v>
      </c>
      <c r="G70" s="2769" t="s">
        <v>205</v>
      </c>
      <c r="H70" s="2780" t="s">
        <v>221</v>
      </c>
      <c r="I70" s="2773" t="s">
        <v>221</v>
      </c>
      <c r="J70" s="3662" t="s">
        <v>221</v>
      </c>
    </row>
    <row r="71" spans="2:10" ht="18" hidden="1" customHeight="1" outlineLevel="2" x14ac:dyDescent="0.2">
      <c r="B71" s="2845" t="s">
        <v>1525</v>
      </c>
      <c r="C71" s="2843"/>
      <c r="D71" s="2769" t="s">
        <v>205</v>
      </c>
      <c r="E71" s="2770" t="s">
        <v>205</v>
      </c>
      <c r="F71" s="2768" t="s">
        <v>205</v>
      </c>
      <c r="G71" s="2769" t="s">
        <v>205</v>
      </c>
      <c r="H71" s="2771" t="s">
        <v>205</v>
      </c>
      <c r="I71" s="2768" t="s">
        <v>205</v>
      </c>
      <c r="J71" s="3651" t="s">
        <v>205</v>
      </c>
    </row>
    <row r="72" spans="2:10" ht="18" hidden="1" customHeight="1" outlineLevel="2" x14ac:dyDescent="0.2">
      <c r="B72" s="2849" t="s">
        <v>205</v>
      </c>
      <c r="C72" s="2850" t="s">
        <v>205</v>
      </c>
      <c r="D72" s="2772" t="s">
        <v>205</v>
      </c>
      <c r="E72" s="2770" t="s">
        <v>205</v>
      </c>
      <c r="F72" s="2768" t="s">
        <v>205</v>
      </c>
      <c r="G72" s="2769" t="s">
        <v>205</v>
      </c>
      <c r="H72" s="2809" t="s">
        <v>205</v>
      </c>
      <c r="I72" s="2773" t="s">
        <v>205</v>
      </c>
      <c r="J72" s="3662" t="s">
        <v>205</v>
      </c>
    </row>
    <row r="73" spans="2:10" ht="18" hidden="1" customHeight="1" outlineLevel="1" collapsed="1" x14ac:dyDescent="0.2">
      <c r="B73" s="2851" t="s">
        <v>1530</v>
      </c>
      <c r="C73" s="2852"/>
      <c r="D73" s="2805" t="s">
        <v>221</v>
      </c>
      <c r="E73" s="2835" t="s">
        <v>205</v>
      </c>
      <c r="F73" s="2813" t="s">
        <v>205</v>
      </c>
      <c r="G73" s="2805" t="s">
        <v>205</v>
      </c>
      <c r="H73" s="2806" t="s">
        <v>221</v>
      </c>
      <c r="I73" s="2768" t="s">
        <v>221</v>
      </c>
      <c r="J73" s="3651" t="s">
        <v>221</v>
      </c>
    </row>
    <row r="74" spans="2:10" ht="18" hidden="1" customHeight="1" outlineLevel="2" x14ac:dyDescent="0.2">
      <c r="B74" s="2842" t="s">
        <v>1519</v>
      </c>
      <c r="C74" s="2843"/>
      <c r="D74" s="2805" t="s">
        <v>221</v>
      </c>
      <c r="E74" s="2835" t="s">
        <v>205</v>
      </c>
      <c r="F74" s="2813" t="s">
        <v>205</v>
      </c>
      <c r="G74" s="2805" t="s">
        <v>205</v>
      </c>
      <c r="H74" s="2806" t="s">
        <v>221</v>
      </c>
      <c r="I74" s="2768" t="s">
        <v>221</v>
      </c>
      <c r="J74" s="3651" t="s">
        <v>221</v>
      </c>
    </row>
    <row r="75" spans="2:10" ht="18" hidden="1" customHeight="1" outlineLevel="2" x14ac:dyDescent="0.2">
      <c r="B75" s="2844" t="s">
        <v>271</v>
      </c>
      <c r="C75" s="2843"/>
      <c r="D75" s="2807"/>
      <c r="E75" s="2807"/>
      <c r="F75" s="2807"/>
      <c r="G75" s="2807"/>
      <c r="H75" s="2807"/>
      <c r="I75" s="2807"/>
      <c r="J75" s="3660"/>
    </row>
    <row r="76" spans="2:10" ht="18" hidden="1" customHeight="1" outlineLevel="2" x14ac:dyDescent="0.2">
      <c r="B76" s="2845" t="s">
        <v>1520</v>
      </c>
      <c r="C76" s="2846" t="s">
        <v>409</v>
      </c>
      <c r="D76" s="2808" t="s">
        <v>199</v>
      </c>
      <c r="E76" s="2770" t="s">
        <v>205</v>
      </c>
      <c r="F76" s="2813" t="s">
        <v>205</v>
      </c>
      <c r="G76" s="2805" t="s">
        <v>205</v>
      </c>
      <c r="H76" s="2809" t="s">
        <v>199</v>
      </c>
      <c r="I76" s="2810" t="s">
        <v>199</v>
      </c>
      <c r="J76" s="3661" t="s">
        <v>199</v>
      </c>
    </row>
    <row r="77" spans="2:10" ht="18" hidden="1" customHeight="1" outlineLevel="2" x14ac:dyDescent="0.2">
      <c r="B77" s="2845" t="s">
        <v>1521</v>
      </c>
      <c r="C77" s="2847" t="s">
        <v>409</v>
      </c>
      <c r="D77" s="2808" t="s">
        <v>221</v>
      </c>
      <c r="E77" s="2770" t="s">
        <v>205</v>
      </c>
      <c r="F77" s="2813" t="s">
        <v>205</v>
      </c>
      <c r="G77" s="2805" t="s">
        <v>205</v>
      </c>
      <c r="H77" s="2809" t="s">
        <v>221</v>
      </c>
      <c r="I77" s="2810" t="s">
        <v>221</v>
      </c>
      <c r="J77" s="3661" t="s">
        <v>221</v>
      </c>
    </row>
    <row r="78" spans="2:10" ht="18" hidden="1" customHeight="1" outlineLevel="2" x14ac:dyDescent="0.2">
      <c r="B78" s="2845" t="s">
        <v>1522</v>
      </c>
      <c r="C78" s="2848"/>
      <c r="D78" s="2769" t="s">
        <v>205</v>
      </c>
      <c r="E78" s="2770" t="s">
        <v>205</v>
      </c>
      <c r="F78" s="2768" t="s">
        <v>205</v>
      </c>
      <c r="G78" s="2769" t="s">
        <v>205</v>
      </c>
      <c r="H78" s="2771" t="s">
        <v>205</v>
      </c>
      <c r="I78" s="2768" t="s">
        <v>205</v>
      </c>
      <c r="J78" s="3651" t="s">
        <v>205</v>
      </c>
    </row>
    <row r="79" spans="2:10" ht="18" hidden="1" customHeight="1" outlineLevel="2" x14ac:dyDescent="0.2">
      <c r="B79" s="2849" t="s">
        <v>205</v>
      </c>
      <c r="C79" s="2850" t="s">
        <v>205</v>
      </c>
      <c r="D79" s="2772" t="s">
        <v>205</v>
      </c>
      <c r="E79" s="2770" t="s">
        <v>205</v>
      </c>
      <c r="F79" s="2768" t="s">
        <v>205</v>
      </c>
      <c r="G79" s="2769" t="s">
        <v>205</v>
      </c>
      <c r="H79" s="2809" t="s">
        <v>205</v>
      </c>
      <c r="I79" s="2773" t="s">
        <v>205</v>
      </c>
      <c r="J79" s="3662" t="s">
        <v>205</v>
      </c>
    </row>
    <row r="80" spans="2:10" ht="18" hidden="1" customHeight="1" outlineLevel="2" x14ac:dyDescent="0.2">
      <c r="B80" s="2842" t="s">
        <v>1523</v>
      </c>
      <c r="C80" s="2843"/>
      <c r="D80" s="2812" t="s">
        <v>221</v>
      </c>
      <c r="E80" s="2770" t="s">
        <v>205</v>
      </c>
      <c r="F80" s="2813" t="s">
        <v>205</v>
      </c>
      <c r="G80" s="2805" t="s">
        <v>205</v>
      </c>
      <c r="H80" s="2806" t="s">
        <v>221</v>
      </c>
      <c r="I80" s="2768" t="s">
        <v>221</v>
      </c>
      <c r="J80" s="3651" t="s">
        <v>221</v>
      </c>
    </row>
    <row r="81" spans="2:10" ht="18" hidden="1" customHeight="1" outlineLevel="2" x14ac:dyDescent="0.2">
      <c r="B81" s="2844" t="s">
        <v>271</v>
      </c>
      <c r="C81" s="2843"/>
      <c r="D81" s="2781"/>
      <c r="E81" s="2781"/>
      <c r="F81" s="2782"/>
      <c r="G81" s="2782"/>
      <c r="H81" s="2782"/>
      <c r="I81" s="2782"/>
      <c r="J81" s="3664"/>
    </row>
    <row r="82" spans="2:10" ht="18" hidden="1" customHeight="1" outlineLevel="2" x14ac:dyDescent="0.2">
      <c r="B82" s="2845" t="s">
        <v>1524</v>
      </c>
      <c r="C82" s="2850" t="s">
        <v>409</v>
      </c>
      <c r="D82" s="2772" t="s">
        <v>221</v>
      </c>
      <c r="E82" s="2770" t="s">
        <v>205</v>
      </c>
      <c r="F82" s="2768" t="s">
        <v>205</v>
      </c>
      <c r="G82" s="2769" t="s">
        <v>205</v>
      </c>
      <c r="H82" s="2780" t="s">
        <v>221</v>
      </c>
      <c r="I82" s="2773" t="s">
        <v>221</v>
      </c>
      <c r="J82" s="3662" t="s">
        <v>221</v>
      </c>
    </row>
    <row r="83" spans="2:10" ht="18" hidden="1" customHeight="1" outlineLevel="2" x14ac:dyDescent="0.2">
      <c r="B83" s="2845" t="s">
        <v>1525</v>
      </c>
      <c r="C83" s="2843"/>
      <c r="D83" s="2769" t="s">
        <v>205</v>
      </c>
      <c r="E83" s="2770" t="s">
        <v>205</v>
      </c>
      <c r="F83" s="2768" t="s">
        <v>205</v>
      </c>
      <c r="G83" s="2769" t="s">
        <v>205</v>
      </c>
      <c r="H83" s="2771" t="s">
        <v>205</v>
      </c>
      <c r="I83" s="2768" t="s">
        <v>205</v>
      </c>
      <c r="J83" s="3651" t="s">
        <v>205</v>
      </c>
    </row>
    <row r="84" spans="2:10" ht="18" hidden="1" customHeight="1" outlineLevel="2" x14ac:dyDescent="0.2">
      <c r="B84" s="2849" t="s">
        <v>205</v>
      </c>
      <c r="C84" s="2850" t="s">
        <v>205</v>
      </c>
      <c r="D84" s="2772" t="s">
        <v>205</v>
      </c>
      <c r="E84" s="2770" t="s">
        <v>205</v>
      </c>
      <c r="F84" s="2768" t="s">
        <v>205</v>
      </c>
      <c r="G84" s="2769" t="s">
        <v>205</v>
      </c>
      <c r="H84" s="2809" t="s">
        <v>205</v>
      </c>
      <c r="I84" s="2773" t="s">
        <v>205</v>
      </c>
      <c r="J84" s="3662" t="s">
        <v>205</v>
      </c>
    </row>
    <row r="85" spans="2:10" ht="18" hidden="1" customHeight="1" outlineLevel="1" collapsed="1" thickBot="1" x14ac:dyDescent="0.25">
      <c r="B85" s="2851" t="s">
        <v>1531</v>
      </c>
      <c r="C85" s="2852"/>
      <c r="D85" s="2805" t="s">
        <v>221</v>
      </c>
      <c r="E85" s="2835" t="s">
        <v>205</v>
      </c>
      <c r="F85" s="2813" t="s">
        <v>205</v>
      </c>
      <c r="G85" s="2805" t="s">
        <v>205</v>
      </c>
      <c r="H85" s="2806" t="s">
        <v>221</v>
      </c>
      <c r="I85" s="2768" t="s">
        <v>221</v>
      </c>
      <c r="J85" s="3651" t="s">
        <v>221</v>
      </c>
    </row>
    <row r="86" spans="2:10" ht="18" hidden="1" customHeight="1" outlineLevel="2" x14ac:dyDescent="0.2">
      <c r="B86" s="2842" t="s">
        <v>1519</v>
      </c>
      <c r="C86" s="2843"/>
      <c r="D86" s="2805" t="s">
        <v>199</v>
      </c>
      <c r="E86" s="2835" t="s">
        <v>205</v>
      </c>
      <c r="F86" s="2813" t="s">
        <v>205</v>
      </c>
      <c r="G86" s="2805" t="s">
        <v>205</v>
      </c>
      <c r="H86" s="2806" t="s">
        <v>199</v>
      </c>
      <c r="I86" s="2768" t="s">
        <v>199</v>
      </c>
      <c r="J86" s="3651" t="s">
        <v>199</v>
      </c>
    </row>
    <row r="87" spans="2:10" ht="18" hidden="1" customHeight="1" outlineLevel="2" x14ac:dyDescent="0.2">
      <c r="B87" s="2844" t="s">
        <v>271</v>
      </c>
      <c r="C87" s="2843"/>
      <c r="D87" s="2807"/>
      <c r="E87" s="2807"/>
      <c r="F87" s="2807"/>
      <c r="G87" s="2807"/>
      <c r="H87" s="2807"/>
      <c r="I87" s="2807"/>
      <c r="J87" s="3660"/>
    </row>
    <row r="88" spans="2:10" ht="18" hidden="1" customHeight="1" outlineLevel="2" x14ac:dyDescent="0.2">
      <c r="B88" s="2845" t="s">
        <v>1520</v>
      </c>
      <c r="C88" s="2846" t="s">
        <v>409</v>
      </c>
      <c r="D88" s="2808" t="s">
        <v>199</v>
      </c>
      <c r="E88" s="2770" t="s">
        <v>205</v>
      </c>
      <c r="F88" s="2813" t="s">
        <v>205</v>
      </c>
      <c r="G88" s="2805" t="s">
        <v>205</v>
      </c>
      <c r="H88" s="2809" t="s">
        <v>199</v>
      </c>
      <c r="I88" s="2810" t="s">
        <v>199</v>
      </c>
      <c r="J88" s="3661" t="s">
        <v>199</v>
      </c>
    </row>
    <row r="89" spans="2:10" ht="18" hidden="1" customHeight="1" outlineLevel="2" x14ac:dyDescent="0.2">
      <c r="B89" s="2845" t="s">
        <v>1521</v>
      </c>
      <c r="C89" s="2847" t="s">
        <v>409</v>
      </c>
      <c r="D89" s="2808" t="s">
        <v>199</v>
      </c>
      <c r="E89" s="2770" t="s">
        <v>205</v>
      </c>
      <c r="F89" s="2813" t="s">
        <v>205</v>
      </c>
      <c r="G89" s="2805" t="s">
        <v>205</v>
      </c>
      <c r="H89" s="2809" t="s">
        <v>199</v>
      </c>
      <c r="I89" s="2810" t="s">
        <v>199</v>
      </c>
      <c r="J89" s="3661" t="s">
        <v>199</v>
      </c>
    </row>
    <row r="90" spans="2:10" ht="18" hidden="1" customHeight="1" outlineLevel="2" x14ac:dyDescent="0.2">
      <c r="B90" s="2845" t="s">
        <v>1522</v>
      </c>
      <c r="C90" s="2848"/>
      <c r="D90" s="2769" t="s">
        <v>205</v>
      </c>
      <c r="E90" s="2770" t="s">
        <v>205</v>
      </c>
      <c r="F90" s="2768" t="s">
        <v>205</v>
      </c>
      <c r="G90" s="2769" t="s">
        <v>205</v>
      </c>
      <c r="H90" s="2771" t="s">
        <v>205</v>
      </c>
      <c r="I90" s="2768" t="s">
        <v>205</v>
      </c>
      <c r="J90" s="3651" t="s">
        <v>205</v>
      </c>
    </row>
    <row r="91" spans="2:10" ht="18" hidden="1" customHeight="1" outlineLevel="2" x14ac:dyDescent="0.2">
      <c r="B91" s="2849" t="s">
        <v>205</v>
      </c>
      <c r="C91" s="2850" t="s">
        <v>205</v>
      </c>
      <c r="D91" s="2772" t="s">
        <v>205</v>
      </c>
      <c r="E91" s="2770" t="s">
        <v>205</v>
      </c>
      <c r="F91" s="2768" t="s">
        <v>205</v>
      </c>
      <c r="G91" s="2769" t="s">
        <v>205</v>
      </c>
      <c r="H91" s="2809" t="s">
        <v>205</v>
      </c>
      <c r="I91" s="2773" t="s">
        <v>205</v>
      </c>
      <c r="J91" s="3662" t="s">
        <v>205</v>
      </c>
    </row>
    <row r="92" spans="2:10" ht="18" hidden="1" customHeight="1" outlineLevel="2" x14ac:dyDescent="0.2">
      <c r="B92" s="2842" t="s">
        <v>1523</v>
      </c>
      <c r="C92" s="2843"/>
      <c r="D92" s="2812" t="s">
        <v>199</v>
      </c>
      <c r="E92" s="2770" t="s">
        <v>205</v>
      </c>
      <c r="F92" s="2813" t="s">
        <v>205</v>
      </c>
      <c r="G92" s="2805" t="s">
        <v>205</v>
      </c>
      <c r="H92" s="2806" t="s">
        <v>199</v>
      </c>
      <c r="I92" s="2768" t="s">
        <v>199</v>
      </c>
      <c r="J92" s="3651" t="s">
        <v>199</v>
      </c>
    </row>
    <row r="93" spans="2:10" ht="18" hidden="1" customHeight="1" outlineLevel="2" x14ac:dyDescent="0.2">
      <c r="B93" s="2844" t="s">
        <v>271</v>
      </c>
      <c r="C93" s="2843"/>
      <c r="D93" s="2781"/>
      <c r="E93" s="2781"/>
      <c r="F93" s="2782"/>
      <c r="G93" s="2782"/>
      <c r="H93" s="2782"/>
      <c r="I93" s="2782"/>
      <c r="J93" s="3664"/>
    </row>
    <row r="94" spans="2:10" ht="18" hidden="1" customHeight="1" outlineLevel="2" x14ac:dyDescent="0.2">
      <c r="B94" s="2845" t="s">
        <v>1524</v>
      </c>
      <c r="C94" s="2850" t="s">
        <v>409</v>
      </c>
      <c r="D94" s="2772" t="s">
        <v>199</v>
      </c>
      <c r="E94" s="2770" t="s">
        <v>205</v>
      </c>
      <c r="F94" s="2768" t="s">
        <v>205</v>
      </c>
      <c r="G94" s="2769" t="s">
        <v>205</v>
      </c>
      <c r="H94" s="2780" t="s">
        <v>199</v>
      </c>
      <c r="I94" s="2773" t="s">
        <v>199</v>
      </c>
      <c r="J94" s="3662" t="s">
        <v>199</v>
      </c>
    </row>
    <row r="95" spans="2:10" ht="18" hidden="1" customHeight="1" outlineLevel="2" x14ac:dyDescent="0.2">
      <c r="B95" s="2845" t="s">
        <v>1525</v>
      </c>
      <c r="C95" s="2843"/>
      <c r="D95" s="2769" t="s">
        <v>205</v>
      </c>
      <c r="E95" s="2770" t="s">
        <v>205</v>
      </c>
      <c r="F95" s="2768" t="s">
        <v>205</v>
      </c>
      <c r="G95" s="2769" t="s">
        <v>205</v>
      </c>
      <c r="H95" s="2771" t="s">
        <v>205</v>
      </c>
      <c r="I95" s="2768" t="s">
        <v>205</v>
      </c>
      <c r="J95" s="3651" t="s">
        <v>205</v>
      </c>
    </row>
    <row r="96" spans="2:10" ht="18" hidden="1" customHeight="1" outlineLevel="2" thickBot="1" x14ac:dyDescent="0.25">
      <c r="B96" s="2849" t="s">
        <v>205</v>
      </c>
      <c r="C96" s="2850" t="s">
        <v>205</v>
      </c>
      <c r="D96" s="2772" t="s">
        <v>205</v>
      </c>
      <c r="E96" s="2770" t="s">
        <v>205</v>
      </c>
      <c r="F96" s="2768" t="s">
        <v>205</v>
      </c>
      <c r="G96" s="2769" t="s">
        <v>205</v>
      </c>
      <c r="H96" s="2809" t="s">
        <v>205</v>
      </c>
      <c r="I96" s="2773" t="s">
        <v>205</v>
      </c>
      <c r="J96" s="3662" t="s">
        <v>205</v>
      </c>
    </row>
    <row r="97" spans="2:10" ht="18" customHeight="1" x14ac:dyDescent="0.2">
      <c r="B97" s="1439" t="s">
        <v>1532</v>
      </c>
      <c r="C97" s="2853"/>
      <c r="D97" s="2784"/>
      <c r="E97" s="2785"/>
      <c r="F97" s="2786"/>
      <c r="G97" s="2787"/>
      <c r="H97" s="2833" t="s">
        <v>1533</v>
      </c>
      <c r="I97" s="2828" t="s">
        <v>221</v>
      </c>
      <c r="J97" s="3658" t="s">
        <v>221</v>
      </c>
    </row>
    <row r="98" spans="2:10" ht="18" customHeight="1" collapsed="1" x14ac:dyDescent="0.2">
      <c r="B98" s="912" t="s">
        <v>1534</v>
      </c>
      <c r="C98" s="2841"/>
      <c r="D98" s="2802"/>
      <c r="E98" s="2803"/>
      <c r="F98" s="2804"/>
      <c r="G98" s="2802"/>
      <c r="H98" s="2806" t="s">
        <v>1533</v>
      </c>
      <c r="I98" s="2816"/>
      <c r="J98" s="3659" t="s">
        <v>221</v>
      </c>
    </row>
    <row r="99" spans="2:10" ht="18" hidden="1" customHeight="1" outlineLevel="1" x14ac:dyDescent="0.2">
      <c r="B99" s="2842" t="s">
        <v>1519</v>
      </c>
      <c r="C99" s="2843"/>
      <c r="D99" s="2805" t="s">
        <v>1533</v>
      </c>
      <c r="E99" s="2835" t="s">
        <v>205</v>
      </c>
      <c r="F99" s="2813" t="s">
        <v>205</v>
      </c>
      <c r="G99" s="2805" t="s">
        <v>205</v>
      </c>
      <c r="H99" s="2806" t="s">
        <v>1533</v>
      </c>
      <c r="I99" s="2816"/>
      <c r="J99" s="3651" t="s">
        <v>221</v>
      </c>
    </row>
    <row r="100" spans="2:10" ht="18" hidden="1" customHeight="1" outlineLevel="1" x14ac:dyDescent="0.2">
      <c r="B100" s="2844" t="s">
        <v>271</v>
      </c>
      <c r="C100" s="2843"/>
      <c r="D100" s="2807"/>
      <c r="E100" s="2807"/>
      <c r="F100" s="2807"/>
      <c r="G100" s="2807"/>
      <c r="H100" s="2807"/>
      <c r="I100" s="2807"/>
      <c r="J100" s="3660"/>
    </row>
    <row r="101" spans="2:10" ht="18" hidden="1" customHeight="1" outlineLevel="1" x14ac:dyDescent="0.2">
      <c r="B101" s="2845" t="s">
        <v>1520</v>
      </c>
      <c r="C101" s="2846" t="s">
        <v>409</v>
      </c>
      <c r="D101" s="2808" t="s">
        <v>274</v>
      </c>
      <c r="E101" s="2770" t="s">
        <v>205</v>
      </c>
      <c r="F101" s="2813" t="s">
        <v>205</v>
      </c>
      <c r="G101" s="2805" t="s">
        <v>205</v>
      </c>
      <c r="H101" s="2809" t="s">
        <v>274</v>
      </c>
      <c r="I101" s="2816"/>
      <c r="J101" s="3661" t="s">
        <v>221</v>
      </c>
    </row>
    <row r="102" spans="2:10" ht="18" hidden="1" customHeight="1" outlineLevel="1" x14ac:dyDescent="0.2">
      <c r="B102" s="2845" t="s">
        <v>1521</v>
      </c>
      <c r="C102" s="2847" t="s">
        <v>409</v>
      </c>
      <c r="D102" s="2808" t="s">
        <v>221</v>
      </c>
      <c r="E102" s="2770" t="s">
        <v>205</v>
      </c>
      <c r="F102" s="2813" t="s">
        <v>205</v>
      </c>
      <c r="G102" s="2805" t="s">
        <v>205</v>
      </c>
      <c r="H102" s="2809" t="s">
        <v>221</v>
      </c>
      <c r="I102" s="2816"/>
      <c r="J102" s="3661" t="s">
        <v>221</v>
      </c>
    </row>
    <row r="103" spans="2:10" ht="18" hidden="1" customHeight="1" outlineLevel="1" x14ac:dyDescent="0.2">
      <c r="B103" s="2845" t="s">
        <v>1522</v>
      </c>
      <c r="C103" s="2848"/>
      <c r="D103" s="2769" t="s">
        <v>205</v>
      </c>
      <c r="E103" s="2770" t="s">
        <v>205</v>
      </c>
      <c r="F103" s="2768" t="s">
        <v>205</v>
      </c>
      <c r="G103" s="2769" t="s">
        <v>205</v>
      </c>
      <c r="H103" s="2771" t="s">
        <v>205</v>
      </c>
      <c r="I103" s="2816"/>
      <c r="J103" s="3651" t="s">
        <v>205</v>
      </c>
    </row>
    <row r="104" spans="2:10" ht="18" hidden="1" customHeight="1" outlineLevel="1" x14ac:dyDescent="0.2">
      <c r="B104" s="2849" t="s">
        <v>205</v>
      </c>
      <c r="C104" s="2850" t="s">
        <v>205</v>
      </c>
      <c r="D104" s="2772" t="s">
        <v>205</v>
      </c>
      <c r="E104" s="2770" t="s">
        <v>205</v>
      </c>
      <c r="F104" s="2768" t="s">
        <v>205</v>
      </c>
      <c r="G104" s="2769" t="s">
        <v>205</v>
      </c>
      <c r="H104" s="2809" t="s">
        <v>205</v>
      </c>
      <c r="I104" s="2816"/>
      <c r="J104" s="3662" t="s">
        <v>205</v>
      </c>
    </row>
    <row r="105" spans="2:10" ht="18" hidden="1" customHeight="1" outlineLevel="1" x14ac:dyDescent="0.2">
      <c r="B105" s="2842" t="s">
        <v>1523</v>
      </c>
      <c r="C105" s="2843"/>
      <c r="D105" s="2812" t="s">
        <v>221</v>
      </c>
      <c r="E105" s="2770" t="s">
        <v>205</v>
      </c>
      <c r="F105" s="2813" t="s">
        <v>205</v>
      </c>
      <c r="G105" s="2805" t="s">
        <v>205</v>
      </c>
      <c r="H105" s="2806" t="s">
        <v>221</v>
      </c>
      <c r="I105" s="2816"/>
      <c r="J105" s="3651" t="s">
        <v>221</v>
      </c>
    </row>
    <row r="106" spans="2:10" ht="18" hidden="1" customHeight="1" outlineLevel="1" x14ac:dyDescent="0.2">
      <c r="B106" s="2844" t="s">
        <v>271</v>
      </c>
      <c r="C106" s="2843"/>
      <c r="D106" s="2781"/>
      <c r="E106" s="2781"/>
      <c r="F106" s="2782"/>
      <c r="G106" s="2782"/>
      <c r="H106" s="2782"/>
      <c r="I106" s="2807"/>
      <c r="J106" s="3664"/>
    </row>
    <row r="107" spans="2:10" ht="18" hidden="1" customHeight="1" outlineLevel="1" x14ac:dyDescent="0.2">
      <c r="B107" s="2845" t="s">
        <v>1524</v>
      </c>
      <c r="C107" s="2850" t="s">
        <v>409</v>
      </c>
      <c r="D107" s="2772" t="s">
        <v>221</v>
      </c>
      <c r="E107" s="2770" t="s">
        <v>205</v>
      </c>
      <c r="F107" s="2768" t="s">
        <v>205</v>
      </c>
      <c r="G107" s="2769" t="s">
        <v>205</v>
      </c>
      <c r="H107" s="2780" t="s">
        <v>221</v>
      </c>
      <c r="I107" s="2816"/>
      <c r="J107" s="3662" t="s">
        <v>221</v>
      </c>
    </row>
    <row r="108" spans="2:10" ht="18" hidden="1" customHeight="1" outlineLevel="1" x14ac:dyDescent="0.2">
      <c r="B108" s="2845" t="s">
        <v>1525</v>
      </c>
      <c r="C108" s="2843"/>
      <c r="D108" s="2769" t="s">
        <v>205</v>
      </c>
      <c r="E108" s="2770" t="s">
        <v>205</v>
      </c>
      <c r="F108" s="2768" t="s">
        <v>205</v>
      </c>
      <c r="G108" s="2769" t="s">
        <v>205</v>
      </c>
      <c r="H108" s="2771" t="s">
        <v>205</v>
      </c>
      <c r="I108" s="2816"/>
      <c r="J108" s="3651" t="s">
        <v>205</v>
      </c>
    </row>
    <row r="109" spans="2:10" ht="18" hidden="1" customHeight="1" outlineLevel="1" x14ac:dyDescent="0.2">
      <c r="B109" s="2849" t="s">
        <v>205</v>
      </c>
      <c r="C109" s="2850" t="s">
        <v>205</v>
      </c>
      <c r="D109" s="2772" t="s">
        <v>205</v>
      </c>
      <c r="E109" s="2770" t="s">
        <v>205</v>
      </c>
      <c r="F109" s="2768" t="s">
        <v>205</v>
      </c>
      <c r="G109" s="2769" t="s">
        <v>205</v>
      </c>
      <c r="H109" s="2780" t="s">
        <v>205</v>
      </c>
      <c r="I109" s="2816"/>
      <c r="J109" s="3662" t="s">
        <v>205</v>
      </c>
    </row>
    <row r="110" spans="2:10" ht="18" customHeight="1" collapsed="1" thickBot="1" x14ac:dyDescent="0.25">
      <c r="B110" s="912" t="s">
        <v>1535</v>
      </c>
      <c r="C110" s="2841"/>
      <c r="D110" s="2802"/>
      <c r="E110" s="2803"/>
      <c r="F110" s="2804"/>
      <c r="G110" s="2802"/>
      <c r="H110" s="2834" t="s">
        <v>1533</v>
      </c>
      <c r="I110" s="2830" t="s">
        <v>221</v>
      </c>
      <c r="J110" s="3659" t="s">
        <v>221</v>
      </c>
    </row>
    <row r="111" spans="2:10" ht="18" hidden="1" customHeight="1" outlineLevel="1" x14ac:dyDescent="0.2">
      <c r="B111" s="2842" t="s">
        <v>1519</v>
      </c>
      <c r="C111" s="2843"/>
      <c r="D111" s="2805" t="s">
        <v>1533</v>
      </c>
      <c r="E111" s="2835" t="s">
        <v>205</v>
      </c>
      <c r="F111" s="2813" t="s">
        <v>205</v>
      </c>
      <c r="G111" s="2805" t="s">
        <v>205</v>
      </c>
      <c r="H111" s="2806" t="s">
        <v>1533</v>
      </c>
      <c r="I111" s="2768" t="s">
        <v>221</v>
      </c>
      <c r="J111" s="3651" t="s">
        <v>221</v>
      </c>
    </row>
    <row r="112" spans="2:10" ht="18" hidden="1" customHeight="1" outlineLevel="1" x14ac:dyDescent="0.2">
      <c r="B112" s="2844" t="s">
        <v>271</v>
      </c>
      <c r="C112" s="2843"/>
      <c r="D112" s="2807"/>
      <c r="E112" s="2807"/>
      <c r="F112" s="2807"/>
      <c r="G112" s="2807"/>
      <c r="H112" s="2807"/>
      <c r="I112" s="2807"/>
      <c r="J112" s="3660"/>
    </row>
    <row r="113" spans="2:10" ht="18" hidden="1" customHeight="1" outlineLevel="1" x14ac:dyDescent="0.2">
      <c r="B113" s="2845" t="s">
        <v>1520</v>
      </c>
      <c r="C113" s="2846" t="s">
        <v>409</v>
      </c>
      <c r="D113" s="2808" t="s">
        <v>274</v>
      </c>
      <c r="E113" s="2770" t="s">
        <v>205</v>
      </c>
      <c r="F113" s="2813" t="s">
        <v>205</v>
      </c>
      <c r="G113" s="2805" t="s">
        <v>205</v>
      </c>
      <c r="H113" s="2809" t="s">
        <v>274</v>
      </c>
      <c r="I113" s="2810" t="s">
        <v>221</v>
      </c>
      <c r="J113" s="3661" t="s">
        <v>221</v>
      </c>
    </row>
    <row r="114" spans="2:10" ht="18" hidden="1" customHeight="1" outlineLevel="1" x14ac:dyDescent="0.2">
      <c r="B114" s="2845" t="s">
        <v>1521</v>
      </c>
      <c r="C114" s="2847" t="s">
        <v>409</v>
      </c>
      <c r="D114" s="2808" t="s">
        <v>221</v>
      </c>
      <c r="E114" s="2770" t="s">
        <v>205</v>
      </c>
      <c r="F114" s="2813" t="s">
        <v>205</v>
      </c>
      <c r="G114" s="2805" t="s">
        <v>205</v>
      </c>
      <c r="H114" s="2809" t="s">
        <v>221</v>
      </c>
      <c r="I114" s="2810" t="s">
        <v>221</v>
      </c>
      <c r="J114" s="3661" t="s">
        <v>221</v>
      </c>
    </row>
    <row r="115" spans="2:10" ht="18" hidden="1" customHeight="1" outlineLevel="1" x14ac:dyDescent="0.2">
      <c r="B115" s="2845" t="s">
        <v>1522</v>
      </c>
      <c r="C115" s="2848"/>
      <c r="D115" s="2769" t="s">
        <v>205</v>
      </c>
      <c r="E115" s="2770" t="s">
        <v>205</v>
      </c>
      <c r="F115" s="2768" t="s">
        <v>205</v>
      </c>
      <c r="G115" s="2769" t="s">
        <v>205</v>
      </c>
      <c r="H115" s="2771" t="s">
        <v>205</v>
      </c>
      <c r="I115" s="2768" t="s">
        <v>205</v>
      </c>
      <c r="J115" s="3651" t="s">
        <v>205</v>
      </c>
    </row>
    <row r="116" spans="2:10" ht="18" hidden="1" customHeight="1" outlineLevel="1" x14ac:dyDescent="0.2">
      <c r="B116" s="2849" t="s">
        <v>205</v>
      </c>
      <c r="C116" s="2850" t="s">
        <v>205</v>
      </c>
      <c r="D116" s="2772" t="s">
        <v>205</v>
      </c>
      <c r="E116" s="2770" t="s">
        <v>205</v>
      </c>
      <c r="F116" s="2768" t="s">
        <v>205</v>
      </c>
      <c r="G116" s="2769" t="s">
        <v>205</v>
      </c>
      <c r="H116" s="2809" t="s">
        <v>205</v>
      </c>
      <c r="I116" s="2773" t="s">
        <v>205</v>
      </c>
      <c r="J116" s="3662" t="s">
        <v>205</v>
      </c>
    </row>
    <row r="117" spans="2:10" ht="18" hidden="1" customHeight="1" outlineLevel="1" x14ac:dyDescent="0.2">
      <c r="B117" s="2842" t="s">
        <v>1523</v>
      </c>
      <c r="C117" s="2843"/>
      <c r="D117" s="2812" t="s">
        <v>221</v>
      </c>
      <c r="E117" s="2770" t="s">
        <v>205</v>
      </c>
      <c r="F117" s="2813" t="s">
        <v>205</v>
      </c>
      <c r="G117" s="2805" t="s">
        <v>205</v>
      </c>
      <c r="H117" s="2806" t="s">
        <v>221</v>
      </c>
      <c r="I117" s="2768" t="s">
        <v>221</v>
      </c>
      <c r="J117" s="3651" t="s">
        <v>221</v>
      </c>
    </row>
    <row r="118" spans="2:10" ht="18" hidden="1" customHeight="1" outlineLevel="1" x14ac:dyDescent="0.2">
      <c r="B118" s="2844" t="s">
        <v>271</v>
      </c>
      <c r="C118" s="2843"/>
      <c r="D118" s="2781"/>
      <c r="E118" s="2781"/>
      <c r="F118" s="2782"/>
      <c r="G118" s="2782"/>
      <c r="H118" s="2782"/>
      <c r="I118" s="2782"/>
      <c r="J118" s="3664"/>
    </row>
    <row r="119" spans="2:10" ht="18" hidden="1" customHeight="1" outlineLevel="1" x14ac:dyDescent="0.2">
      <c r="B119" s="2845" t="s">
        <v>1524</v>
      </c>
      <c r="C119" s="2850" t="s">
        <v>409</v>
      </c>
      <c r="D119" s="2772" t="s">
        <v>221</v>
      </c>
      <c r="E119" s="2770" t="s">
        <v>205</v>
      </c>
      <c r="F119" s="2768" t="s">
        <v>205</v>
      </c>
      <c r="G119" s="2769" t="s">
        <v>205</v>
      </c>
      <c r="H119" s="2780" t="s">
        <v>221</v>
      </c>
      <c r="I119" s="2773" t="s">
        <v>221</v>
      </c>
      <c r="J119" s="3662" t="s">
        <v>221</v>
      </c>
    </row>
    <row r="120" spans="2:10" ht="18" hidden="1" customHeight="1" outlineLevel="1" x14ac:dyDescent="0.2">
      <c r="B120" s="2845" t="s">
        <v>1525</v>
      </c>
      <c r="C120" s="2843"/>
      <c r="D120" s="2769" t="s">
        <v>205</v>
      </c>
      <c r="E120" s="2770" t="s">
        <v>205</v>
      </c>
      <c r="F120" s="2768" t="s">
        <v>205</v>
      </c>
      <c r="G120" s="2769" t="s">
        <v>205</v>
      </c>
      <c r="H120" s="2771" t="s">
        <v>205</v>
      </c>
      <c r="I120" s="2768" t="s">
        <v>205</v>
      </c>
      <c r="J120" s="3651" t="s">
        <v>205</v>
      </c>
    </row>
    <row r="121" spans="2:10" ht="18" hidden="1" customHeight="1" outlineLevel="1" x14ac:dyDescent="0.2">
      <c r="B121" s="2849" t="s">
        <v>205</v>
      </c>
      <c r="C121" s="2850" t="s">
        <v>205</v>
      </c>
      <c r="D121" s="2772" t="s">
        <v>205</v>
      </c>
      <c r="E121" s="2770" t="s">
        <v>205</v>
      </c>
      <c r="F121" s="2768" t="s">
        <v>205</v>
      </c>
      <c r="G121" s="2769" t="s">
        <v>205</v>
      </c>
      <c r="H121" s="2809" t="s">
        <v>205</v>
      </c>
      <c r="I121" s="2773" t="s">
        <v>205</v>
      </c>
      <c r="J121" s="3662" t="s">
        <v>205</v>
      </c>
    </row>
    <row r="122" spans="2:10" ht="18" hidden="1" customHeight="1" outlineLevel="1" x14ac:dyDescent="0.2">
      <c r="B122" s="2844" t="s">
        <v>271</v>
      </c>
      <c r="C122" s="2843"/>
      <c r="D122" s="2781"/>
      <c r="E122" s="2781"/>
      <c r="F122" s="2782"/>
      <c r="G122" s="2782"/>
      <c r="H122" s="2782"/>
      <c r="I122" s="2782"/>
      <c r="J122" s="3664"/>
    </row>
    <row r="123" spans="2:10" ht="18" hidden="1" customHeight="1" outlineLevel="1" collapsed="1" x14ac:dyDescent="0.2">
      <c r="B123" s="2842" t="s">
        <v>1536</v>
      </c>
      <c r="C123" s="2843"/>
      <c r="D123" s="2805" t="s">
        <v>1533</v>
      </c>
      <c r="E123" s="2835" t="s">
        <v>205</v>
      </c>
      <c r="F123" s="2813" t="s">
        <v>205</v>
      </c>
      <c r="G123" s="2805" t="s">
        <v>205</v>
      </c>
      <c r="H123" s="2806" t="s">
        <v>1533</v>
      </c>
      <c r="I123" s="2768" t="s">
        <v>221</v>
      </c>
      <c r="J123" s="3651" t="s">
        <v>221</v>
      </c>
    </row>
    <row r="124" spans="2:10" ht="18" hidden="1" customHeight="1" outlineLevel="2" x14ac:dyDescent="0.2">
      <c r="B124" s="2842" t="s">
        <v>1519</v>
      </c>
      <c r="C124" s="2843"/>
      <c r="D124" s="2805" t="s">
        <v>1533</v>
      </c>
      <c r="E124" s="2835" t="s">
        <v>205</v>
      </c>
      <c r="F124" s="2813" t="s">
        <v>205</v>
      </c>
      <c r="G124" s="2805" t="s">
        <v>205</v>
      </c>
      <c r="H124" s="2806" t="s">
        <v>1533</v>
      </c>
      <c r="I124" s="2768" t="s">
        <v>221</v>
      </c>
      <c r="J124" s="3651" t="s">
        <v>221</v>
      </c>
    </row>
    <row r="125" spans="2:10" ht="18" hidden="1" customHeight="1" outlineLevel="2" x14ac:dyDescent="0.2">
      <c r="B125" s="2844" t="s">
        <v>271</v>
      </c>
      <c r="C125" s="2843"/>
      <c r="D125" s="2807"/>
      <c r="E125" s="2807"/>
      <c r="F125" s="2807"/>
      <c r="G125" s="2807"/>
      <c r="H125" s="2807"/>
      <c r="I125" s="2807"/>
      <c r="J125" s="3660"/>
    </row>
    <row r="126" spans="2:10" ht="18" hidden="1" customHeight="1" outlineLevel="2" x14ac:dyDescent="0.2">
      <c r="B126" s="2845" t="s">
        <v>1520</v>
      </c>
      <c r="C126" s="2846" t="s">
        <v>409</v>
      </c>
      <c r="D126" s="2808" t="s">
        <v>274</v>
      </c>
      <c r="E126" s="2770" t="s">
        <v>205</v>
      </c>
      <c r="F126" s="2813" t="s">
        <v>205</v>
      </c>
      <c r="G126" s="2805" t="s">
        <v>205</v>
      </c>
      <c r="H126" s="2809" t="s">
        <v>274</v>
      </c>
      <c r="I126" s="2810" t="s">
        <v>221</v>
      </c>
      <c r="J126" s="3661" t="s">
        <v>221</v>
      </c>
    </row>
    <row r="127" spans="2:10" ht="18" hidden="1" customHeight="1" outlineLevel="2" x14ac:dyDescent="0.2">
      <c r="B127" s="2845" t="s">
        <v>1521</v>
      </c>
      <c r="C127" s="2847" t="s">
        <v>409</v>
      </c>
      <c r="D127" s="2808" t="s">
        <v>221</v>
      </c>
      <c r="E127" s="2770" t="s">
        <v>205</v>
      </c>
      <c r="F127" s="2813" t="s">
        <v>205</v>
      </c>
      <c r="G127" s="2805" t="s">
        <v>205</v>
      </c>
      <c r="H127" s="2809" t="s">
        <v>221</v>
      </c>
      <c r="I127" s="2810" t="s">
        <v>221</v>
      </c>
      <c r="J127" s="3661" t="s">
        <v>221</v>
      </c>
    </row>
    <row r="128" spans="2:10" ht="18" hidden="1" customHeight="1" outlineLevel="2" x14ac:dyDescent="0.2">
      <c r="B128" s="2845" t="s">
        <v>1522</v>
      </c>
      <c r="C128" s="2848"/>
      <c r="D128" s="2769" t="s">
        <v>205</v>
      </c>
      <c r="E128" s="2770" t="s">
        <v>205</v>
      </c>
      <c r="F128" s="2768" t="s">
        <v>205</v>
      </c>
      <c r="G128" s="2769" t="s">
        <v>205</v>
      </c>
      <c r="H128" s="2771" t="s">
        <v>205</v>
      </c>
      <c r="I128" s="2768" t="s">
        <v>205</v>
      </c>
      <c r="J128" s="3651" t="s">
        <v>205</v>
      </c>
    </row>
    <row r="129" spans="2:10" ht="18" hidden="1" customHeight="1" outlineLevel="2" x14ac:dyDescent="0.2">
      <c r="B129" s="2849" t="s">
        <v>205</v>
      </c>
      <c r="C129" s="2850" t="s">
        <v>205</v>
      </c>
      <c r="D129" s="2772" t="s">
        <v>205</v>
      </c>
      <c r="E129" s="2770" t="s">
        <v>205</v>
      </c>
      <c r="F129" s="2768" t="s">
        <v>205</v>
      </c>
      <c r="G129" s="2769" t="s">
        <v>205</v>
      </c>
      <c r="H129" s="2809" t="s">
        <v>205</v>
      </c>
      <c r="I129" s="2773" t="s">
        <v>205</v>
      </c>
      <c r="J129" s="3662" t="s">
        <v>205</v>
      </c>
    </row>
    <row r="130" spans="2:10" ht="18" hidden="1" customHeight="1" outlineLevel="2" x14ac:dyDescent="0.2">
      <c r="B130" s="2842" t="s">
        <v>1523</v>
      </c>
      <c r="C130" s="2843"/>
      <c r="D130" s="2812" t="s">
        <v>221</v>
      </c>
      <c r="E130" s="2770" t="s">
        <v>205</v>
      </c>
      <c r="F130" s="2813" t="s">
        <v>205</v>
      </c>
      <c r="G130" s="2805" t="s">
        <v>205</v>
      </c>
      <c r="H130" s="2806" t="s">
        <v>221</v>
      </c>
      <c r="I130" s="2768" t="s">
        <v>221</v>
      </c>
      <c r="J130" s="3651" t="s">
        <v>221</v>
      </c>
    </row>
    <row r="131" spans="2:10" ht="18" hidden="1" customHeight="1" outlineLevel="2" x14ac:dyDescent="0.2">
      <c r="B131" s="2844" t="s">
        <v>271</v>
      </c>
      <c r="C131" s="2843"/>
      <c r="D131" s="2781"/>
      <c r="E131" s="2781"/>
      <c r="F131" s="2782"/>
      <c r="G131" s="2782"/>
      <c r="H131" s="2782"/>
      <c r="I131" s="2782"/>
      <c r="J131" s="3664"/>
    </row>
    <row r="132" spans="2:10" ht="18" hidden="1" customHeight="1" outlineLevel="2" x14ac:dyDescent="0.2">
      <c r="B132" s="2845" t="s">
        <v>1524</v>
      </c>
      <c r="C132" s="2850" t="s">
        <v>409</v>
      </c>
      <c r="D132" s="2772" t="s">
        <v>221</v>
      </c>
      <c r="E132" s="2770" t="s">
        <v>205</v>
      </c>
      <c r="F132" s="2768" t="s">
        <v>205</v>
      </c>
      <c r="G132" s="2769" t="s">
        <v>205</v>
      </c>
      <c r="H132" s="2780" t="s">
        <v>221</v>
      </c>
      <c r="I132" s="2773" t="s">
        <v>221</v>
      </c>
      <c r="J132" s="3662" t="s">
        <v>221</v>
      </c>
    </row>
    <row r="133" spans="2:10" ht="18" hidden="1" customHeight="1" outlineLevel="2" x14ac:dyDescent="0.2">
      <c r="B133" s="2845" t="s">
        <v>1525</v>
      </c>
      <c r="C133" s="2843"/>
      <c r="D133" s="2769" t="s">
        <v>205</v>
      </c>
      <c r="E133" s="2770" t="s">
        <v>205</v>
      </c>
      <c r="F133" s="2768" t="s">
        <v>205</v>
      </c>
      <c r="G133" s="2769" t="s">
        <v>205</v>
      </c>
      <c r="H133" s="2771" t="s">
        <v>205</v>
      </c>
      <c r="I133" s="2768" t="s">
        <v>205</v>
      </c>
      <c r="J133" s="3651" t="s">
        <v>205</v>
      </c>
    </row>
    <row r="134" spans="2:10" ht="18" hidden="1" customHeight="1" outlineLevel="2" x14ac:dyDescent="0.2">
      <c r="B134" s="2849" t="s">
        <v>205</v>
      </c>
      <c r="C134" s="2850" t="s">
        <v>205</v>
      </c>
      <c r="D134" s="2772" t="s">
        <v>205</v>
      </c>
      <c r="E134" s="2770" t="s">
        <v>205</v>
      </c>
      <c r="F134" s="2768" t="s">
        <v>205</v>
      </c>
      <c r="G134" s="2769" t="s">
        <v>205</v>
      </c>
      <c r="H134" s="2809" t="s">
        <v>205</v>
      </c>
      <c r="I134" s="2773" t="s">
        <v>205</v>
      </c>
      <c r="J134" s="3662" t="s">
        <v>205</v>
      </c>
    </row>
    <row r="135" spans="2:10" ht="18" hidden="1" customHeight="1" outlineLevel="1" collapsed="1" x14ac:dyDescent="0.2">
      <c r="B135" s="2851" t="s">
        <v>1537</v>
      </c>
      <c r="C135" s="2852"/>
      <c r="D135" s="2814" t="s">
        <v>1533</v>
      </c>
      <c r="E135" s="2836" t="s">
        <v>205</v>
      </c>
      <c r="F135" s="2837" t="s">
        <v>205</v>
      </c>
      <c r="G135" s="2814" t="s">
        <v>205</v>
      </c>
      <c r="H135" s="2815" t="s">
        <v>1533</v>
      </c>
      <c r="I135" s="2783" t="s">
        <v>221</v>
      </c>
      <c r="J135" s="3665" t="s">
        <v>221</v>
      </c>
    </row>
    <row r="136" spans="2:10" ht="18" hidden="1" customHeight="1" outlineLevel="2" x14ac:dyDescent="0.2">
      <c r="B136" s="2842" t="s">
        <v>1519</v>
      </c>
      <c r="C136" s="2843"/>
      <c r="D136" s="2805" t="s">
        <v>1533</v>
      </c>
      <c r="E136" s="2835" t="s">
        <v>205</v>
      </c>
      <c r="F136" s="2813" t="s">
        <v>205</v>
      </c>
      <c r="G136" s="2805" t="s">
        <v>205</v>
      </c>
      <c r="H136" s="2806" t="s">
        <v>1533</v>
      </c>
      <c r="I136" s="2768" t="s">
        <v>221</v>
      </c>
      <c r="J136" s="3651" t="s">
        <v>221</v>
      </c>
    </row>
    <row r="137" spans="2:10" ht="18" hidden="1" customHeight="1" outlineLevel="2" x14ac:dyDescent="0.2">
      <c r="B137" s="2844" t="s">
        <v>271</v>
      </c>
      <c r="C137" s="2843"/>
      <c r="D137" s="2807"/>
      <c r="E137" s="2807"/>
      <c r="F137" s="2807"/>
      <c r="G137" s="2807"/>
      <c r="H137" s="2807"/>
      <c r="I137" s="2807"/>
      <c r="J137" s="3660"/>
    </row>
    <row r="138" spans="2:10" ht="18" hidden="1" customHeight="1" outlineLevel="2" x14ac:dyDescent="0.2">
      <c r="B138" s="2845" t="s">
        <v>1520</v>
      </c>
      <c r="C138" s="2846" t="s">
        <v>409</v>
      </c>
      <c r="D138" s="2808" t="s">
        <v>274</v>
      </c>
      <c r="E138" s="2770" t="s">
        <v>205</v>
      </c>
      <c r="F138" s="2813" t="s">
        <v>205</v>
      </c>
      <c r="G138" s="2805" t="s">
        <v>205</v>
      </c>
      <c r="H138" s="2809" t="s">
        <v>274</v>
      </c>
      <c r="I138" s="2810" t="s">
        <v>221</v>
      </c>
      <c r="J138" s="3661" t="s">
        <v>221</v>
      </c>
    </row>
    <row r="139" spans="2:10" ht="18" hidden="1" customHeight="1" outlineLevel="2" x14ac:dyDescent="0.2">
      <c r="B139" s="2845" t="s">
        <v>1521</v>
      </c>
      <c r="C139" s="2847" t="s">
        <v>409</v>
      </c>
      <c r="D139" s="2808" t="s">
        <v>221</v>
      </c>
      <c r="E139" s="2770" t="s">
        <v>205</v>
      </c>
      <c r="F139" s="2813" t="s">
        <v>205</v>
      </c>
      <c r="G139" s="2805" t="s">
        <v>205</v>
      </c>
      <c r="H139" s="2809" t="s">
        <v>221</v>
      </c>
      <c r="I139" s="2810" t="s">
        <v>221</v>
      </c>
      <c r="J139" s="3661" t="s">
        <v>221</v>
      </c>
    </row>
    <row r="140" spans="2:10" ht="18" hidden="1" customHeight="1" outlineLevel="2" x14ac:dyDescent="0.2">
      <c r="B140" s="2845" t="s">
        <v>1522</v>
      </c>
      <c r="C140" s="2848"/>
      <c r="D140" s="2769" t="s">
        <v>205</v>
      </c>
      <c r="E140" s="2770" t="s">
        <v>205</v>
      </c>
      <c r="F140" s="2768" t="s">
        <v>205</v>
      </c>
      <c r="G140" s="2769" t="s">
        <v>205</v>
      </c>
      <c r="H140" s="2771" t="s">
        <v>205</v>
      </c>
      <c r="I140" s="2768" t="s">
        <v>205</v>
      </c>
      <c r="J140" s="3651" t="s">
        <v>205</v>
      </c>
    </row>
    <row r="141" spans="2:10" ht="18" hidden="1" customHeight="1" outlineLevel="2" x14ac:dyDescent="0.2">
      <c r="B141" s="2849" t="s">
        <v>205</v>
      </c>
      <c r="C141" s="2850" t="s">
        <v>205</v>
      </c>
      <c r="D141" s="2772" t="s">
        <v>205</v>
      </c>
      <c r="E141" s="2770" t="s">
        <v>205</v>
      </c>
      <c r="F141" s="2768" t="s">
        <v>205</v>
      </c>
      <c r="G141" s="2769" t="s">
        <v>205</v>
      </c>
      <c r="H141" s="2809" t="s">
        <v>205</v>
      </c>
      <c r="I141" s="2773" t="s">
        <v>205</v>
      </c>
      <c r="J141" s="3662" t="s">
        <v>205</v>
      </c>
    </row>
    <row r="142" spans="2:10" ht="18" hidden="1" customHeight="1" outlineLevel="2" x14ac:dyDescent="0.2">
      <c r="B142" s="2842" t="s">
        <v>1523</v>
      </c>
      <c r="C142" s="2843"/>
      <c r="D142" s="2812" t="s">
        <v>221</v>
      </c>
      <c r="E142" s="2770" t="s">
        <v>205</v>
      </c>
      <c r="F142" s="2813" t="s">
        <v>205</v>
      </c>
      <c r="G142" s="2805" t="s">
        <v>205</v>
      </c>
      <c r="H142" s="2806" t="s">
        <v>221</v>
      </c>
      <c r="I142" s="2768" t="s">
        <v>221</v>
      </c>
      <c r="J142" s="3651" t="s">
        <v>221</v>
      </c>
    </row>
    <row r="143" spans="2:10" ht="18" hidden="1" customHeight="1" outlineLevel="2" x14ac:dyDescent="0.2">
      <c r="B143" s="2844" t="s">
        <v>271</v>
      </c>
      <c r="C143" s="2843"/>
      <c r="D143" s="2781"/>
      <c r="E143" s="2781"/>
      <c r="F143" s="2782"/>
      <c r="G143" s="2782"/>
      <c r="H143" s="2782"/>
      <c r="I143" s="2782"/>
      <c r="J143" s="3664"/>
    </row>
    <row r="144" spans="2:10" ht="18" hidden="1" customHeight="1" outlineLevel="2" x14ac:dyDescent="0.2">
      <c r="B144" s="2845" t="s">
        <v>1524</v>
      </c>
      <c r="C144" s="2850" t="s">
        <v>409</v>
      </c>
      <c r="D144" s="2772" t="s">
        <v>221</v>
      </c>
      <c r="E144" s="2770" t="s">
        <v>205</v>
      </c>
      <c r="F144" s="2768" t="s">
        <v>205</v>
      </c>
      <c r="G144" s="2769" t="s">
        <v>205</v>
      </c>
      <c r="H144" s="2780" t="s">
        <v>221</v>
      </c>
      <c r="I144" s="2773" t="s">
        <v>221</v>
      </c>
      <c r="J144" s="3662" t="s">
        <v>221</v>
      </c>
    </row>
    <row r="145" spans="2:10" ht="18" hidden="1" customHeight="1" outlineLevel="2" x14ac:dyDescent="0.2">
      <c r="B145" s="2845" t="s">
        <v>1525</v>
      </c>
      <c r="C145" s="2843"/>
      <c r="D145" s="2769" t="s">
        <v>205</v>
      </c>
      <c r="E145" s="2770" t="s">
        <v>205</v>
      </c>
      <c r="F145" s="2768" t="s">
        <v>205</v>
      </c>
      <c r="G145" s="2769" t="s">
        <v>205</v>
      </c>
      <c r="H145" s="2771" t="s">
        <v>205</v>
      </c>
      <c r="I145" s="2768" t="s">
        <v>205</v>
      </c>
      <c r="J145" s="3651" t="s">
        <v>205</v>
      </c>
    </row>
    <row r="146" spans="2:10" ht="18" hidden="1" customHeight="1" outlineLevel="2" x14ac:dyDescent="0.2">
      <c r="B146" s="2849" t="s">
        <v>205</v>
      </c>
      <c r="C146" s="2850" t="s">
        <v>205</v>
      </c>
      <c r="D146" s="2772" t="s">
        <v>205</v>
      </c>
      <c r="E146" s="2770" t="s">
        <v>205</v>
      </c>
      <c r="F146" s="2768" t="s">
        <v>205</v>
      </c>
      <c r="G146" s="2769" t="s">
        <v>205</v>
      </c>
      <c r="H146" s="2809" t="s">
        <v>205</v>
      </c>
      <c r="I146" s="2773" t="s">
        <v>205</v>
      </c>
      <c r="J146" s="3662" t="s">
        <v>205</v>
      </c>
    </row>
    <row r="147" spans="2:10" ht="18" hidden="1" customHeight="1" outlineLevel="1" collapsed="1" x14ac:dyDescent="0.2">
      <c r="B147" s="2851" t="s">
        <v>1538</v>
      </c>
      <c r="C147" s="2852"/>
      <c r="D147" s="2814" t="s">
        <v>1533</v>
      </c>
      <c r="E147" s="2836" t="s">
        <v>205</v>
      </c>
      <c r="F147" s="2837" t="s">
        <v>205</v>
      </c>
      <c r="G147" s="2814" t="s">
        <v>205</v>
      </c>
      <c r="H147" s="2815" t="s">
        <v>1533</v>
      </c>
      <c r="I147" s="2783" t="s">
        <v>221</v>
      </c>
      <c r="J147" s="3665" t="s">
        <v>221</v>
      </c>
    </row>
    <row r="148" spans="2:10" ht="18" hidden="1" customHeight="1" outlineLevel="2" x14ac:dyDescent="0.2">
      <c r="B148" s="2842" t="s">
        <v>1519</v>
      </c>
      <c r="C148" s="2843"/>
      <c r="D148" s="2805" t="s">
        <v>1533</v>
      </c>
      <c r="E148" s="2835" t="s">
        <v>205</v>
      </c>
      <c r="F148" s="2813" t="s">
        <v>205</v>
      </c>
      <c r="G148" s="2805" t="s">
        <v>205</v>
      </c>
      <c r="H148" s="2806" t="s">
        <v>1533</v>
      </c>
      <c r="I148" s="2768" t="s">
        <v>221</v>
      </c>
      <c r="J148" s="3651" t="s">
        <v>221</v>
      </c>
    </row>
    <row r="149" spans="2:10" ht="18" hidden="1" customHeight="1" outlineLevel="2" x14ac:dyDescent="0.2">
      <c r="B149" s="2844" t="s">
        <v>271</v>
      </c>
      <c r="C149" s="2843"/>
      <c r="D149" s="2807"/>
      <c r="E149" s="2807"/>
      <c r="F149" s="2807"/>
      <c r="G149" s="2807"/>
      <c r="H149" s="2807"/>
      <c r="I149" s="2807"/>
      <c r="J149" s="3660"/>
    </row>
    <row r="150" spans="2:10" ht="18" hidden="1" customHeight="1" outlineLevel="2" x14ac:dyDescent="0.2">
      <c r="B150" s="2845" t="s">
        <v>1520</v>
      </c>
      <c r="C150" s="2846" t="s">
        <v>409</v>
      </c>
      <c r="D150" s="2808" t="s">
        <v>274</v>
      </c>
      <c r="E150" s="2770" t="s">
        <v>205</v>
      </c>
      <c r="F150" s="2813" t="s">
        <v>205</v>
      </c>
      <c r="G150" s="2805" t="s">
        <v>205</v>
      </c>
      <c r="H150" s="2809" t="s">
        <v>274</v>
      </c>
      <c r="I150" s="2810" t="s">
        <v>221</v>
      </c>
      <c r="J150" s="3661" t="s">
        <v>221</v>
      </c>
    </row>
    <row r="151" spans="2:10" ht="18" hidden="1" customHeight="1" outlineLevel="2" x14ac:dyDescent="0.2">
      <c r="B151" s="2845" t="s">
        <v>1521</v>
      </c>
      <c r="C151" s="2847" t="s">
        <v>409</v>
      </c>
      <c r="D151" s="2808" t="s">
        <v>221</v>
      </c>
      <c r="E151" s="2770" t="s">
        <v>205</v>
      </c>
      <c r="F151" s="2813" t="s">
        <v>205</v>
      </c>
      <c r="G151" s="2805" t="s">
        <v>205</v>
      </c>
      <c r="H151" s="2809" t="s">
        <v>221</v>
      </c>
      <c r="I151" s="2810" t="s">
        <v>221</v>
      </c>
      <c r="J151" s="3661" t="s">
        <v>221</v>
      </c>
    </row>
    <row r="152" spans="2:10" ht="18" hidden="1" customHeight="1" outlineLevel="2" x14ac:dyDescent="0.2">
      <c r="B152" s="2845" t="s">
        <v>1522</v>
      </c>
      <c r="C152" s="2848"/>
      <c r="D152" s="2769" t="s">
        <v>205</v>
      </c>
      <c r="E152" s="2770" t="s">
        <v>205</v>
      </c>
      <c r="F152" s="2768" t="s">
        <v>205</v>
      </c>
      <c r="G152" s="2769" t="s">
        <v>205</v>
      </c>
      <c r="H152" s="2771" t="s">
        <v>205</v>
      </c>
      <c r="I152" s="2768" t="s">
        <v>205</v>
      </c>
      <c r="J152" s="3651" t="s">
        <v>205</v>
      </c>
    </row>
    <row r="153" spans="2:10" ht="18" hidden="1" customHeight="1" outlineLevel="2" x14ac:dyDescent="0.2">
      <c r="B153" s="2849" t="s">
        <v>205</v>
      </c>
      <c r="C153" s="2850" t="s">
        <v>205</v>
      </c>
      <c r="D153" s="2772" t="s">
        <v>205</v>
      </c>
      <c r="E153" s="2770" t="s">
        <v>205</v>
      </c>
      <c r="F153" s="2768" t="s">
        <v>205</v>
      </c>
      <c r="G153" s="2769" t="s">
        <v>205</v>
      </c>
      <c r="H153" s="2809" t="s">
        <v>205</v>
      </c>
      <c r="I153" s="2773" t="s">
        <v>205</v>
      </c>
      <c r="J153" s="3662" t="s">
        <v>205</v>
      </c>
    </row>
    <row r="154" spans="2:10" ht="18" hidden="1" customHeight="1" outlineLevel="2" x14ac:dyDescent="0.2">
      <c r="B154" s="2842" t="s">
        <v>1523</v>
      </c>
      <c r="C154" s="2843"/>
      <c r="D154" s="2812" t="s">
        <v>221</v>
      </c>
      <c r="E154" s="2770" t="s">
        <v>205</v>
      </c>
      <c r="F154" s="2813" t="s">
        <v>205</v>
      </c>
      <c r="G154" s="2805" t="s">
        <v>205</v>
      </c>
      <c r="H154" s="2806" t="s">
        <v>221</v>
      </c>
      <c r="I154" s="2768" t="s">
        <v>221</v>
      </c>
      <c r="J154" s="3651" t="s">
        <v>221</v>
      </c>
    </row>
    <row r="155" spans="2:10" ht="18" hidden="1" customHeight="1" outlineLevel="2" x14ac:dyDescent="0.2">
      <c r="B155" s="2844" t="s">
        <v>271</v>
      </c>
      <c r="C155" s="2843"/>
      <c r="D155" s="2781"/>
      <c r="E155" s="2781"/>
      <c r="F155" s="2782"/>
      <c r="G155" s="2782"/>
      <c r="H155" s="2782"/>
      <c r="I155" s="2782"/>
      <c r="J155" s="3664"/>
    </row>
    <row r="156" spans="2:10" ht="18" hidden="1" customHeight="1" outlineLevel="2" x14ac:dyDescent="0.2">
      <c r="B156" s="2845" t="s">
        <v>1524</v>
      </c>
      <c r="C156" s="2850" t="s">
        <v>409</v>
      </c>
      <c r="D156" s="2772" t="s">
        <v>221</v>
      </c>
      <c r="E156" s="2770" t="s">
        <v>205</v>
      </c>
      <c r="F156" s="2768" t="s">
        <v>205</v>
      </c>
      <c r="G156" s="2769" t="s">
        <v>205</v>
      </c>
      <c r="H156" s="2780" t="s">
        <v>221</v>
      </c>
      <c r="I156" s="2773" t="s">
        <v>221</v>
      </c>
      <c r="J156" s="3662" t="s">
        <v>221</v>
      </c>
    </row>
    <row r="157" spans="2:10" ht="18" hidden="1" customHeight="1" outlineLevel="2" x14ac:dyDescent="0.2">
      <c r="B157" s="2845" t="s">
        <v>1525</v>
      </c>
      <c r="C157" s="2843"/>
      <c r="D157" s="2769" t="s">
        <v>205</v>
      </c>
      <c r="E157" s="2770" t="s">
        <v>205</v>
      </c>
      <c r="F157" s="2768" t="s">
        <v>205</v>
      </c>
      <c r="G157" s="2769" t="s">
        <v>205</v>
      </c>
      <c r="H157" s="2771" t="s">
        <v>205</v>
      </c>
      <c r="I157" s="2768" t="s">
        <v>205</v>
      </c>
      <c r="J157" s="3651" t="s">
        <v>205</v>
      </c>
    </row>
    <row r="158" spans="2:10" ht="18" hidden="1" customHeight="1" outlineLevel="2" x14ac:dyDescent="0.2">
      <c r="B158" s="2849" t="s">
        <v>205</v>
      </c>
      <c r="C158" s="2850" t="s">
        <v>205</v>
      </c>
      <c r="D158" s="2772" t="s">
        <v>205</v>
      </c>
      <c r="E158" s="2770" t="s">
        <v>205</v>
      </c>
      <c r="F158" s="2768" t="s">
        <v>205</v>
      </c>
      <c r="G158" s="2769" t="s">
        <v>205</v>
      </c>
      <c r="H158" s="2809" t="s">
        <v>205</v>
      </c>
      <c r="I158" s="2773" t="s">
        <v>205</v>
      </c>
      <c r="J158" s="3662" t="s">
        <v>205</v>
      </c>
    </row>
    <row r="159" spans="2:10" ht="18" hidden="1" customHeight="1" outlineLevel="1" collapsed="1" x14ac:dyDescent="0.2">
      <c r="B159" s="2851" t="s">
        <v>1539</v>
      </c>
      <c r="C159" s="2852"/>
      <c r="D159" s="2814" t="s">
        <v>1533</v>
      </c>
      <c r="E159" s="2836" t="s">
        <v>205</v>
      </c>
      <c r="F159" s="2837" t="s">
        <v>205</v>
      </c>
      <c r="G159" s="2814" t="s">
        <v>205</v>
      </c>
      <c r="H159" s="2815" t="s">
        <v>1533</v>
      </c>
      <c r="I159" s="2783" t="s">
        <v>221</v>
      </c>
      <c r="J159" s="3665" t="s">
        <v>221</v>
      </c>
    </row>
    <row r="160" spans="2:10" ht="18" hidden="1" customHeight="1" outlineLevel="2" x14ac:dyDescent="0.2">
      <c r="B160" s="2842" t="s">
        <v>1519</v>
      </c>
      <c r="C160" s="2843"/>
      <c r="D160" s="2805" t="s">
        <v>199</v>
      </c>
      <c r="E160" s="2835" t="s">
        <v>205</v>
      </c>
      <c r="F160" s="2813" t="s">
        <v>205</v>
      </c>
      <c r="G160" s="2805" t="s">
        <v>205</v>
      </c>
      <c r="H160" s="2806" t="s">
        <v>199</v>
      </c>
      <c r="I160" s="2768" t="s">
        <v>199</v>
      </c>
      <c r="J160" s="3651" t="s">
        <v>199</v>
      </c>
    </row>
    <row r="161" spans="2:10" ht="18" hidden="1" customHeight="1" outlineLevel="2" x14ac:dyDescent="0.2">
      <c r="B161" s="2844" t="s">
        <v>271</v>
      </c>
      <c r="C161" s="2843"/>
      <c r="D161" s="2807"/>
      <c r="E161" s="2807"/>
      <c r="F161" s="2807"/>
      <c r="G161" s="2807"/>
      <c r="H161" s="2807"/>
      <c r="I161" s="2807"/>
      <c r="J161" s="3660"/>
    </row>
    <row r="162" spans="2:10" ht="18" hidden="1" customHeight="1" outlineLevel="2" x14ac:dyDescent="0.2">
      <c r="B162" s="2845" t="s">
        <v>1520</v>
      </c>
      <c r="C162" s="2846" t="s">
        <v>409</v>
      </c>
      <c r="D162" s="2808" t="s">
        <v>199</v>
      </c>
      <c r="E162" s="2770" t="s">
        <v>205</v>
      </c>
      <c r="F162" s="2813" t="s">
        <v>205</v>
      </c>
      <c r="G162" s="2805" t="s">
        <v>205</v>
      </c>
      <c r="H162" s="2809" t="s">
        <v>199</v>
      </c>
      <c r="I162" s="2810" t="s">
        <v>199</v>
      </c>
      <c r="J162" s="3661" t="s">
        <v>199</v>
      </c>
    </row>
    <row r="163" spans="2:10" ht="18" hidden="1" customHeight="1" outlineLevel="2" x14ac:dyDescent="0.2">
      <c r="B163" s="2845" t="s">
        <v>1521</v>
      </c>
      <c r="C163" s="2847" t="s">
        <v>409</v>
      </c>
      <c r="D163" s="2808" t="s">
        <v>199</v>
      </c>
      <c r="E163" s="2770" t="s">
        <v>205</v>
      </c>
      <c r="F163" s="2813" t="s">
        <v>205</v>
      </c>
      <c r="G163" s="2805" t="s">
        <v>205</v>
      </c>
      <c r="H163" s="2809" t="s">
        <v>199</v>
      </c>
      <c r="I163" s="2810" t="s">
        <v>199</v>
      </c>
      <c r="J163" s="3661" t="s">
        <v>199</v>
      </c>
    </row>
    <row r="164" spans="2:10" ht="18" hidden="1" customHeight="1" outlineLevel="2" x14ac:dyDescent="0.2">
      <c r="B164" s="2845" t="s">
        <v>1522</v>
      </c>
      <c r="C164" s="2848"/>
      <c r="D164" s="2769" t="s">
        <v>205</v>
      </c>
      <c r="E164" s="2770" t="s">
        <v>205</v>
      </c>
      <c r="F164" s="2768" t="s">
        <v>205</v>
      </c>
      <c r="G164" s="2769" t="s">
        <v>205</v>
      </c>
      <c r="H164" s="2771" t="s">
        <v>205</v>
      </c>
      <c r="I164" s="2768" t="s">
        <v>205</v>
      </c>
      <c r="J164" s="3651" t="s">
        <v>205</v>
      </c>
    </row>
    <row r="165" spans="2:10" ht="18" hidden="1" customHeight="1" outlineLevel="2" x14ac:dyDescent="0.2">
      <c r="B165" s="2849" t="s">
        <v>205</v>
      </c>
      <c r="C165" s="2850" t="s">
        <v>205</v>
      </c>
      <c r="D165" s="2772" t="s">
        <v>205</v>
      </c>
      <c r="E165" s="2770" t="s">
        <v>205</v>
      </c>
      <c r="F165" s="2768" t="s">
        <v>205</v>
      </c>
      <c r="G165" s="2769" t="s">
        <v>205</v>
      </c>
      <c r="H165" s="2809" t="s">
        <v>205</v>
      </c>
      <c r="I165" s="2773" t="s">
        <v>205</v>
      </c>
      <c r="J165" s="3662" t="s">
        <v>205</v>
      </c>
    </row>
    <row r="166" spans="2:10" ht="18" hidden="1" customHeight="1" outlineLevel="2" x14ac:dyDescent="0.2">
      <c r="B166" s="2842" t="s">
        <v>1523</v>
      </c>
      <c r="C166" s="2843"/>
      <c r="D166" s="2812" t="s">
        <v>199</v>
      </c>
      <c r="E166" s="2770" t="s">
        <v>205</v>
      </c>
      <c r="F166" s="2813" t="s">
        <v>205</v>
      </c>
      <c r="G166" s="2805" t="s">
        <v>205</v>
      </c>
      <c r="H166" s="2806" t="s">
        <v>199</v>
      </c>
      <c r="I166" s="2768" t="s">
        <v>199</v>
      </c>
      <c r="J166" s="3651" t="s">
        <v>199</v>
      </c>
    </row>
    <row r="167" spans="2:10" ht="18" hidden="1" customHeight="1" outlineLevel="2" x14ac:dyDescent="0.2">
      <c r="B167" s="2844" t="s">
        <v>271</v>
      </c>
      <c r="C167" s="2843"/>
      <c r="D167" s="2781"/>
      <c r="E167" s="2781"/>
      <c r="F167" s="2782"/>
      <c r="G167" s="2782"/>
      <c r="H167" s="2782"/>
      <c r="I167" s="2782"/>
      <c r="J167" s="3664"/>
    </row>
    <row r="168" spans="2:10" ht="18" hidden="1" customHeight="1" outlineLevel="2" x14ac:dyDescent="0.2">
      <c r="B168" s="2845" t="s">
        <v>1524</v>
      </c>
      <c r="C168" s="2850" t="s">
        <v>409</v>
      </c>
      <c r="D168" s="2772" t="s">
        <v>199</v>
      </c>
      <c r="E168" s="2770" t="s">
        <v>205</v>
      </c>
      <c r="F168" s="2768" t="s">
        <v>205</v>
      </c>
      <c r="G168" s="2769" t="s">
        <v>205</v>
      </c>
      <c r="H168" s="2780" t="s">
        <v>199</v>
      </c>
      <c r="I168" s="2773" t="s">
        <v>199</v>
      </c>
      <c r="J168" s="3662" t="s">
        <v>199</v>
      </c>
    </row>
    <row r="169" spans="2:10" ht="18" hidden="1" customHeight="1" outlineLevel="2" x14ac:dyDescent="0.2">
      <c r="B169" s="2845" t="s">
        <v>1525</v>
      </c>
      <c r="C169" s="2843"/>
      <c r="D169" s="2769" t="s">
        <v>205</v>
      </c>
      <c r="E169" s="2770" t="s">
        <v>205</v>
      </c>
      <c r="F169" s="2768" t="s">
        <v>205</v>
      </c>
      <c r="G169" s="2769" t="s">
        <v>205</v>
      </c>
      <c r="H169" s="2771" t="s">
        <v>205</v>
      </c>
      <c r="I169" s="2768" t="s">
        <v>205</v>
      </c>
      <c r="J169" s="3651" t="s">
        <v>205</v>
      </c>
    </row>
    <row r="170" spans="2:10" ht="18" hidden="1" customHeight="1" outlineLevel="2" x14ac:dyDescent="0.2">
      <c r="B170" s="2849" t="s">
        <v>205</v>
      </c>
      <c r="C170" s="2850" t="s">
        <v>205</v>
      </c>
      <c r="D170" s="2772" t="s">
        <v>205</v>
      </c>
      <c r="E170" s="2770" t="s">
        <v>205</v>
      </c>
      <c r="F170" s="2768" t="s">
        <v>205</v>
      </c>
      <c r="G170" s="2769" t="s">
        <v>205</v>
      </c>
      <c r="H170" s="2809" t="s">
        <v>205</v>
      </c>
      <c r="I170" s="2773" t="s">
        <v>205</v>
      </c>
      <c r="J170" s="3662" t="s">
        <v>205</v>
      </c>
    </row>
    <row r="171" spans="2:10" ht="18" hidden="1" customHeight="1" outlineLevel="1" collapsed="1" thickBot="1" x14ac:dyDescent="0.25">
      <c r="B171" s="2851" t="s">
        <v>1540</v>
      </c>
      <c r="C171" s="2852"/>
      <c r="D171" s="2814" t="s">
        <v>1533</v>
      </c>
      <c r="E171" s="2836" t="s">
        <v>205</v>
      </c>
      <c r="F171" s="2837" t="s">
        <v>205</v>
      </c>
      <c r="G171" s="2814" t="s">
        <v>205</v>
      </c>
      <c r="H171" s="2815" t="s">
        <v>1533</v>
      </c>
      <c r="I171" s="2783" t="s">
        <v>221</v>
      </c>
      <c r="J171" s="3665" t="s">
        <v>221</v>
      </c>
    </row>
    <row r="172" spans="2:10" ht="18" hidden="1" customHeight="1" outlineLevel="2" x14ac:dyDescent="0.2">
      <c r="B172" s="2842" t="s">
        <v>1519</v>
      </c>
      <c r="C172" s="2843"/>
      <c r="D172" s="2805" t="s">
        <v>199</v>
      </c>
      <c r="E172" s="2835" t="s">
        <v>205</v>
      </c>
      <c r="F172" s="2813" t="s">
        <v>205</v>
      </c>
      <c r="G172" s="2805" t="s">
        <v>205</v>
      </c>
      <c r="H172" s="2806" t="s">
        <v>199</v>
      </c>
      <c r="I172" s="2768" t="s">
        <v>199</v>
      </c>
      <c r="J172" s="3651" t="s">
        <v>199</v>
      </c>
    </row>
    <row r="173" spans="2:10" ht="18" hidden="1" customHeight="1" outlineLevel="2" x14ac:dyDescent="0.2">
      <c r="B173" s="2844" t="s">
        <v>271</v>
      </c>
      <c r="C173" s="2843"/>
      <c r="D173" s="2807"/>
      <c r="E173" s="2807"/>
      <c r="F173" s="2807"/>
      <c r="G173" s="2807"/>
      <c r="H173" s="2807"/>
      <c r="I173" s="2807"/>
      <c r="J173" s="3660"/>
    </row>
    <row r="174" spans="2:10" ht="18" hidden="1" customHeight="1" outlineLevel="2" x14ac:dyDescent="0.2">
      <c r="B174" s="2845" t="s">
        <v>1520</v>
      </c>
      <c r="C174" s="2846" t="s">
        <v>409</v>
      </c>
      <c r="D174" s="2808" t="s">
        <v>199</v>
      </c>
      <c r="E174" s="2770" t="s">
        <v>205</v>
      </c>
      <c r="F174" s="2813" t="s">
        <v>205</v>
      </c>
      <c r="G174" s="2805" t="s">
        <v>205</v>
      </c>
      <c r="H174" s="2809" t="s">
        <v>199</v>
      </c>
      <c r="I174" s="2810" t="s">
        <v>199</v>
      </c>
      <c r="J174" s="3661" t="s">
        <v>199</v>
      </c>
    </row>
    <row r="175" spans="2:10" ht="18" hidden="1" customHeight="1" outlineLevel="2" x14ac:dyDescent="0.2">
      <c r="B175" s="2845" t="s">
        <v>1521</v>
      </c>
      <c r="C175" s="2847" t="s">
        <v>409</v>
      </c>
      <c r="D175" s="2808" t="s">
        <v>199</v>
      </c>
      <c r="E175" s="2770" t="s">
        <v>205</v>
      </c>
      <c r="F175" s="2813" t="s">
        <v>205</v>
      </c>
      <c r="G175" s="2805" t="s">
        <v>205</v>
      </c>
      <c r="H175" s="2809" t="s">
        <v>199</v>
      </c>
      <c r="I175" s="2810" t="s">
        <v>199</v>
      </c>
      <c r="J175" s="3661" t="s">
        <v>199</v>
      </c>
    </row>
    <row r="176" spans="2:10" ht="18" hidden="1" customHeight="1" outlineLevel="2" x14ac:dyDescent="0.2">
      <c r="B176" s="2845" t="s">
        <v>1522</v>
      </c>
      <c r="C176" s="2848"/>
      <c r="D176" s="2769" t="s">
        <v>205</v>
      </c>
      <c r="E176" s="2770" t="s">
        <v>205</v>
      </c>
      <c r="F176" s="2768" t="s">
        <v>205</v>
      </c>
      <c r="G176" s="2769" t="s">
        <v>205</v>
      </c>
      <c r="H176" s="2771" t="s">
        <v>205</v>
      </c>
      <c r="I176" s="2768" t="s">
        <v>205</v>
      </c>
      <c r="J176" s="3651" t="s">
        <v>205</v>
      </c>
    </row>
    <row r="177" spans="2:10" ht="18" hidden="1" customHeight="1" outlineLevel="2" x14ac:dyDescent="0.2">
      <c r="B177" s="2849" t="s">
        <v>205</v>
      </c>
      <c r="C177" s="2850" t="s">
        <v>205</v>
      </c>
      <c r="D177" s="2772" t="s">
        <v>205</v>
      </c>
      <c r="E177" s="2770" t="s">
        <v>205</v>
      </c>
      <c r="F177" s="2768" t="s">
        <v>205</v>
      </c>
      <c r="G177" s="2769" t="s">
        <v>205</v>
      </c>
      <c r="H177" s="2809" t="s">
        <v>205</v>
      </c>
      <c r="I177" s="2773" t="s">
        <v>205</v>
      </c>
      <c r="J177" s="3662" t="s">
        <v>205</v>
      </c>
    </row>
    <row r="178" spans="2:10" ht="18" hidden="1" customHeight="1" outlineLevel="2" x14ac:dyDescent="0.2">
      <c r="B178" s="2842" t="s">
        <v>1523</v>
      </c>
      <c r="C178" s="2843"/>
      <c r="D178" s="2812" t="s">
        <v>199</v>
      </c>
      <c r="E178" s="2770" t="s">
        <v>205</v>
      </c>
      <c r="F178" s="2813" t="s">
        <v>205</v>
      </c>
      <c r="G178" s="2805" t="s">
        <v>205</v>
      </c>
      <c r="H178" s="2806" t="s">
        <v>199</v>
      </c>
      <c r="I178" s="2768" t="s">
        <v>199</v>
      </c>
      <c r="J178" s="3651" t="s">
        <v>199</v>
      </c>
    </row>
    <row r="179" spans="2:10" ht="18" hidden="1" customHeight="1" outlineLevel="2" x14ac:dyDescent="0.2">
      <c r="B179" s="2844" t="s">
        <v>271</v>
      </c>
      <c r="C179" s="2843"/>
      <c r="D179" s="2781"/>
      <c r="E179" s="2781"/>
      <c r="F179" s="2782"/>
      <c r="G179" s="2782"/>
      <c r="H179" s="2782"/>
      <c r="I179" s="2782"/>
      <c r="J179" s="3664"/>
    </row>
    <row r="180" spans="2:10" ht="18" hidden="1" customHeight="1" outlineLevel="2" x14ac:dyDescent="0.2">
      <c r="B180" s="2845" t="s">
        <v>1524</v>
      </c>
      <c r="C180" s="2850" t="s">
        <v>409</v>
      </c>
      <c r="D180" s="2772" t="s">
        <v>199</v>
      </c>
      <c r="E180" s="2770" t="s">
        <v>205</v>
      </c>
      <c r="F180" s="2768" t="s">
        <v>205</v>
      </c>
      <c r="G180" s="2769" t="s">
        <v>205</v>
      </c>
      <c r="H180" s="2780" t="s">
        <v>199</v>
      </c>
      <c r="I180" s="2773" t="s">
        <v>199</v>
      </c>
      <c r="J180" s="3662" t="s">
        <v>199</v>
      </c>
    </row>
    <row r="181" spans="2:10" ht="18" hidden="1" customHeight="1" outlineLevel="2" x14ac:dyDescent="0.2">
      <c r="B181" s="2845" t="s">
        <v>1525</v>
      </c>
      <c r="C181" s="2843"/>
      <c r="D181" s="2769" t="s">
        <v>205</v>
      </c>
      <c r="E181" s="2770" t="s">
        <v>205</v>
      </c>
      <c r="F181" s="2768" t="s">
        <v>205</v>
      </c>
      <c r="G181" s="2769" t="s">
        <v>205</v>
      </c>
      <c r="H181" s="2771" t="s">
        <v>205</v>
      </c>
      <c r="I181" s="2768" t="s">
        <v>205</v>
      </c>
      <c r="J181" s="3651" t="s">
        <v>205</v>
      </c>
    </row>
    <row r="182" spans="2:10" ht="18" hidden="1" customHeight="1" outlineLevel="2" thickBot="1" x14ac:dyDescent="0.25">
      <c r="B182" s="2849" t="s">
        <v>205</v>
      </c>
      <c r="C182" s="2850" t="s">
        <v>205</v>
      </c>
      <c r="D182" s="2772" t="s">
        <v>205</v>
      </c>
      <c r="E182" s="2770" t="s">
        <v>205</v>
      </c>
      <c r="F182" s="2768" t="s">
        <v>205</v>
      </c>
      <c r="G182" s="2769" t="s">
        <v>205</v>
      </c>
      <c r="H182" s="2809" t="s">
        <v>205</v>
      </c>
      <c r="I182" s="2773" t="s">
        <v>205</v>
      </c>
      <c r="J182" s="3662" t="s">
        <v>205</v>
      </c>
    </row>
    <row r="183" spans="2:10" ht="18" customHeight="1" x14ac:dyDescent="0.2">
      <c r="B183" s="1439" t="s">
        <v>1541</v>
      </c>
      <c r="C183" s="2854"/>
      <c r="D183" s="2817"/>
      <c r="E183" s="2818"/>
      <c r="F183" s="2788"/>
      <c r="G183" s="2784"/>
      <c r="H183" s="2833" t="s">
        <v>1533</v>
      </c>
      <c r="I183" s="2828" t="s">
        <v>221</v>
      </c>
      <c r="J183" s="3666" t="s">
        <v>221</v>
      </c>
    </row>
    <row r="184" spans="2:10" ht="18" customHeight="1" collapsed="1" x14ac:dyDescent="0.2">
      <c r="B184" s="912" t="s">
        <v>1542</v>
      </c>
      <c r="C184" s="2841"/>
      <c r="D184" s="2802"/>
      <c r="E184" s="2803"/>
      <c r="F184" s="2804"/>
      <c r="G184" s="2802"/>
      <c r="H184" s="2834" t="s">
        <v>1533</v>
      </c>
      <c r="I184" s="2816"/>
      <c r="J184" s="3659" t="s">
        <v>221</v>
      </c>
    </row>
    <row r="185" spans="2:10" ht="18" hidden="1" customHeight="1" outlineLevel="1" x14ac:dyDescent="0.2">
      <c r="B185" s="2842" t="s">
        <v>1519</v>
      </c>
      <c r="C185" s="2843"/>
      <c r="D185" s="2805" t="s">
        <v>1533</v>
      </c>
      <c r="E185" s="2835" t="s">
        <v>205</v>
      </c>
      <c r="F185" s="2813" t="s">
        <v>205</v>
      </c>
      <c r="G185" s="2805" t="s">
        <v>205</v>
      </c>
      <c r="H185" s="2806" t="s">
        <v>1533</v>
      </c>
      <c r="I185" s="2816"/>
      <c r="J185" s="3651" t="s">
        <v>221</v>
      </c>
    </row>
    <row r="186" spans="2:10" ht="18" hidden="1" customHeight="1" outlineLevel="1" x14ac:dyDescent="0.2">
      <c r="B186" s="2844" t="s">
        <v>271</v>
      </c>
      <c r="C186" s="2843"/>
      <c r="D186" s="2807"/>
      <c r="E186" s="2807"/>
      <c r="F186" s="2807"/>
      <c r="G186" s="2807"/>
      <c r="H186" s="2807"/>
      <c r="I186" s="2807"/>
      <c r="J186" s="3660"/>
    </row>
    <row r="187" spans="2:10" ht="18" hidden="1" customHeight="1" outlineLevel="1" x14ac:dyDescent="0.2">
      <c r="B187" s="2845" t="s">
        <v>1520</v>
      </c>
      <c r="C187" s="2846" t="s">
        <v>409</v>
      </c>
      <c r="D187" s="2808" t="s">
        <v>274</v>
      </c>
      <c r="E187" s="2770" t="s">
        <v>205</v>
      </c>
      <c r="F187" s="2813" t="s">
        <v>205</v>
      </c>
      <c r="G187" s="2805" t="s">
        <v>205</v>
      </c>
      <c r="H187" s="2809" t="s">
        <v>274</v>
      </c>
      <c r="I187" s="2816"/>
      <c r="J187" s="3661" t="s">
        <v>221</v>
      </c>
    </row>
    <row r="188" spans="2:10" ht="18" hidden="1" customHeight="1" outlineLevel="1" x14ac:dyDescent="0.2">
      <c r="B188" s="2845" t="s">
        <v>1521</v>
      </c>
      <c r="C188" s="2847" t="s">
        <v>409</v>
      </c>
      <c r="D188" s="2808" t="s">
        <v>221</v>
      </c>
      <c r="E188" s="2770" t="s">
        <v>205</v>
      </c>
      <c r="F188" s="2813" t="s">
        <v>205</v>
      </c>
      <c r="G188" s="2805" t="s">
        <v>205</v>
      </c>
      <c r="H188" s="2809" t="s">
        <v>221</v>
      </c>
      <c r="I188" s="2816"/>
      <c r="J188" s="3661" t="s">
        <v>221</v>
      </c>
    </row>
    <row r="189" spans="2:10" ht="18" hidden="1" customHeight="1" outlineLevel="1" x14ac:dyDescent="0.2">
      <c r="B189" s="2845" t="s">
        <v>1522</v>
      </c>
      <c r="C189" s="2848"/>
      <c r="D189" s="2769" t="s">
        <v>205</v>
      </c>
      <c r="E189" s="2770" t="s">
        <v>205</v>
      </c>
      <c r="F189" s="2768" t="s">
        <v>205</v>
      </c>
      <c r="G189" s="2769" t="s">
        <v>205</v>
      </c>
      <c r="H189" s="2771" t="s">
        <v>205</v>
      </c>
      <c r="I189" s="2816"/>
      <c r="J189" s="3651" t="s">
        <v>205</v>
      </c>
    </row>
    <row r="190" spans="2:10" ht="18" hidden="1" customHeight="1" outlineLevel="1" x14ac:dyDescent="0.2">
      <c r="B190" s="2849" t="s">
        <v>205</v>
      </c>
      <c r="C190" s="2850" t="s">
        <v>205</v>
      </c>
      <c r="D190" s="2772" t="s">
        <v>205</v>
      </c>
      <c r="E190" s="2770" t="s">
        <v>205</v>
      </c>
      <c r="F190" s="2768" t="s">
        <v>205</v>
      </c>
      <c r="G190" s="2769" t="s">
        <v>205</v>
      </c>
      <c r="H190" s="2809" t="s">
        <v>205</v>
      </c>
      <c r="I190" s="2816"/>
      <c r="J190" s="3662" t="s">
        <v>205</v>
      </c>
    </row>
    <row r="191" spans="2:10" ht="18" hidden="1" customHeight="1" outlineLevel="1" x14ac:dyDescent="0.2">
      <c r="B191" s="2842" t="s">
        <v>1523</v>
      </c>
      <c r="C191" s="2843"/>
      <c r="D191" s="2812" t="s">
        <v>221</v>
      </c>
      <c r="E191" s="2770" t="s">
        <v>205</v>
      </c>
      <c r="F191" s="2813" t="s">
        <v>205</v>
      </c>
      <c r="G191" s="2805" t="s">
        <v>205</v>
      </c>
      <c r="H191" s="2806" t="s">
        <v>221</v>
      </c>
      <c r="I191" s="2816"/>
      <c r="J191" s="3651" t="s">
        <v>221</v>
      </c>
    </row>
    <row r="192" spans="2:10" ht="18" hidden="1" customHeight="1" outlineLevel="1" x14ac:dyDescent="0.2">
      <c r="B192" s="2844" t="s">
        <v>271</v>
      </c>
      <c r="C192" s="2843"/>
      <c r="D192" s="2781"/>
      <c r="E192" s="2781"/>
      <c r="F192" s="2782"/>
      <c r="G192" s="2782"/>
      <c r="H192" s="2782"/>
      <c r="I192" s="2807"/>
      <c r="J192" s="3664"/>
    </row>
    <row r="193" spans="2:10" ht="18" hidden="1" customHeight="1" outlineLevel="1" x14ac:dyDescent="0.2">
      <c r="B193" s="2845" t="s">
        <v>1524</v>
      </c>
      <c r="C193" s="2850" t="s">
        <v>409</v>
      </c>
      <c r="D193" s="2772" t="s">
        <v>221</v>
      </c>
      <c r="E193" s="2770" t="s">
        <v>205</v>
      </c>
      <c r="F193" s="2768" t="s">
        <v>205</v>
      </c>
      <c r="G193" s="2769" t="s">
        <v>205</v>
      </c>
      <c r="H193" s="2780" t="s">
        <v>221</v>
      </c>
      <c r="I193" s="2816"/>
      <c r="J193" s="3662" t="s">
        <v>221</v>
      </c>
    </row>
    <row r="194" spans="2:10" ht="18" hidden="1" customHeight="1" outlineLevel="1" x14ac:dyDescent="0.2">
      <c r="B194" s="2845" t="s">
        <v>1525</v>
      </c>
      <c r="C194" s="2843"/>
      <c r="D194" s="2769" t="s">
        <v>205</v>
      </c>
      <c r="E194" s="2770" t="s">
        <v>205</v>
      </c>
      <c r="F194" s="2768" t="s">
        <v>205</v>
      </c>
      <c r="G194" s="2769" t="s">
        <v>205</v>
      </c>
      <c r="H194" s="2771" t="s">
        <v>205</v>
      </c>
      <c r="I194" s="2816"/>
      <c r="J194" s="3651" t="s">
        <v>205</v>
      </c>
    </row>
    <row r="195" spans="2:10" ht="18" hidden="1" customHeight="1" outlineLevel="1" x14ac:dyDescent="0.2">
      <c r="B195" s="2849" t="s">
        <v>205</v>
      </c>
      <c r="C195" s="2850" t="s">
        <v>205</v>
      </c>
      <c r="D195" s="2772" t="s">
        <v>205</v>
      </c>
      <c r="E195" s="2770" t="s">
        <v>205</v>
      </c>
      <c r="F195" s="2768" t="s">
        <v>205</v>
      </c>
      <c r="G195" s="2769" t="s">
        <v>205</v>
      </c>
      <c r="H195" s="2780" t="s">
        <v>205</v>
      </c>
      <c r="I195" s="2816"/>
      <c r="J195" s="3662" t="s">
        <v>205</v>
      </c>
    </row>
    <row r="196" spans="2:10" ht="18" customHeight="1" collapsed="1" thickBot="1" x14ac:dyDescent="0.25">
      <c r="B196" s="912" t="s">
        <v>1543</v>
      </c>
      <c r="C196" s="2841"/>
      <c r="D196" s="2802"/>
      <c r="E196" s="2803"/>
      <c r="F196" s="2804"/>
      <c r="G196" s="2802"/>
      <c r="H196" s="2834" t="s">
        <v>1533</v>
      </c>
      <c r="I196" s="2830" t="s">
        <v>221</v>
      </c>
      <c r="J196" s="3659" t="s">
        <v>221</v>
      </c>
    </row>
    <row r="197" spans="2:10" ht="18" hidden="1" customHeight="1" outlineLevel="1" x14ac:dyDescent="0.2">
      <c r="B197" s="2842" t="s">
        <v>1519</v>
      </c>
      <c r="C197" s="2843"/>
      <c r="D197" s="2805" t="s">
        <v>1533</v>
      </c>
      <c r="E197" s="2835" t="s">
        <v>205</v>
      </c>
      <c r="F197" s="2813" t="s">
        <v>205</v>
      </c>
      <c r="G197" s="2805" t="s">
        <v>205</v>
      </c>
      <c r="H197" s="2806" t="s">
        <v>1533</v>
      </c>
      <c r="I197" s="2768" t="s">
        <v>221</v>
      </c>
      <c r="J197" s="3651" t="s">
        <v>221</v>
      </c>
    </row>
    <row r="198" spans="2:10" ht="18" hidden="1" customHeight="1" outlineLevel="1" x14ac:dyDescent="0.2">
      <c r="B198" s="2844" t="s">
        <v>271</v>
      </c>
      <c r="C198" s="2843"/>
      <c r="D198" s="2807"/>
      <c r="E198" s="2807"/>
      <c r="F198" s="2807"/>
      <c r="G198" s="2807"/>
      <c r="H198" s="2807"/>
      <c r="I198" s="2807"/>
      <c r="J198" s="3660"/>
    </row>
    <row r="199" spans="2:10" ht="18" hidden="1" customHeight="1" outlineLevel="1" x14ac:dyDescent="0.2">
      <c r="B199" s="2845" t="s">
        <v>1520</v>
      </c>
      <c r="C199" s="2846" t="s">
        <v>409</v>
      </c>
      <c r="D199" s="2808" t="s">
        <v>274</v>
      </c>
      <c r="E199" s="2770" t="s">
        <v>205</v>
      </c>
      <c r="F199" s="2813" t="s">
        <v>205</v>
      </c>
      <c r="G199" s="2805" t="s">
        <v>205</v>
      </c>
      <c r="H199" s="2809" t="s">
        <v>274</v>
      </c>
      <c r="I199" s="2810" t="s">
        <v>221</v>
      </c>
      <c r="J199" s="3661" t="s">
        <v>221</v>
      </c>
    </row>
    <row r="200" spans="2:10" ht="18" hidden="1" customHeight="1" outlineLevel="1" x14ac:dyDescent="0.2">
      <c r="B200" s="2845" t="s">
        <v>1521</v>
      </c>
      <c r="C200" s="2847" t="s">
        <v>409</v>
      </c>
      <c r="D200" s="2808" t="s">
        <v>221</v>
      </c>
      <c r="E200" s="2770" t="s">
        <v>205</v>
      </c>
      <c r="F200" s="2813" t="s">
        <v>205</v>
      </c>
      <c r="G200" s="2805" t="s">
        <v>205</v>
      </c>
      <c r="H200" s="2809" t="s">
        <v>221</v>
      </c>
      <c r="I200" s="2810" t="s">
        <v>221</v>
      </c>
      <c r="J200" s="3661" t="s">
        <v>221</v>
      </c>
    </row>
    <row r="201" spans="2:10" ht="18" hidden="1" customHeight="1" outlineLevel="1" x14ac:dyDescent="0.2">
      <c r="B201" s="2845" t="s">
        <v>1522</v>
      </c>
      <c r="C201" s="2848"/>
      <c r="D201" s="2769" t="s">
        <v>205</v>
      </c>
      <c r="E201" s="2770" t="s">
        <v>205</v>
      </c>
      <c r="F201" s="2768" t="s">
        <v>205</v>
      </c>
      <c r="G201" s="2769" t="s">
        <v>205</v>
      </c>
      <c r="H201" s="2771" t="s">
        <v>205</v>
      </c>
      <c r="I201" s="2768" t="s">
        <v>205</v>
      </c>
      <c r="J201" s="3651" t="s">
        <v>205</v>
      </c>
    </row>
    <row r="202" spans="2:10" ht="18" hidden="1" customHeight="1" outlineLevel="1" x14ac:dyDescent="0.2">
      <c r="B202" s="2849" t="s">
        <v>205</v>
      </c>
      <c r="C202" s="2850" t="s">
        <v>205</v>
      </c>
      <c r="D202" s="2772" t="s">
        <v>205</v>
      </c>
      <c r="E202" s="2770" t="s">
        <v>205</v>
      </c>
      <c r="F202" s="2768" t="s">
        <v>205</v>
      </c>
      <c r="G202" s="2769" t="s">
        <v>205</v>
      </c>
      <c r="H202" s="2809" t="s">
        <v>205</v>
      </c>
      <c r="I202" s="2773" t="s">
        <v>205</v>
      </c>
      <c r="J202" s="3662" t="s">
        <v>205</v>
      </c>
    </row>
    <row r="203" spans="2:10" ht="18" hidden="1" customHeight="1" outlineLevel="1" x14ac:dyDescent="0.2">
      <c r="B203" s="2842" t="s">
        <v>1523</v>
      </c>
      <c r="C203" s="2843"/>
      <c r="D203" s="2812" t="s">
        <v>221</v>
      </c>
      <c r="E203" s="2770" t="s">
        <v>205</v>
      </c>
      <c r="F203" s="2813" t="s">
        <v>205</v>
      </c>
      <c r="G203" s="2805" t="s">
        <v>205</v>
      </c>
      <c r="H203" s="2806" t="s">
        <v>221</v>
      </c>
      <c r="I203" s="2768" t="s">
        <v>221</v>
      </c>
      <c r="J203" s="3651" t="s">
        <v>221</v>
      </c>
    </row>
    <row r="204" spans="2:10" ht="18" hidden="1" customHeight="1" outlineLevel="1" x14ac:dyDescent="0.2">
      <c r="B204" s="2844" t="s">
        <v>271</v>
      </c>
      <c r="C204" s="2843"/>
      <c r="D204" s="2781"/>
      <c r="E204" s="2781"/>
      <c r="F204" s="2782"/>
      <c r="G204" s="2782"/>
      <c r="H204" s="2782"/>
      <c r="I204" s="2782"/>
      <c r="J204" s="3664"/>
    </row>
    <row r="205" spans="2:10" ht="18" hidden="1" customHeight="1" outlineLevel="1" x14ac:dyDescent="0.2">
      <c r="B205" s="2845" t="s">
        <v>1524</v>
      </c>
      <c r="C205" s="2850" t="s">
        <v>409</v>
      </c>
      <c r="D205" s="2772" t="s">
        <v>221</v>
      </c>
      <c r="E205" s="2770" t="s">
        <v>205</v>
      </c>
      <c r="F205" s="2768" t="s">
        <v>205</v>
      </c>
      <c r="G205" s="2769" t="s">
        <v>205</v>
      </c>
      <c r="H205" s="2780" t="s">
        <v>221</v>
      </c>
      <c r="I205" s="2773" t="s">
        <v>221</v>
      </c>
      <c r="J205" s="3662" t="s">
        <v>221</v>
      </c>
    </row>
    <row r="206" spans="2:10" ht="18" hidden="1" customHeight="1" outlineLevel="1" x14ac:dyDescent="0.2">
      <c r="B206" s="2845" t="s">
        <v>1525</v>
      </c>
      <c r="C206" s="2843"/>
      <c r="D206" s="2769" t="s">
        <v>205</v>
      </c>
      <c r="E206" s="2770" t="s">
        <v>205</v>
      </c>
      <c r="F206" s="2768" t="s">
        <v>205</v>
      </c>
      <c r="G206" s="2769" t="s">
        <v>205</v>
      </c>
      <c r="H206" s="2771" t="s">
        <v>205</v>
      </c>
      <c r="I206" s="2768" t="s">
        <v>205</v>
      </c>
      <c r="J206" s="3651" t="s">
        <v>205</v>
      </c>
    </row>
    <row r="207" spans="2:10" ht="18" hidden="1" customHeight="1" outlineLevel="1" x14ac:dyDescent="0.2">
      <c r="B207" s="2849" t="s">
        <v>205</v>
      </c>
      <c r="C207" s="2850" t="s">
        <v>205</v>
      </c>
      <c r="D207" s="2772" t="s">
        <v>205</v>
      </c>
      <c r="E207" s="2770" t="s">
        <v>205</v>
      </c>
      <c r="F207" s="2768" t="s">
        <v>205</v>
      </c>
      <c r="G207" s="2769" t="s">
        <v>205</v>
      </c>
      <c r="H207" s="2809" t="s">
        <v>205</v>
      </c>
      <c r="I207" s="2773" t="s">
        <v>205</v>
      </c>
      <c r="J207" s="3662" t="s">
        <v>205</v>
      </c>
    </row>
    <row r="208" spans="2:10" ht="18" hidden="1" customHeight="1" outlineLevel="1" x14ac:dyDescent="0.2">
      <c r="B208" s="2844" t="s">
        <v>271</v>
      </c>
      <c r="C208" s="2843"/>
      <c r="D208" s="2781"/>
      <c r="E208" s="2781"/>
      <c r="F208" s="2782"/>
      <c r="G208" s="2782"/>
      <c r="H208" s="2782"/>
      <c r="I208" s="2782"/>
      <c r="J208" s="3664"/>
    </row>
    <row r="209" spans="2:10" ht="18" hidden="1" customHeight="1" outlineLevel="1" collapsed="1" x14ac:dyDescent="0.2">
      <c r="B209" s="2842" t="s">
        <v>1544</v>
      </c>
      <c r="C209" s="2843"/>
      <c r="D209" s="2805" t="s">
        <v>1533</v>
      </c>
      <c r="E209" s="2835" t="s">
        <v>205</v>
      </c>
      <c r="F209" s="2813" t="s">
        <v>205</v>
      </c>
      <c r="G209" s="2805" t="s">
        <v>205</v>
      </c>
      <c r="H209" s="2806" t="s">
        <v>1533</v>
      </c>
      <c r="I209" s="2768" t="s">
        <v>221</v>
      </c>
      <c r="J209" s="3651" t="s">
        <v>221</v>
      </c>
    </row>
    <row r="210" spans="2:10" ht="18" hidden="1" customHeight="1" outlineLevel="2" x14ac:dyDescent="0.2">
      <c r="B210" s="2842" t="s">
        <v>1519</v>
      </c>
      <c r="C210" s="2843"/>
      <c r="D210" s="2805" t="s">
        <v>1533</v>
      </c>
      <c r="E210" s="2835" t="s">
        <v>205</v>
      </c>
      <c r="F210" s="2813" t="s">
        <v>205</v>
      </c>
      <c r="G210" s="2805" t="s">
        <v>205</v>
      </c>
      <c r="H210" s="2806" t="s">
        <v>1533</v>
      </c>
      <c r="I210" s="2768" t="s">
        <v>221</v>
      </c>
      <c r="J210" s="3651" t="s">
        <v>221</v>
      </c>
    </row>
    <row r="211" spans="2:10" ht="18" hidden="1" customHeight="1" outlineLevel="2" x14ac:dyDescent="0.2">
      <c r="B211" s="2844" t="s">
        <v>271</v>
      </c>
      <c r="C211" s="2843"/>
      <c r="D211" s="2807"/>
      <c r="E211" s="2807"/>
      <c r="F211" s="2807"/>
      <c r="G211" s="2807"/>
      <c r="H211" s="2807"/>
      <c r="I211" s="2807"/>
      <c r="J211" s="3660"/>
    </row>
    <row r="212" spans="2:10" ht="18" hidden="1" customHeight="1" outlineLevel="2" x14ac:dyDescent="0.2">
      <c r="B212" s="2845" t="s">
        <v>1520</v>
      </c>
      <c r="C212" s="2846" t="s">
        <v>409</v>
      </c>
      <c r="D212" s="2808" t="s">
        <v>274</v>
      </c>
      <c r="E212" s="2770" t="s">
        <v>205</v>
      </c>
      <c r="F212" s="2813" t="s">
        <v>205</v>
      </c>
      <c r="G212" s="2805" t="s">
        <v>205</v>
      </c>
      <c r="H212" s="2809" t="s">
        <v>274</v>
      </c>
      <c r="I212" s="2810" t="s">
        <v>221</v>
      </c>
      <c r="J212" s="3661" t="s">
        <v>221</v>
      </c>
    </row>
    <row r="213" spans="2:10" ht="18" hidden="1" customHeight="1" outlineLevel="2" x14ac:dyDescent="0.2">
      <c r="B213" s="2845" t="s">
        <v>1521</v>
      </c>
      <c r="C213" s="2847" t="s">
        <v>409</v>
      </c>
      <c r="D213" s="2808" t="s">
        <v>221</v>
      </c>
      <c r="E213" s="2770" t="s">
        <v>205</v>
      </c>
      <c r="F213" s="2813" t="s">
        <v>205</v>
      </c>
      <c r="G213" s="2805" t="s">
        <v>205</v>
      </c>
      <c r="H213" s="2809" t="s">
        <v>221</v>
      </c>
      <c r="I213" s="2810" t="s">
        <v>221</v>
      </c>
      <c r="J213" s="3661" t="s">
        <v>221</v>
      </c>
    </row>
    <row r="214" spans="2:10" ht="18" hidden="1" customHeight="1" outlineLevel="2" x14ac:dyDescent="0.2">
      <c r="B214" s="2845" t="s">
        <v>1522</v>
      </c>
      <c r="C214" s="2848"/>
      <c r="D214" s="2769" t="s">
        <v>205</v>
      </c>
      <c r="E214" s="2770" t="s">
        <v>205</v>
      </c>
      <c r="F214" s="2768" t="s">
        <v>205</v>
      </c>
      <c r="G214" s="2769" t="s">
        <v>205</v>
      </c>
      <c r="H214" s="2771" t="s">
        <v>205</v>
      </c>
      <c r="I214" s="2768" t="s">
        <v>205</v>
      </c>
      <c r="J214" s="3651" t="s">
        <v>205</v>
      </c>
    </row>
    <row r="215" spans="2:10" ht="18" hidden="1" customHeight="1" outlineLevel="2" x14ac:dyDescent="0.2">
      <c r="B215" s="2849" t="s">
        <v>205</v>
      </c>
      <c r="C215" s="2850" t="s">
        <v>205</v>
      </c>
      <c r="D215" s="2772" t="s">
        <v>205</v>
      </c>
      <c r="E215" s="2770" t="s">
        <v>205</v>
      </c>
      <c r="F215" s="2768" t="s">
        <v>205</v>
      </c>
      <c r="G215" s="2769" t="s">
        <v>205</v>
      </c>
      <c r="H215" s="2809" t="s">
        <v>205</v>
      </c>
      <c r="I215" s="2773" t="s">
        <v>205</v>
      </c>
      <c r="J215" s="3662" t="s">
        <v>205</v>
      </c>
    </row>
    <row r="216" spans="2:10" ht="18" hidden="1" customHeight="1" outlineLevel="2" x14ac:dyDescent="0.2">
      <c r="B216" s="2842" t="s">
        <v>1523</v>
      </c>
      <c r="C216" s="2843"/>
      <c r="D216" s="2812" t="s">
        <v>221</v>
      </c>
      <c r="E216" s="2770" t="s">
        <v>205</v>
      </c>
      <c r="F216" s="2813" t="s">
        <v>205</v>
      </c>
      <c r="G216" s="2805" t="s">
        <v>205</v>
      </c>
      <c r="H216" s="2806" t="s">
        <v>221</v>
      </c>
      <c r="I216" s="2768" t="s">
        <v>221</v>
      </c>
      <c r="J216" s="3651" t="s">
        <v>221</v>
      </c>
    </row>
    <row r="217" spans="2:10" ht="18" hidden="1" customHeight="1" outlineLevel="2" x14ac:dyDescent="0.2">
      <c r="B217" s="2844" t="s">
        <v>271</v>
      </c>
      <c r="C217" s="2843"/>
      <c r="D217" s="2781"/>
      <c r="E217" s="2781"/>
      <c r="F217" s="2782"/>
      <c r="G217" s="2782"/>
      <c r="H217" s="2782"/>
      <c r="I217" s="2782"/>
      <c r="J217" s="3664"/>
    </row>
    <row r="218" spans="2:10" ht="18" hidden="1" customHeight="1" outlineLevel="2" x14ac:dyDescent="0.2">
      <c r="B218" s="2845" t="s">
        <v>1524</v>
      </c>
      <c r="C218" s="2850" t="s">
        <v>409</v>
      </c>
      <c r="D218" s="2772" t="s">
        <v>221</v>
      </c>
      <c r="E218" s="2770" t="s">
        <v>205</v>
      </c>
      <c r="F218" s="2768" t="s">
        <v>205</v>
      </c>
      <c r="G218" s="2769" t="s">
        <v>205</v>
      </c>
      <c r="H218" s="2780" t="s">
        <v>221</v>
      </c>
      <c r="I218" s="2773" t="s">
        <v>221</v>
      </c>
      <c r="J218" s="3662" t="s">
        <v>221</v>
      </c>
    </row>
    <row r="219" spans="2:10" ht="18" hidden="1" customHeight="1" outlineLevel="2" x14ac:dyDescent="0.2">
      <c r="B219" s="2845" t="s">
        <v>1525</v>
      </c>
      <c r="C219" s="2843"/>
      <c r="D219" s="2769" t="s">
        <v>205</v>
      </c>
      <c r="E219" s="2770" t="s">
        <v>205</v>
      </c>
      <c r="F219" s="2768" t="s">
        <v>205</v>
      </c>
      <c r="G219" s="2769" t="s">
        <v>205</v>
      </c>
      <c r="H219" s="2771" t="s">
        <v>205</v>
      </c>
      <c r="I219" s="2768" t="s">
        <v>205</v>
      </c>
      <c r="J219" s="3651" t="s">
        <v>205</v>
      </c>
    </row>
    <row r="220" spans="2:10" ht="18" hidden="1" customHeight="1" outlineLevel="2" x14ac:dyDescent="0.2">
      <c r="B220" s="2849" t="s">
        <v>205</v>
      </c>
      <c r="C220" s="2850" t="s">
        <v>205</v>
      </c>
      <c r="D220" s="2772" t="s">
        <v>205</v>
      </c>
      <c r="E220" s="2770" t="s">
        <v>205</v>
      </c>
      <c r="F220" s="2768" t="s">
        <v>205</v>
      </c>
      <c r="G220" s="2769" t="s">
        <v>205</v>
      </c>
      <c r="H220" s="2809" t="s">
        <v>205</v>
      </c>
      <c r="I220" s="2773" t="s">
        <v>205</v>
      </c>
      <c r="J220" s="3662" t="s">
        <v>205</v>
      </c>
    </row>
    <row r="221" spans="2:10" ht="18" hidden="1" customHeight="1" outlineLevel="1" collapsed="1" x14ac:dyDescent="0.2">
      <c r="B221" s="2851" t="s">
        <v>1545</v>
      </c>
      <c r="C221" s="2852"/>
      <c r="D221" s="2814" t="s">
        <v>1533</v>
      </c>
      <c r="E221" s="2836" t="s">
        <v>205</v>
      </c>
      <c r="F221" s="2837" t="s">
        <v>205</v>
      </c>
      <c r="G221" s="2814" t="s">
        <v>205</v>
      </c>
      <c r="H221" s="2815" t="s">
        <v>1533</v>
      </c>
      <c r="I221" s="2783" t="s">
        <v>221</v>
      </c>
      <c r="J221" s="3665" t="s">
        <v>221</v>
      </c>
    </row>
    <row r="222" spans="2:10" ht="18" hidden="1" customHeight="1" outlineLevel="2" x14ac:dyDescent="0.2">
      <c r="B222" s="2842" t="s">
        <v>1519</v>
      </c>
      <c r="C222" s="2843"/>
      <c r="D222" s="2805" t="s">
        <v>1533</v>
      </c>
      <c r="E222" s="2835" t="s">
        <v>205</v>
      </c>
      <c r="F222" s="2813" t="s">
        <v>205</v>
      </c>
      <c r="G222" s="2805" t="s">
        <v>205</v>
      </c>
      <c r="H222" s="2806" t="s">
        <v>1533</v>
      </c>
      <c r="I222" s="2768" t="s">
        <v>221</v>
      </c>
      <c r="J222" s="3651" t="s">
        <v>221</v>
      </c>
    </row>
    <row r="223" spans="2:10" ht="18" hidden="1" customHeight="1" outlineLevel="2" x14ac:dyDescent="0.2">
      <c r="B223" s="2844" t="s">
        <v>271</v>
      </c>
      <c r="C223" s="2843"/>
      <c r="D223" s="2807"/>
      <c r="E223" s="2807"/>
      <c r="F223" s="2807"/>
      <c r="G223" s="2807"/>
      <c r="H223" s="2807"/>
      <c r="I223" s="2807"/>
      <c r="J223" s="3660"/>
    </row>
    <row r="224" spans="2:10" ht="18" hidden="1" customHeight="1" outlineLevel="2" x14ac:dyDescent="0.2">
      <c r="B224" s="2845" t="s">
        <v>1520</v>
      </c>
      <c r="C224" s="2846" t="s">
        <v>409</v>
      </c>
      <c r="D224" s="2808" t="s">
        <v>274</v>
      </c>
      <c r="E224" s="2770" t="s">
        <v>205</v>
      </c>
      <c r="F224" s="2813" t="s">
        <v>205</v>
      </c>
      <c r="G224" s="2805" t="s">
        <v>205</v>
      </c>
      <c r="H224" s="2809" t="s">
        <v>274</v>
      </c>
      <c r="I224" s="2810" t="s">
        <v>221</v>
      </c>
      <c r="J224" s="3661" t="s">
        <v>221</v>
      </c>
    </row>
    <row r="225" spans="2:10" ht="18" hidden="1" customHeight="1" outlineLevel="2" x14ac:dyDescent="0.2">
      <c r="B225" s="2845" t="s">
        <v>1521</v>
      </c>
      <c r="C225" s="2847" t="s">
        <v>409</v>
      </c>
      <c r="D225" s="2808" t="s">
        <v>221</v>
      </c>
      <c r="E225" s="2770" t="s">
        <v>205</v>
      </c>
      <c r="F225" s="2813" t="s">
        <v>205</v>
      </c>
      <c r="G225" s="2805" t="s">
        <v>205</v>
      </c>
      <c r="H225" s="2809" t="s">
        <v>221</v>
      </c>
      <c r="I225" s="2810" t="s">
        <v>221</v>
      </c>
      <c r="J225" s="3661" t="s">
        <v>221</v>
      </c>
    </row>
    <row r="226" spans="2:10" ht="18" hidden="1" customHeight="1" outlineLevel="2" x14ac:dyDescent="0.2">
      <c r="B226" s="2845" t="s">
        <v>1522</v>
      </c>
      <c r="C226" s="2848"/>
      <c r="D226" s="2769" t="s">
        <v>205</v>
      </c>
      <c r="E226" s="2770" t="s">
        <v>205</v>
      </c>
      <c r="F226" s="2768" t="s">
        <v>205</v>
      </c>
      <c r="G226" s="2769" t="s">
        <v>205</v>
      </c>
      <c r="H226" s="2771" t="s">
        <v>205</v>
      </c>
      <c r="I226" s="2768" t="s">
        <v>205</v>
      </c>
      <c r="J226" s="3651" t="s">
        <v>205</v>
      </c>
    </row>
    <row r="227" spans="2:10" ht="18" hidden="1" customHeight="1" outlineLevel="2" x14ac:dyDescent="0.2">
      <c r="B227" s="2849" t="s">
        <v>205</v>
      </c>
      <c r="C227" s="2850" t="s">
        <v>205</v>
      </c>
      <c r="D227" s="2772" t="s">
        <v>205</v>
      </c>
      <c r="E227" s="2770" t="s">
        <v>205</v>
      </c>
      <c r="F227" s="2768" t="s">
        <v>205</v>
      </c>
      <c r="G227" s="2769" t="s">
        <v>205</v>
      </c>
      <c r="H227" s="2809" t="s">
        <v>205</v>
      </c>
      <c r="I227" s="2773" t="s">
        <v>205</v>
      </c>
      <c r="J227" s="3662" t="s">
        <v>205</v>
      </c>
    </row>
    <row r="228" spans="2:10" ht="18" hidden="1" customHeight="1" outlineLevel="2" x14ac:dyDescent="0.2">
      <c r="B228" s="2842" t="s">
        <v>1523</v>
      </c>
      <c r="C228" s="2843"/>
      <c r="D228" s="2812" t="s">
        <v>221</v>
      </c>
      <c r="E228" s="2770" t="s">
        <v>205</v>
      </c>
      <c r="F228" s="2813" t="s">
        <v>205</v>
      </c>
      <c r="G228" s="2805" t="s">
        <v>205</v>
      </c>
      <c r="H228" s="2806" t="s">
        <v>221</v>
      </c>
      <c r="I228" s="2768" t="s">
        <v>221</v>
      </c>
      <c r="J228" s="3651" t="s">
        <v>221</v>
      </c>
    </row>
    <row r="229" spans="2:10" ht="18" hidden="1" customHeight="1" outlineLevel="2" x14ac:dyDescent="0.2">
      <c r="B229" s="2844" t="s">
        <v>271</v>
      </c>
      <c r="C229" s="2843"/>
      <c r="D229" s="2781"/>
      <c r="E229" s="2781"/>
      <c r="F229" s="2782"/>
      <c r="G229" s="2782"/>
      <c r="H229" s="2782"/>
      <c r="I229" s="2782"/>
      <c r="J229" s="3664"/>
    </row>
    <row r="230" spans="2:10" ht="18" hidden="1" customHeight="1" outlineLevel="2" x14ac:dyDescent="0.2">
      <c r="B230" s="2845" t="s">
        <v>1524</v>
      </c>
      <c r="C230" s="2850" t="s">
        <v>409</v>
      </c>
      <c r="D230" s="2772" t="s">
        <v>221</v>
      </c>
      <c r="E230" s="2770" t="s">
        <v>205</v>
      </c>
      <c r="F230" s="2768" t="s">
        <v>205</v>
      </c>
      <c r="G230" s="2769" t="s">
        <v>205</v>
      </c>
      <c r="H230" s="2780" t="s">
        <v>221</v>
      </c>
      <c r="I230" s="2773" t="s">
        <v>221</v>
      </c>
      <c r="J230" s="3662" t="s">
        <v>221</v>
      </c>
    </row>
    <row r="231" spans="2:10" ht="18" hidden="1" customHeight="1" outlineLevel="2" x14ac:dyDescent="0.2">
      <c r="B231" s="2845" t="s">
        <v>1525</v>
      </c>
      <c r="C231" s="2843"/>
      <c r="D231" s="2769" t="s">
        <v>205</v>
      </c>
      <c r="E231" s="2770" t="s">
        <v>205</v>
      </c>
      <c r="F231" s="2768" t="s">
        <v>205</v>
      </c>
      <c r="G231" s="2769" t="s">
        <v>205</v>
      </c>
      <c r="H231" s="2771" t="s">
        <v>205</v>
      </c>
      <c r="I231" s="2768" t="s">
        <v>205</v>
      </c>
      <c r="J231" s="3651" t="s">
        <v>205</v>
      </c>
    </row>
    <row r="232" spans="2:10" ht="18" hidden="1" customHeight="1" outlineLevel="2" x14ac:dyDescent="0.2">
      <c r="B232" s="2849" t="s">
        <v>205</v>
      </c>
      <c r="C232" s="2850" t="s">
        <v>205</v>
      </c>
      <c r="D232" s="2772" t="s">
        <v>205</v>
      </c>
      <c r="E232" s="2770" t="s">
        <v>205</v>
      </c>
      <c r="F232" s="2768" t="s">
        <v>205</v>
      </c>
      <c r="G232" s="2769" t="s">
        <v>205</v>
      </c>
      <c r="H232" s="2809" t="s">
        <v>205</v>
      </c>
      <c r="I232" s="2773" t="s">
        <v>205</v>
      </c>
      <c r="J232" s="3662" t="s">
        <v>205</v>
      </c>
    </row>
    <row r="233" spans="2:10" ht="18" hidden="1" customHeight="1" outlineLevel="1" collapsed="1" x14ac:dyDescent="0.2">
      <c r="B233" s="2851" t="s">
        <v>1546</v>
      </c>
      <c r="C233" s="2852"/>
      <c r="D233" s="2814" t="s">
        <v>1533</v>
      </c>
      <c r="E233" s="2836" t="s">
        <v>205</v>
      </c>
      <c r="F233" s="2837" t="s">
        <v>205</v>
      </c>
      <c r="G233" s="2814" t="s">
        <v>205</v>
      </c>
      <c r="H233" s="2815" t="s">
        <v>1533</v>
      </c>
      <c r="I233" s="2783" t="s">
        <v>221</v>
      </c>
      <c r="J233" s="3665" t="s">
        <v>221</v>
      </c>
    </row>
    <row r="234" spans="2:10" ht="18" hidden="1" customHeight="1" outlineLevel="2" x14ac:dyDescent="0.2">
      <c r="B234" s="2842" t="s">
        <v>1519</v>
      </c>
      <c r="C234" s="2843"/>
      <c r="D234" s="2805" t="s">
        <v>1533</v>
      </c>
      <c r="E234" s="2835" t="s">
        <v>205</v>
      </c>
      <c r="F234" s="2813" t="s">
        <v>205</v>
      </c>
      <c r="G234" s="2805" t="s">
        <v>205</v>
      </c>
      <c r="H234" s="2806" t="s">
        <v>1533</v>
      </c>
      <c r="I234" s="2768" t="s">
        <v>221</v>
      </c>
      <c r="J234" s="3651" t="s">
        <v>221</v>
      </c>
    </row>
    <row r="235" spans="2:10" ht="18" hidden="1" customHeight="1" outlineLevel="2" x14ac:dyDescent="0.2">
      <c r="B235" s="2844" t="s">
        <v>271</v>
      </c>
      <c r="C235" s="2843"/>
      <c r="D235" s="2807"/>
      <c r="E235" s="2807"/>
      <c r="F235" s="2807"/>
      <c r="G235" s="2807"/>
      <c r="H235" s="2807"/>
      <c r="I235" s="2807"/>
      <c r="J235" s="3660"/>
    </row>
    <row r="236" spans="2:10" ht="18" hidden="1" customHeight="1" outlineLevel="2" x14ac:dyDescent="0.2">
      <c r="B236" s="2845" t="s">
        <v>1520</v>
      </c>
      <c r="C236" s="2846" t="s">
        <v>409</v>
      </c>
      <c r="D236" s="2808" t="s">
        <v>274</v>
      </c>
      <c r="E236" s="2770" t="s">
        <v>205</v>
      </c>
      <c r="F236" s="2813" t="s">
        <v>205</v>
      </c>
      <c r="G236" s="2805" t="s">
        <v>205</v>
      </c>
      <c r="H236" s="2809" t="s">
        <v>274</v>
      </c>
      <c r="I236" s="2810" t="s">
        <v>221</v>
      </c>
      <c r="J236" s="3661" t="s">
        <v>221</v>
      </c>
    </row>
    <row r="237" spans="2:10" ht="18" hidden="1" customHeight="1" outlineLevel="2" x14ac:dyDescent="0.2">
      <c r="B237" s="2845" t="s">
        <v>1521</v>
      </c>
      <c r="C237" s="2847" t="s">
        <v>409</v>
      </c>
      <c r="D237" s="2808" t="s">
        <v>221</v>
      </c>
      <c r="E237" s="2770" t="s">
        <v>205</v>
      </c>
      <c r="F237" s="2813" t="s">
        <v>205</v>
      </c>
      <c r="G237" s="2805" t="s">
        <v>205</v>
      </c>
      <c r="H237" s="2809" t="s">
        <v>221</v>
      </c>
      <c r="I237" s="2810" t="s">
        <v>221</v>
      </c>
      <c r="J237" s="3661" t="s">
        <v>221</v>
      </c>
    </row>
    <row r="238" spans="2:10" ht="18" hidden="1" customHeight="1" outlineLevel="2" x14ac:dyDescent="0.2">
      <c r="B238" s="2845" t="s">
        <v>1522</v>
      </c>
      <c r="C238" s="2848"/>
      <c r="D238" s="2769" t="s">
        <v>205</v>
      </c>
      <c r="E238" s="2770" t="s">
        <v>205</v>
      </c>
      <c r="F238" s="2768" t="s">
        <v>205</v>
      </c>
      <c r="G238" s="2769" t="s">
        <v>205</v>
      </c>
      <c r="H238" s="2771" t="s">
        <v>205</v>
      </c>
      <c r="I238" s="2768" t="s">
        <v>205</v>
      </c>
      <c r="J238" s="3651" t="s">
        <v>205</v>
      </c>
    </row>
    <row r="239" spans="2:10" ht="18" hidden="1" customHeight="1" outlineLevel="2" x14ac:dyDescent="0.2">
      <c r="B239" s="2849" t="s">
        <v>205</v>
      </c>
      <c r="C239" s="2850" t="s">
        <v>205</v>
      </c>
      <c r="D239" s="2772" t="s">
        <v>205</v>
      </c>
      <c r="E239" s="2770" t="s">
        <v>205</v>
      </c>
      <c r="F239" s="2768" t="s">
        <v>205</v>
      </c>
      <c r="G239" s="2769" t="s">
        <v>205</v>
      </c>
      <c r="H239" s="2809" t="s">
        <v>205</v>
      </c>
      <c r="I239" s="2773" t="s">
        <v>205</v>
      </c>
      <c r="J239" s="3662" t="s">
        <v>205</v>
      </c>
    </row>
    <row r="240" spans="2:10" ht="18" hidden="1" customHeight="1" outlineLevel="2" x14ac:dyDescent="0.2">
      <c r="B240" s="2842" t="s">
        <v>1523</v>
      </c>
      <c r="C240" s="2843"/>
      <c r="D240" s="2812" t="s">
        <v>221</v>
      </c>
      <c r="E240" s="2770" t="s">
        <v>205</v>
      </c>
      <c r="F240" s="2813" t="s">
        <v>205</v>
      </c>
      <c r="G240" s="2805" t="s">
        <v>205</v>
      </c>
      <c r="H240" s="2806" t="s">
        <v>221</v>
      </c>
      <c r="I240" s="2768" t="s">
        <v>221</v>
      </c>
      <c r="J240" s="3651" t="s">
        <v>221</v>
      </c>
    </row>
    <row r="241" spans="2:10" ht="18" hidden="1" customHeight="1" outlineLevel="2" x14ac:dyDescent="0.2">
      <c r="B241" s="2844" t="s">
        <v>271</v>
      </c>
      <c r="C241" s="2843"/>
      <c r="D241" s="2781"/>
      <c r="E241" s="2781"/>
      <c r="F241" s="2782"/>
      <c r="G241" s="2782"/>
      <c r="H241" s="2782"/>
      <c r="I241" s="2782"/>
      <c r="J241" s="3664"/>
    </row>
    <row r="242" spans="2:10" ht="18" hidden="1" customHeight="1" outlineLevel="2" x14ac:dyDescent="0.2">
      <c r="B242" s="2845" t="s">
        <v>1524</v>
      </c>
      <c r="C242" s="2850" t="s">
        <v>409</v>
      </c>
      <c r="D242" s="2772" t="s">
        <v>221</v>
      </c>
      <c r="E242" s="2770" t="s">
        <v>205</v>
      </c>
      <c r="F242" s="2768" t="s">
        <v>205</v>
      </c>
      <c r="G242" s="2769" t="s">
        <v>205</v>
      </c>
      <c r="H242" s="2780" t="s">
        <v>221</v>
      </c>
      <c r="I242" s="2773" t="s">
        <v>221</v>
      </c>
      <c r="J242" s="3662" t="s">
        <v>221</v>
      </c>
    </row>
    <row r="243" spans="2:10" ht="18" hidden="1" customHeight="1" outlineLevel="2" x14ac:dyDescent="0.2">
      <c r="B243" s="2845" t="s">
        <v>1525</v>
      </c>
      <c r="C243" s="2843"/>
      <c r="D243" s="2769" t="s">
        <v>205</v>
      </c>
      <c r="E243" s="2770" t="s">
        <v>205</v>
      </c>
      <c r="F243" s="2768" t="s">
        <v>205</v>
      </c>
      <c r="G243" s="2769" t="s">
        <v>205</v>
      </c>
      <c r="H243" s="2771" t="s">
        <v>205</v>
      </c>
      <c r="I243" s="2768" t="s">
        <v>205</v>
      </c>
      <c r="J243" s="3651" t="s">
        <v>205</v>
      </c>
    </row>
    <row r="244" spans="2:10" ht="18" hidden="1" customHeight="1" outlineLevel="2" x14ac:dyDescent="0.2">
      <c r="B244" s="2849" t="s">
        <v>205</v>
      </c>
      <c r="C244" s="2850" t="s">
        <v>205</v>
      </c>
      <c r="D244" s="2772" t="s">
        <v>205</v>
      </c>
      <c r="E244" s="2770" t="s">
        <v>205</v>
      </c>
      <c r="F244" s="2768" t="s">
        <v>205</v>
      </c>
      <c r="G244" s="2769" t="s">
        <v>205</v>
      </c>
      <c r="H244" s="2809" t="s">
        <v>205</v>
      </c>
      <c r="I244" s="2773" t="s">
        <v>205</v>
      </c>
      <c r="J244" s="3662" t="s">
        <v>205</v>
      </c>
    </row>
    <row r="245" spans="2:10" ht="18" hidden="1" customHeight="1" outlineLevel="1" collapsed="1" x14ac:dyDescent="0.2">
      <c r="B245" s="2851" t="s">
        <v>1547</v>
      </c>
      <c r="C245" s="2852"/>
      <c r="D245" s="2814" t="s">
        <v>1533</v>
      </c>
      <c r="E245" s="2836" t="s">
        <v>205</v>
      </c>
      <c r="F245" s="2837" t="s">
        <v>205</v>
      </c>
      <c r="G245" s="2814" t="s">
        <v>205</v>
      </c>
      <c r="H245" s="2815" t="s">
        <v>1533</v>
      </c>
      <c r="I245" s="2783" t="s">
        <v>221</v>
      </c>
      <c r="J245" s="3665" t="s">
        <v>221</v>
      </c>
    </row>
    <row r="246" spans="2:10" ht="18" hidden="1" customHeight="1" outlineLevel="2" x14ac:dyDescent="0.2">
      <c r="B246" s="2842" t="s">
        <v>1519</v>
      </c>
      <c r="C246" s="2843"/>
      <c r="D246" s="2805" t="s">
        <v>199</v>
      </c>
      <c r="E246" s="2835" t="s">
        <v>205</v>
      </c>
      <c r="F246" s="2813" t="s">
        <v>205</v>
      </c>
      <c r="G246" s="2805" t="s">
        <v>205</v>
      </c>
      <c r="H246" s="2806" t="s">
        <v>199</v>
      </c>
      <c r="I246" s="2768" t="s">
        <v>199</v>
      </c>
      <c r="J246" s="3651" t="s">
        <v>199</v>
      </c>
    </row>
    <row r="247" spans="2:10" ht="18" hidden="1" customHeight="1" outlineLevel="2" x14ac:dyDescent="0.2">
      <c r="B247" s="2844" t="s">
        <v>271</v>
      </c>
      <c r="C247" s="2843"/>
      <c r="D247" s="2807"/>
      <c r="E247" s="2807"/>
      <c r="F247" s="2807"/>
      <c r="G247" s="2807"/>
      <c r="H247" s="2807"/>
      <c r="I247" s="2807"/>
      <c r="J247" s="3660"/>
    </row>
    <row r="248" spans="2:10" ht="18" hidden="1" customHeight="1" outlineLevel="2" x14ac:dyDescent="0.2">
      <c r="B248" s="2845" t="s">
        <v>1520</v>
      </c>
      <c r="C248" s="2846" t="s">
        <v>409</v>
      </c>
      <c r="D248" s="2808" t="s">
        <v>199</v>
      </c>
      <c r="E248" s="2770" t="s">
        <v>205</v>
      </c>
      <c r="F248" s="2813" t="s">
        <v>205</v>
      </c>
      <c r="G248" s="2805" t="s">
        <v>205</v>
      </c>
      <c r="H248" s="2809" t="s">
        <v>199</v>
      </c>
      <c r="I248" s="2810" t="s">
        <v>199</v>
      </c>
      <c r="J248" s="3661" t="s">
        <v>199</v>
      </c>
    </row>
    <row r="249" spans="2:10" ht="18" hidden="1" customHeight="1" outlineLevel="2" x14ac:dyDescent="0.2">
      <c r="B249" s="2845" t="s">
        <v>1521</v>
      </c>
      <c r="C249" s="2847" t="s">
        <v>409</v>
      </c>
      <c r="D249" s="2808" t="s">
        <v>199</v>
      </c>
      <c r="E249" s="2770" t="s">
        <v>205</v>
      </c>
      <c r="F249" s="2813" t="s">
        <v>205</v>
      </c>
      <c r="G249" s="2805" t="s">
        <v>205</v>
      </c>
      <c r="H249" s="2809" t="s">
        <v>199</v>
      </c>
      <c r="I249" s="2810" t="s">
        <v>199</v>
      </c>
      <c r="J249" s="3661" t="s">
        <v>199</v>
      </c>
    </row>
    <row r="250" spans="2:10" ht="18" hidden="1" customHeight="1" outlineLevel="2" x14ac:dyDescent="0.2">
      <c r="B250" s="2845" t="s">
        <v>1522</v>
      </c>
      <c r="C250" s="2848"/>
      <c r="D250" s="2769" t="s">
        <v>205</v>
      </c>
      <c r="E250" s="2770" t="s">
        <v>205</v>
      </c>
      <c r="F250" s="2768" t="s">
        <v>205</v>
      </c>
      <c r="G250" s="2769" t="s">
        <v>205</v>
      </c>
      <c r="H250" s="2771" t="s">
        <v>205</v>
      </c>
      <c r="I250" s="2768" t="s">
        <v>205</v>
      </c>
      <c r="J250" s="3651" t="s">
        <v>205</v>
      </c>
    </row>
    <row r="251" spans="2:10" ht="18" hidden="1" customHeight="1" outlineLevel="2" x14ac:dyDescent="0.2">
      <c r="B251" s="2849" t="s">
        <v>205</v>
      </c>
      <c r="C251" s="2850" t="s">
        <v>205</v>
      </c>
      <c r="D251" s="2772" t="s">
        <v>205</v>
      </c>
      <c r="E251" s="2770" t="s">
        <v>205</v>
      </c>
      <c r="F251" s="2768" t="s">
        <v>205</v>
      </c>
      <c r="G251" s="2769" t="s">
        <v>205</v>
      </c>
      <c r="H251" s="2809" t="s">
        <v>205</v>
      </c>
      <c r="I251" s="2773" t="s">
        <v>205</v>
      </c>
      <c r="J251" s="3662" t="s">
        <v>205</v>
      </c>
    </row>
    <row r="252" spans="2:10" ht="18" hidden="1" customHeight="1" outlineLevel="2" x14ac:dyDescent="0.2">
      <c r="B252" s="2842" t="s">
        <v>1523</v>
      </c>
      <c r="C252" s="2843"/>
      <c r="D252" s="2812" t="s">
        <v>199</v>
      </c>
      <c r="E252" s="2770" t="s">
        <v>205</v>
      </c>
      <c r="F252" s="2813" t="s">
        <v>205</v>
      </c>
      <c r="G252" s="2805" t="s">
        <v>205</v>
      </c>
      <c r="H252" s="2806" t="s">
        <v>199</v>
      </c>
      <c r="I252" s="2768" t="s">
        <v>199</v>
      </c>
      <c r="J252" s="3651" t="s">
        <v>199</v>
      </c>
    </row>
    <row r="253" spans="2:10" ht="18" hidden="1" customHeight="1" outlineLevel="2" x14ac:dyDescent="0.2">
      <c r="B253" s="2844" t="s">
        <v>271</v>
      </c>
      <c r="C253" s="2843"/>
      <c r="D253" s="2781"/>
      <c r="E253" s="2781"/>
      <c r="F253" s="2782"/>
      <c r="G253" s="2782"/>
      <c r="H253" s="2782"/>
      <c r="I253" s="2782"/>
      <c r="J253" s="3664"/>
    </row>
    <row r="254" spans="2:10" ht="18" hidden="1" customHeight="1" outlineLevel="2" x14ac:dyDescent="0.2">
      <c r="B254" s="2845" t="s">
        <v>1524</v>
      </c>
      <c r="C254" s="2850" t="s">
        <v>409</v>
      </c>
      <c r="D254" s="2772" t="s">
        <v>199</v>
      </c>
      <c r="E254" s="2770" t="s">
        <v>205</v>
      </c>
      <c r="F254" s="2768" t="s">
        <v>205</v>
      </c>
      <c r="G254" s="2769" t="s">
        <v>205</v>
      </c>
      <c r="H254" s="2780" t="s">
        <v>199</v>
      </c>
      <c r="I254" s="2773" t="s">
        <v>199</v>
      </c>
      <c r="J254" s="3662" t="s">
        <v>199</v>
      </c>
    </row>
    <row r="255" spans="2:10" ht="18" hidden="1" customHeight="1" outlineLevel="2" x14ac:dyDescent="0.2">
      <c r="B255" s="2845" t="s">
        <v>1525</v>
      </c>
      <c r="C255" s="2843"/>
      <c r="D255" s="2769" t="s">
        <v>205</v>
      </c>
      <c r="E255" s="2770" t="s">
        <v>205</v>
      </c>
      <c r="F255" s="2768" t="s">
        <v>205</v>
      </c>
      <c r="G255" s="2769" t="s">
        <v>205</v>
      </c>
      <c r="H255" s="2771" t="s">
        <v>205</v>
      </c>
      <c r="I255" s="2768" t="s">
        <v>205</v>
      </c>
      <c r="J255" s="3651" t="s">
        <v>205</v>
      </c>
    </row>
    <row r="256" spans="2:10" ht="18" hidden="1" customHeight="1" outlineLevel="2" x14ac:dyDescent="0.2">
      <c r="B256" s="2849" t="s">
        <v>205</v>
      </c>
      <c r="C256" s="2850" t="s">
        <v>205</v>
      </c>
      <c r="D256" s="2772" t="s">
        <v>205</v>
      </c>
      <c r="E256" s="2770" t="s">
        <v>205</v>
      </c>
      <c r="F256" s="2768" t="s">
        <v>205</v>
      </c>
      <c r="G256" s="2769" t="s">
        <v>205</v>
      </c>
      <c r="H256" s="2809" t="s">
        <v>205</v>
      </c>
      <c r="I256" s="2773" t="s">
        <v>205</v>
      </c>
      <c r="J256" s="3662" t="s">
        <v>205</v>
      </c>
    </row>
    <row r="257" spans="2:10" ht="18" hidden="1" customHeight="1" outlineLevel="1" collapsed="1" thickBot="1" x14ac:dyDescent="0.25">
      <c r="B257" s="2851" t="s">
        <v>1548</v>
      </c>
      <c r="C257" s="2852"/>
      <c r="D257" s="2814" t="s">
        <v>1533</v>
      </c>
      <c r="E257" s="2836" t="s">
        <v>205</v>
      </c>
      <c r="F257" s="2837" t="s">
        <v>205</v>
      </c>
      <c r="G257" s="2814" t="s">
        <v>205</v>
      </c>
      <c r="H257" s="2815" t="s">
        <v>1533</v>
      </c>
      <c r="I257" s="2783" t="s">
        <v>221</v>
      </c>
      <c r="J257" s="3665" t="s">
        <v>221</v>
      </c>
    </row>
    <row r="258" spans="2:10" ht="18" hidden="1" customHeight="1" outlineLevel="2" x14ac:dyDescent="0.2">
      <c r="B258" s="2842" t="s">
        <v>1519</v>
      </c>
      <c r="C258" s="2843"/>
      <c r="D258" s="2805" t="s">
        <v>199</v>
      </c>
      <c r="E258" s="2835" t="s">
        <v>205</v>
      </c>
      <c r="F258" s="2813" t="s">
        <v>205</v>
      </c>
      <c r="G258" s="2805" t="s">
        <v>205</v>
      </c>
      <c r="H258" s="2806" t="s">
        <v>199</v>
      </c>
      <c r="I258" s="2768" t="s">
        <v>199</v>
      </c>
      <c r="J258" s="3651" t="s">
        <v>199</v>
      </c>
    </row>
    <row r="259" spans="2:10" ht="18" hidden="1" customHeight="1" outlineLevel="2" x14ac:dyDescent="0.2">
      <c r="B259" s="2844" t="s">
        <v>271</v>
      </c>
      <c r="C259" s="2843"/>
      <c r="D259" s="2807"/>
      <c r="E259" s="2807"/>
      <c r="F259" s="2807"/>
      <c r="G259" s="2807"/>
      <c r="H259" s="2807"/>
      <c r="I259" s="2807"/>
      <c r="J259" s="3660"/>
    </row>
    <row r="260" spans="2:10" ht="18" hidden="1" customHeight="1" outlineLevel="2" x14ac:dyDescent="0.2">
      <c r="B260" s="2845" t="s">
        <v>1520</v>
      </c>
      <c r="C260" s="2846" t="s">
        <v>409</v>
      </c>
      <c r="D260" s="2808" t="s">
        <v>199</v>
      </c>
      <c r="E260" s="2770" t="s">
        <v>205</v>
      </c>
      <c r="F260" s="2813" t="s">
        <v>205</v>
      </c>
      <c r="G260" s="2805" t="s">
        <v>205</v>
      </c>
      <c r="H260" s="2809" t="s">
        <v>199</v>
      </c>
      <c r="I260" s="2810" t="s">
        <v>199</v>
      </c>
      <c r="J260" s="3661" t="s">
        <v>199</v>
      </c>
    </row>
    <row r="261" spans="2:10" ht="18" hidden="1" customHeight="1" outlineLevel="2" x14ac:dyDescent="0.2">
      <c r="B261" s="2845" t="s">
        <v>1521</v>
      </c>
      <c r="C261" s="2847" t="s">
        <v>409</v>
      </c>
      <c r="D261" s="2808" t="s">
        <v>199</v>
      </c>
      <c r="E261" s="2770" t="s">
        <v>205</v>
      </c>
      <c r="F261" s="2813" t="s">
        <v>205</v>
      </c>
      <c r="G261" s="2805" t="s">
        <v>205</v>
      </c>
      <c r="H261" s="2809" t="s">
        <v>199</v>
      </c>
      <c r="I261" s="2810" t="s">
        <v>199</v>
      </c>
      <c r="J261" s="3661" t="s">
        <v>199</v>
      </c>
    </row>
    <row r="262" spans="2:10" ht="18" hidden="1" customHeight="1" outlineLevel="2" x14ac:dyDescent="0.2">
      <c r="B262" s="2845" t="s">
        <v>1522</v>
      </c>
      <c r="C262" s="2848"/>
      <c r="D262" s="2769" t="s">
        <v>205</v>
      </c>
      <c r="E262" s="2770" t="s">
        <v>205</v>
      </c>
      <c r="F262" s="2768" t="s">
        <v>205</v>
      </c>
      <c r="G262" s="2769" t="s">
        <v>205</v>
      </c>
      <c r="H262" s="2771" t="s">
        <v>205</v>
      </c>
      <c r="I262" s="2768" t="s">
        <v>205</v>
      </c>
      <c r="J262" s="3651" t="s">
        <v>205</v>
      </c>
    </row>
    <row r="263" spans="2:10" ht="18" hidden="1" customHeight="1" outlineLevel="2" x14ac:dyDescent="0.2">
      <c r="B263" s="2849" t="s">
        <v>205</v>
      </c>
      <c r="C263" s="2850" t="s">
        <v>205</v>
      </c>
      <c r="D263" s="2772" t="s">
        <v>205</v>
      </c>
      <c r="E263" s="2770" t="s">
        <v>205</v>
      </c>
      <c r="F263" s="2768" t="s">
        <v>205</v>
      </c>
      <c r="G263" s="2769" t="s">
        <v>205</v>
      </c>
      <c r="H263" s="2809" t="s">
        <v>205</v>
      </c>
      <c r="I263" s="2773" t="s">
        <v>205</v>
      </c>
      <c r="J263" s="3662" t="s">
        <v>205</v>
      </c>
    </row>
    <row r="264" spans="2:10" ht="18" hidden="1" customHeight="1" outlineLevel="2" x14ac:dyDescent="0.2">
      <c r="B264" s="2842" t="s">
        <v>1523</v>
      </c>
      <c r="C264" s="2843"/>
      <c r="D264" s="2812" t="s">
        <v>199</v>
      </c>
      <c r="E264" s="2770" t="s">
        <v>205</v>
      </c>
      <c r="F264" s="2813" t="s">
        <v>205</v>
      </c>
      <c r="G264" s="2805" t="s">
        <v>205</v>
      </c>
      <c r="H264" s="2806" t="s">
        <v>199</v>
      </c>
      <c r="I264" s="2768" t="s">
        <v>199</v>
      </c>
      <c r="J264" s="3651" t="s">
        <v>199</v>
      </c>
    </row>
    <row r="265" spans="2:10" ht="18" hidden="1" customHeight="1" outlineLevel="2" x14ac:dyDescent="0.2">
      <c r="B265" s="2844" t="s">
        <v>271</v>
      </c>
      <c r="C265" s="2843"/>
      <c r="D265" s="2781"/>
      <c r="E265" s="2781"/>
      <c r="F265" s="2782"/>
      <c r="G265" s="2782"/>
      <c r="H265" s="2782"/>
      <c r="I265" s="2782"/>
      <c r="J265" s="3664"/>
    </row>
    <row r="266" spans="2:10" ht="18" hidden="1" customHeight="1" outlineLevel="2" x14ac:dyDescent="0.2">
      <c r="B266" s="2845" t="s">
        <v>1524</v>
      </c>
      <c r="C266" s="2850" t="s">
        <v>409</v>
      </c>
      <c r="D266" s="2772" t="s">
        <v>199</v>
      </c>
      <c r="E266" s="2770" t="s">
        <v>205</v>
      </c>
      <c r="F266" s="2768" t="s">
        <v>205</v>
      </c>
      <c r="G266" s="2769" t="s">
        <v>205</v>
      </c>
      <c r="H266" s="2780" t="s">
        <v>199</v>
      </c>
      <c r="I266" s="2773" t="s">
        <v>199</v>
      </c>
      <c r="J266" s="3662" t="s">
        <v>199</v>
      </c>
    </row>
    <row r="267" spans="2:10" ht="18" hidden="1" customHeight="1" outlineLevel="2" x14ac:dyDescent="0.2">
      <c r="B267" s="2845" t="s">
        <v>1525</v>
      </c>
      <c r="C267" s="2843"/>
      <c r="D267" s="2769" t="s">
        <v>205</v>
      </c>
      <c r="E267" s="2770" t="s">
        <v>205</v>
      </c>
      <c r="F267" s="2768" t="s">
        <v>205</v>
      </c>
      <c r="G267" s="2769" t="s">
        <v>205</v>
      </c>
      <c r="H267" s="2771" t="s">
        <v>205</v>
      </c>
      <c r="I267" s="2768" t="s">
        <v>205</v>
      </c>
      <c r="J267" s="3651" t="s">
        <v>205</v>
      </c>
    </row>
    <row r="268" spans="2:10" ht="18" hidden="1" customHeight="1" outlineLevel="2" thickBot="1" x14ac:dyDescent="0.25">
      <c r="B268" s="2849" t="s">
        <v>205</v>
      </c>
      <c r="C268" s="2850" t="s">
        <v>205</v>
      </c>
      <c r="D268" s="2772" t="s">
        <v>205</v>
      </c>
      <c r="E268" s="2770" t="s">
        <v>205</v>
      </c>
      <c r="F268" s="2768" t="s">
        <v>205</v>
      </c>
      <c r="G268" s="2769" t="s">
        <v>205</v>
      </c>
      <c r="H268" s="2809" t="s">
        <v>205</v>
      </c>
      <c r="I268" s="2773" t="s">
        <v>205</v>
      </c>
      <c r="J268" s="3662" t="s">
        <v>205</v>
      </c>
    </row>
    <row r="269" spans="2:10" ht="18" customHeight="1" x14ac:dyDescent="0.2">
      <c r="B269" s="1439" t="s">
        <v>1549</v>
      </c>
      <c r="C269" s="2855"/>
      <c r="D269" s="2819"/>
      <c r="E269" s="2820"/>
      <c r="F269" s="2821"/>
      <c r="G269" s="2822"/>
      <c r="H269" s="2833" t="s">
        <v>1533</v>
      </c>
      <c r="I269" s="2828" t="s">
        <v>221</v>
      </c>
      <c r="J269" s="3666">
        <f>SUM(J270,J320)</f>
        <v>55.006675600249558</v>
      </c>
    </row>
    <row r="270" spans="2:10" ht="18" customHeight="1" x14ac:dyDescent="0.2">
      <c r="B270" s="2842" t="s">
        <v>1550</v>
      </c>
      <c r="C270" s="2843"/>
      <c r="D270" s="2823"/>
      <c r="E270" s="2824"/>
      <c r="F270" s="2825"/>
      <c r="G270" s="2826"/>
      <c r="H270" s="2834" t="s">
        <v>221</v>
      </c>
      <c r="I270" s="2830" t="s">
        <v>221</v>
      </c>
      <c r="J270" s="3659">
        <f>J277</f>
        <v>46.852960951291223</v>
      </c>
    </row>
    <row r="271" spans="2:10" ht="18" customHeight="1" outlineLevel="1" x14ac:dyDescent="0.2">
      <c r="B271" s="2842" t="s">
        <v>1519</v>
      </c>
      <c r="C271" s="2856"/>
      <c r="D271" s="3645" t="s">
        <v>199</v>
      </c>
      <c r="E271" s="2791" t="s">
        <v>205</v>
      </c>
      <c r="F271" s="2792" t="s">
        <v>205</v>
      </c>
      <c r="G271" s="2790" t="s">
        <v>205</v>
      </c>
      <c r="H271" s="2793" t="s">
        <v>199</v>
      </c>
      <c r="I271" s="2792" t="s">
        <v>199</v>
      </c>
      <c r="J271" s="3652" t="s">
        <v>199</v>
      </c>
    </row>
    <row r="272" spans="2:10" ht="18" customHeight="1" outlineLevel="1" x14ac:dyDescent="0.2">
      <c r="B272" s="2844" t="s">
        <v>271</v>
      </c>
      <c r="C272" s="2848"/>
      <c r="D272" s="3646"/>
      <c r="E272" s="2781"/>
      <c r="F272" s="2781"/>
      <c r="G272" s="2781"/>
      <c r="H272" s="2781"/>
      <c r="I272" s="2781"/>
      <c r="J272" s="3667"/>
    </row>
    <row r="273" spans="2:10" ht="18" customHeight="1" outlineLevel="1" x14ac:dyDescent="0.2">
      <c r="B273" s="2845" t="s">
        <v>1520</v>
      </c>
      <c r="C273" s="2850" t="s">
        <v>409</v>
      </c>
      <c r="D273" s="3647" t="s">
        <v>199</v>
      </c>
      <c r="E273" s="2770" t="s">
        <v>205</v>
      </c>
      <c r="F273" s="2792" t="s">
        <v>205</v>
      </c>
      <c r="G273" s="2790" t="s">
        <v>205</v>
      </c>
      <c r="H273" s="2795" t="s">
        <v>199</v>
      </c>
      <c r="I273" s="2796" t="s">
        <v>199</v>
      </c>
      <c r="J273" s="3644" t="s">
        <v>199</v>
      </c>
    </row>
    <row r="274" spans="2:10" ht="18" customHeight="1" outlineLevel="1" x14ac:dyDescent="0.2">
      <c r="B274" s="2845" t="s">
        <v>1521</v>
      </c>
      <c r="C274" s="2850" t="s">
        <v>409</v>
      </c>
      <c r="D274" s="3647" t="s">
        <v>221</v>
      </c>
      <c r="E274" s="2770" t="s">
        <v>205</v>
      </c>
      <c r="F274" s="2792" t="s">
        <v>205</v>
      </c>
      <c r="G274" s="2790" t="s">
        <v>205</v>
      </c>
      <c r="H274" s="2795" t="s">
        <v>221</v>
      </c>
      <c r="I274" s="2796" t="s">
        <v>221</v>
      </c>
      <c r="J274" s="3644" t="s">
        <v>221</v>
      </c>
    </row>
    <row r="275" spans="2:10" ht="18" customHeight="1" outlineLevel="1" x14ac:dyDescent="0.2">
      <c r="B275" s="2845" t="s">
        <v>1522</v>
      </c>
      <c r="C275" s="2848"/>
      <c r="D275" s="3648" t="s">
        <v>205</v>
      </c>
      <c r="E275" s="2770" t="s">
        <v>205</v>
      </c>
      <c r="F275" s="2768" t="s">
        <v>205</v>
      </c>
      <c r="G275" s="2769" t="s">
        <v>205</v>
      </c>
      <c r="H275" s="2771" t="s">
        <v>205</v>
      </c>
      <c r="I275" s="2768" t="s">
        <v>205</v>
      </c>
      <c r="J275" s="3651" t="s">
        <v>205</v>
      </c>
    </row>
    <row r="276" spans="2:10" ht="18" customHeight="1" outlineLevel="1" x14ac:dyDescent="0.2">
      <c r="B276" s="2849" t="s">
        <v>205</v>
      </c>
      <c r="C276" s="2850" t="s">
        <v>205</v>
      </c>
      <c r="D276" s="3647" t="s">
        <v>205</v>
      </c>
      <c r="E276" s="2770" t="s">
        <v>205</v>
      </c>
      <c r="F276" s="2768" t="s">
        <v>205</v>
      </c>
      <c r="G276" s="2769" t="s">
        <v>205</v>
      </c>
      <c r="H276" s="2795" t="s">
        <v>205</v>
      </c>
      <c r="I276" s="2773" t="s">
        <v>205</v>
      </c>
      <c r="J276" s="3662" t="s">
        <v>205</v>
      </c>
    </row>
    <row r="277" spans="2:10" ht="18" customHeight="1" outlineLevel="1" x14ac:dyDescent="0.2">
      <c r="B277" s="2842" t="s">
        <v>1523</v>
      </c>
      <c r="C277" s="2856"/>
      <c r="D277" s="3645">
        <f t="shared" ref="D277" si="0">D302</f>
        <v>454.38546448466923</v>
      </c>
      <c r="E277" s="2770" t="s">
        <v>205</v>
      </c>
      <c r="F277" s="2768" t="s">
        <v>205</v>
      </c>
      <c r="G277" s="3653">
        <f>IF(SUM(D277)=0,"NA",J277*1000/D277)</f>
        <v>103.1128075464043</v>
      </c>
      <c r="H277" s="2793" t="str">
        <f t="shared" ref="H277:J277" si="1">H302</f>
        <v>NE</v>
      </c>
      <c r="I277" s="2792" t="str">
        <f t="shared" si="1"/>
        <v>NE</v>
      </c>
      <c r="J277" s="3652">
        <f t="shared" si="1"/>
        <v>46.852960951291223</v>
      </c>
    </row>
    <row r="278" spans="2:10" ht="18" customHeight="1" outlineLevel="1" x14ac:dyDescent="0.2">
      <c r="B278" s="2844" t="s">
        <v>271</v>
      </c>
      <c r="C278" s="2848"/>
      <c r="D278" s="3646"/>
      <c r="E278" s="2781"/>
      <c r="F278" s="2781"/>
      <c r="G278" s="3654"/>
      <c r="H278" s="2781"/>
      <c r="I278" s="2781"/>
      <c r="J278" s="3667"/>
    </row>
    <row r="279" spans="2:10" ht="18" customHeight="1" outlineLevel="1" x14ac:dyDescent="0.2">
      <c r="B279" s="2845" t="s">
        <v>1524</v>
      </c>
      <c r="C279" s="2850" t="s">
        <v>409</v>
      </c>
      <c r="D279" s="3647" t="s">
        <v>221</v>
      </c>
      <c r="E279" s="2770" t="s">
        <v>205</v>
      </c>
      <c r="F279" s="2792" t="s">
        <v>205</v>
      </c>
      <c r="G279" s="3655" t="s">
        <v>205</v>
      </c>
      <c r="H279" s="2795" t="s">
        <v>221</v>
      </c>
      <c r="I279" s="2796" t="s">
        <v>221</v>
      </c>
      <c r="J279" s="3644" t="s">
        <v>221</v>
      </c>
    </row>
    <row r="280" spans="2:10" ht="18" customHeight="1" outlineLevel="1" x14ac:dyDescent="0.2">
      <c r="B280" s="2845" t="s">
        <v>1525</v>
      </c>
      <c r="C280" s="2848"/>
      <c r="D280" s="3648" t="s">
        <v>205</v>
      </c>
      <c r="E280" s="2770" t="s">
        <v>205</v>
      </c>
      <c r="F280" s="2768" t="s">
        <v>205</v>
      </c>
      <c r="G280" s="3653" t="s">
        <v>205</v>
      </c>
      <c r="H280" s="2771" t="s">
        <v>205</v>
      </c>
      <c r="I280" s="2768" t="s">
        <v>205</v>
      </c>
      <c r="J280" s="3651" t="s">
        <v>205</v>
      </c>
    </row>
    <row r="281" spans="2:10" ht="18" customHeight="1" outlineLevel="1" x14ac:dyDescent="0.2">
      <c r="B281" s="2859" t="str">
        <f>B306</f>
        <v>Reservoirs</v>
      </c>
      <c r="C281" s="2850" t="str">
        <f t="shared" ref="C281:G282" si="2">C306</f>
        <v>Established Reservoirs</v>
      </c>
      <c r="D281" s="3647">
        <f t="shared" si="2"/>
        <v>290.39930619429475</v>
      </c>
      <c r="E281" s="2770" t="str">
        <f t="shared" si="2"/>
        <v>NA</v>
      </c>
      <c r="F281" s="2768" t="str">
        <f t="shared" si="2"/>
        <v>NA</v>
      </c>
      <c r="G281" s="3653">
        <f t="shared" si="2"/>
        <v>116.43772702579076</v>
      </c>
      <c r="H281" s="2795" t="str">
        <f t="shared" ref="H281" si="3">H306</f>
        <v>NA</v>
      </c>
      <c r="I281" s="2773" t="str">
        <f t="shared" ref="I281:J281" si="4">I306</f>
        <v>NA</v>
      </c>
      <c r="J281" s="3662">
        <f t="shared" si="4"/>
        <v>33.81343514313032</v>
      </c>
    </row>
    <row r="282" spans="2:10" ht="18" customHeight="1" outlineLevel="1" x14ac:dyDescent="0.2">
      <c r="B282" s="2862" t="str">
        <f>B307</f>
        <v>Other Constructed Water Bodies</v>
      </c>
      <c r="C282" s="2850" t="str">
        <f t="shared" si="2"/>
        <v>Other Constructed Water Bodies</v>
      </c>
      <c r="D282" s="3647">
        <f t="shared" si="2"/>
        <v>163.98615829037445</v>
      </c>
      <c r="E282" s="2770" t="str">
        <f t="shared" si="2"/>
        <v>NA</v>
      </c>
      <c r="F282" s="2768" t="str">
        <f t="shared" si="2"/>
        <v>NA</v>
      </c>
      <c r="G282" s="3653">
        <f t="shared" si="2"/>
        <v>79.516014913109217</v>
      </c>
      <c r="H282" s="2860" t="str">
        <f t="shared" ref="H282" si="5">H307</f>
        <v>NA</v>
      </c>
      <c r="I282" s="2861" t="str">
        <f t="shared" ref="I282:J282" si="6">I307</f>
        <v>NA</v>
      </c>
      <c r="J282" s="3662">
        <f t="shared" si="6"/>
        <v>13.039525808160903</v>
      </c>
    </row>
    <row r="283" spans="2:10" ht="18" customHeight="1" outlineLevel="1" collapsed="1" x14ac:dyDescent="0.2">
      <c r="B283" s="2593" t="s">
        <v>1551</v>
      </c>
      <c r="C283" s="2843"/>
      <c r="D283" s="3649"/>
      <c r="E283" s="2824"/>
      <c r="F283" s="2825"/>
      <c r="G283" s="3656"/>
      <c r="H283" s="2834" t="s">
        <v>199</v>
      </c>
      <c r="I283" s="2830" t="s">
        <v>199</v>
      </c>
      <c r="J283" s="3659" t="s">
        <v>199</v>
      </c>
    </row>
    <row r="284" spans="2:10" ht="18" hidden="1" customHeight="1" outlineLevel="2" x14ac:dyDescent="0.2">
      <c r="B284" s="2842" t="s">
        <v>1519</v>
      </c>
      <c r="C284" s="2856"/>
      <c r="D284" s="3645" t="s">
        <v>199</v>
      </c>
      <c r="E284" s="2791" t="s">
        <v>205</v>
      </c>
      <c r="F284" s="2792" t="s">
        <v>205</v>
      </c>
      <c r="G284" s="3655" t="s">
        <v>205</v>
      </c>
      <c r="H284" s="2793" t="s">
        <v>199</v>
      </c>
      <c r="I284" s="2792" t="s">
        <v>199</v>
      </c>
      <c r="J284" s="3652" t="s">
        <v>199</v>
      </c>
    </row>
    <row r="285" spans="2:10" ht="18" hidden="1" customHeight="1" outlineLevel="2" x14ac:dyDescent="0.2">
      <c r="B285" s="2844" t="s">
        <v>271</v>
      </c>
      <c r="C285" s="2848"/>
      <c r="D285" s="3646"/>
      <c r="E285" s="2781"/>
      <c r="F285" s="2781"/>
      <c r="G285" s="3654"/>
      <c r="H285" s="2781"/>
      <c r="I285" s="2781"/>
      <c r="J285" s="3667"/>
    </row>
    <row r="286" spans="2:10" ht="18" hidden="1" customHeight="1" outlineLevel="2" x14ac:dyDescent="0.2">
      <c r="B286" s="2845" t="s">
        <v>1520</v>
      </c>
      <c r="C286" s="2850" t="s">
        <v>409</v>
      </c>
      <c r="D286" s="3647" t="s">
        <v>199</v>
      </c>
      <c r="E286" s="2770" t="s">
        <v>205</v>
      </c>
      <c r="F286" s="2792" t="s">
        <v>205</v>
      </c>
      <c r="G286" s="3655" t="s">
        <v>205</v>
      </c>
      <c r="H286" s="2795" t="s">
        <v>199</v>
      </c>
      <c r="I286" s="2796" t="s">
        <v>199</v>
      </c>
      <c r="J286" s="3644" t="s">
        <v>199</v>
      </c>
    </row>
    <row r="287" spans="2:10" ht="18" hidden="1" customHeight="1" outlineLevel="2" x14ac:dyDescent="0.2">
      <c r="B287" s="2845" t="s">
        <v>1521</v>
      </c>
      <c r="C287" s="2850" t="s">
        <v>409</v>
      </c>
      <c r="D287" s="3647" t="s">
        <v>199</v>
      </c>
      <c r="E287" s="2770" t="s">
        <v>205</v>
      </c>
      <c r="F287" s="2792" t="s">
        <v>205</v>
      </c>
      <c r="G287" s="3655" t="s">
        <v>205</v>
      </c>
      <c r="H287" s="2795" t="s">
        <v>199</v>
      </c>
      <c r="I287" s="2796" t="s">
        <v>199</v>
      </c>
      <c r="J287" s="3644" t="s">
        <v>199</v>
      </c>
    </row>
    <row r="288" spans="2:10" ht="18" hidden="1" customHeight="1" outlineLevel="2" x14ac:dyDescent="0.2">
      <c r="B288" s="2845" t="s">
        <v>1522</v>
      </c>
      <c r="C288" s="2848"/>
      <c r="D288" s="3648" t="s">
        <v>205</v>
      </c>
      <c r="E288" s="2770" t="s">
        <v>205</v>
      </c>
      <c r="F288" s="2768" t="s">
        <v>205</v>
      </c>
      <c r="G288" s="3653" t="s">
        <v>205</v>
      </c>
      <c r="H288" s="2771" t="s">
        <v>205</v>
      </c>
      <c r="I288" s="2768" t="s">
        <v>205</v>
      </c>
      <c r="J288" s="3651" t="s">
        <v>205</v>
      </c>
    </row>
    <row r="289" spans="2:10" ht="18" hidden="1" customHeight="1" outlineLevel="2" x14ac:dyDescent="0.2">
      <c r="B289" s="2849" t="s">
        <v>205</v>
      </c>
      <c r="C289" s="2850" t="s">
        <v>205</v>
      </c>
      <c r="D289" s="3647" t="s">
        <v>205</v>
      </c>
      <c r="E289" s="2770" t="s">
        <v>205</v>
      </c>
      <c r="F289" s="2768" t="s">
        <v>205</v>
      </c>
      <c r="G289" s="3653" t="s">
        <v>205</v>
      </c>
      <c r="H289" s="2795" t="s">
        <v>205</v>
      </c>
      <c r="I289" s="2773" t="s">
        <v>205</v>
      </c>
      <c r="J289" s="3662" t="s">
        <v>205</v>
      </c>
    </row>
    <row r="290" spans="2:10" ht="18" hidden="1" customHeight="1" outlineLevel="2" x14ac:dyDescent="0.2">
      <c r="B290" s="2842" t="s">
        <v>1523</v>
      </c>
      <c r="C290" s="2856"/>
      <c r="D290" s="3645" t="s">
        <v>199</v>
      </c>
      <c r="E290" s="2791" t="s">
        <v>205</v>
      </c>
      <c r="F290" s="2792" t="s">
        <v>205</v>
      </c>
      <c r="G290" s="3655" t="s">
        <v>205</v>
      </c>
      <c r="H290" s="2793" t="s">
        <v>199</v>
      </c>
      <c r="I290" s="2792" t="s">
        <v>199</v>
      </c>
      <c r="J290" s="3652" t="s">
        <v>199</v>
      </c>
    </row>
    <row r="291" spans="2:10" ht="18" hidden="1" customHeight="1" outlineLevel="2" x14ac:dyDescent="0.2">
      <c r="B291" s="2844" t="s">
        <v>271</v>
      </c>
      <c r="C291" s="2848"/>
      <c r="D291" s="3646"/>
      <c r="E291" s="2781"/>
      <c r="F291" s="2781"/>
      <c r="G291" s="3654"/>
      <c r="H291" s="2781"/>
      <c r="I291" s="2781"/>
      <c r="J291" s="3667"/>
    </row>
    <row r="292" spans="2:10" ht="18" hidden="1" customHeight="1" outlineLevel="2" x14ac:dyDescent="0.2">
      <c r="B292" s="2845" t="s">
        <v>1524</v>
      </c>
      <c r="C292" s="2850" t="s">
        <v>409</v>
      </c>
      <c r="D292" s="3647" t="s">
        <v>199</v>
      </c>
      <c r="E292" s="2770" t="s">
        <v>205</v>
      </c>
      <c r="F292" s="2792" t="s">
        <v>205</v>
      </c>
      <c r="G292" s="3655" t="s">
        <v>205</v>
      </c>
      <c r="H292" s="2795" t="s">
        <v>199</v>
      </c>
      <c r="I292" s="2796" t="s">
        <v>199</v>
      </c>
      <c r="J292" s="3644" t="s">
        <v>199</v>
      </c>
    </row>
    <row r="293" spans="2:10" ht="18" hidden="1" customHeight="1" outlineLevel="2" x14ac:dyDescent="0.2">
      <c r="B293" s="2845" t="s">
        <v>1525</v>
      </c>
      <c r="C293" s="2848"/>
      <c r="D293" s="3648" t="s">
        <v>205</v>
      </c>
      <c r="E293" s="2770" t="s">
        <v>205</v>
      </c>
      <c r="F293" s="2768" t="s">
        <v>205</v>
      </c>
      <c r="G293" s="3653" t="s">
        <v>205</v>
      </c>
      <c r="H293" s="2771" t="s">
        <v>205</v>
      </c>
      <c r="I293" s="2768" t="s">
        <v>205</v>
      </c>
      <c r="J293" s="3651" t="s">
        <v>205</v>
      </c>
    </row>
    <row r="294" spans="2:10" ht="18" hidden="1" customHeight="1" outlineLevel="2" x14ac:dyDescent="0.2">
      <c r="B294" s="2849" t="s">
        <v>205</v>
      </c>
      <c r="C294" s="2850" t="s">
        <v>205</v>
      </c>
      <c r="D294" s="3647" t="s">
        <v>205</v>
      </c>
      <c r="E294" s="2770" t="s">
        <v>205</v>
      </c>
      <c r="F294" s="2768" t="s">
        <v>205</v>
      </c>
      <c r="G294" s="3653" t="s">
        <v>205</v>
      </c>
      <c r="H294" s="2795" t="s">
        <v>205</v>
      </c>
      <c r="I294" s="2773" t="s">
        <v>205</v>
      </c>
      <c r="J294" s="3662" t="s">
        <v>205</v>
      </c>
    </row>
    <row r="295" spans="2:10" ht="18" customHeight="1" outlineLevel="1" x14ac:dyDescent="0.2">
      <c r="B295" s="2593" t="s">
        <v>1552</v>
      </c>
      <c r="C295" s="2843"/>
      <c r="D295" s="3649"/>
      <c r="E295" s="2824"/>
      <c r="F295" s="2825"/>
      <c r="G295" s="3656"/>
      <c r="H295" s="2834" t="s">
        <v>221</v>
      </c>
      <c r="I295" s="2830" t="s">
        <v>221</v>
      </c>
      <c r="J295" s="3659">
        <f>J302</f>
        <v>46.852960951291223</v>
      </c>
    </row>
    <row r="296" spans="2:10" ht="18" customHeight="1" outlineLevel="2" x14ac:dyDescent="0.2">
      <c r="B296" s="2842" t="s">
        <v>1519</v>
      </c>
      <c r="C296" s="2856"/>
      <c r="D296" s="3645" t="s">
        <v>199</v>
      </c>
      <c r="E296" s="2791" t="s">
        <v>205</v>
      </c>
      <c r="F296" s="2792" t="s">
        <v>205</v>
      </c>
      <c r="G296" s="3655" t="s">
        <v>205</v>
      </c>
      <c r="H296" s="2793" t="s">
        <v>199</v>
      </c>
      <c r="I296" s="2792" t="s">
        <v>199</v>
      </c>
      <c r="J296" s="3652" t="s">
        <v>199</v>
      </c>
    </row>
    <row r="297" spans="2:10" ht="18" customHeight="1" outlineLevel="2" x14ac:dyDescent="0.2">
      <c r="B297" s="2844" t="s">
        <v>271</v>
      </c>
      <c r="C297" s="2848"/>
      <c r="D297" s="3646"/>
      <c r="E297" s="2781"/>
      <c r="F297" s="2781"/>
      <c r="G297" s="3654"/>
      <c r="H297" s="2781"/>
      <c r="I297" s="2781"/>
      <c r="J297" s="3667"/>
    </row>
    <row r="298" spans="2:10" ht="18" customHeight="1" outlineLevel="2" x14ac:dyDescent="0.2">
      <c r="B298" s="2845" t="s">
        <v>1520</v>
      </c>
      <c r="C298" s="2850" t="s">
        <v>409</v>
      </c>
      <c r="D298" s="3647" t="s">
        <v>199</v>
      </c>
      <c r="E298" s="2770" t="s">
        <v>205</v>
      </c>
      <c r="F298" s="2792" t="s">
        <v>205</v>
      </c>
      <c r="G298" s="3655" t="s">
        <v>205</v>
      </c>
      <c r="H298" s="2795" t="s">
        <v>199</v>
      </c>
      <c r="I298" s="2796" t="s">
        <v>199</v>
      </c>
      <c r="J298" s="3644" t="s">
        <v>199</v>
      </c>
    </row>
    <row r="299" spans="2:10" ht="18" customHeight="1" outlineLevel="2" x14ac:dyDescent="0.2">
      <c r="B299" s="2845" t="s">
        <v>1521</v>
      </c>
      <c r="C299" s="2850" t="s">
        <v>409</v>
      </c>
      <c r="D299" s="3647" t="s">
        <v>221</v>
      </c>
      <c r="E299" s="2770" t="s">
        <v>205</v>
      </c>
      <c r="F299" s="2792" t="s">
        <v>205</v>
      </c>
      <c r="G299" s="3655" t="s">
        <v>205</v>
      </c>
      <c r="H299" s="2795" t="s">
        <v>221</v>
      </c>
      <c r="I299" s="2796" t="s">
        <v>221</v>
      </c>
      <c r="J299" s="3644" t="s">
        <v>221</v>
      </c>
    </row>
    <row r="300" spans="2:10" ht="18" customHeight="1" outlineLevel="2" x14ac:dyDescent="0.2">
      <c r="B300" s="2845" t="s">
        <v>1522</v>
      </c>
      <c r="C300" s="2848"/>
      <c r="D300" s="3648" t="s">
        <v>205</v>
      </c>
      <c r="E300" s="2770" t="s">
        <v>205</v>
      </c>
      <c r="F300" s="2768" t="s">
        <v>205</v>
      </c>
      <c r="G300" s="3653" t="s">
        <v>205</v>
      </c>
      <c r="H300" s="2771" t="s">
        <v>205</v>
      </c>
      <c r="I300" s="2768" t="s">
        <v>205</v>
      </c>
      <c r="J300" s="3651" t="s">
        <v>205</v>
      </c>
    </row>
    <row r="301" spans="2:10" ht="18" customHeight="1" outlineLevel="2" x14ac:dyDescent="0.2">
      <c r="B301" s="2849" t="s">
        <v>205</v>
      </c>
      <c r="C301" s="2850" t="s">
        <v>205</v>
      </c>
      <c r="D301" s="3647" t="s">
        <v>205</v>
      </c>
      <c r="E301" s="2770" t="s">
        <v>205</v>
      </c>
      <c r="F301" s="2768" t="s">
        <v>205</v>
      </c>
      <c r="G301" s="3653" t="s">
        <v>205</v>
      </c>
      <c r="H301" s="2795" t="s">
        <v>205</v>
      </c>
      <c r="I301" s="2773" t="s">
        <v>205</v>
      </c>
      <c r="J301" s="3662" t="s">
        <v>205</v>
      </c>
    </row>
    <row r="302" spans="2:10" ht="18" customHeight="1" outlineLevel="2" x14ac:dyDescent="0.2">
      <c r="B302" s="2842" t="s">
        <v>1523</v>
      </c>
      <c r="C302" s="2856"/>
      <c r="D302" s="3645">
        <f>IF(SUM(D306:D307)=0,"NO",SUM(D306:D307))</f>
        <v>454.38546448466923</v>
      </c>
      <c r="E302" s="2770" t="s">
        <v>205</v>
      </c>
      <c r="F302" s="2768" t="s">
        <v>205</v>
      </c>
      <c r="G302" s="3653">
        <f>IF(SUM(D302)=0,"NA",J302*1000/D302)</f>
        <v>103.1128075464043</v>
      </c>
      <c r="H302" s="2793" t="s">
        <v>221</v>
      </c>
      <c r="I302" s="2792" t="s">
        <v>221</v>
      </c>
      <c r="J302" s="3652">
        <f t="shared" ref="J302" si="7">IF(SUM(J306:J307)=0,"NO",SUM(J306:J307))</f>
        <v>46.852960951291223</v>
      </c>
    </row>
    <row r="303" spans="2:10" ht="18" customHeight="1" outlineLevel="2" x14ac:dyDescent="0.2">
      <c r="B303" s="2844" t="s">
        <v>271</v>
      </c>
      <c r="C303" s="2848"/>
      <c r="D303" s="3646"/>
      <c r="E303" s="2781"/>
      <c r="F303" s="2781"/>
      <c r="G303" s="3654"/>
      <c r="H303" s="2781"/>
      <c r="I303" s="2781"/>
      <c r="J303" s="3667"/>
    </row>
    <row r="304" spans="2:10" ht="18" customHeight="1" outlineLevel="2" x14ac:dyDescent="0.2">
      <c r="B304" s="2845" t="s">
        <v>1524</v>
      </c>
      <c r="C304" s="2850" t="s">
        <v>409</v>
      </c>
      <c r="D304" s="3647" t="s">
        <v>221</v>
      </c>
      <c r="E304" s="2770" t="s">
        <v>205</v>
      </c>
      <c r="F304" s="2792" t="s">
        <v>205</v>
      </c>
      <c r="G304" s="3655" t="s">
        <v>205</v>
      </c>
      <c r="H304" s="2795" t="s">
        <v>221</v>
      </c>
      <c r="I304" s="2796" t="s">
        <v>221</v>
      </c>
      <c r="J304" s="3644" t="s">
        <v>221</v>
      </c>
    </row>
    <row r="305" spans="2:10" ht="18" customHeight="1" outlineLevel="2" x14ac:dyDescent="0.2">
      <c r="B305" s="2845" t="s">
        <v>1525</v>
      </c>
      <c r="C305" s="2848"/>
      <c r="D305" s="3648" t="s">
        <v>205</v>
      </c>
      <c r="E305" s="2770" t="s">
        <v>205</v>
      </c>
      <c r="F305" s="2768" t="s">
        <v>205</v>
      </c>
      <c r="G305" s="3653" t="s">
        <v>205</v>
      </c>
      <c r="H305" s="2771" t="s">
        <v>205</v>
      </c>
      <c r="I305" s="2768" t="s">
        <v>205</v>
      </c>
      <c r="J305" s="3651" t="s">
        <v>205</v>
      </c>
    </row>
    <row r="306" spans="2:10" ht="18" customHeight="1" outlineLevel="2" x14ac:dyDescent="0.2">
      <c r="B306" s="2859" t="s">
        <v>1410</v>
      </c>
      <c r="C306" s="2850" t="s">
        <v>1553</v>
      </c>
      <c r="D306" s="3650">
        <v>290.39930619429475</v>
      </c>
      <c r="E306" s="2770" t="s">
        <v>205</v>
      </c>
      <c r="F306" s="2768" t="s">
        <v>205</v>
      </c>
      <c r="G306" s="3653">
        <f>IF(SUM(D306)=0,"NA",J306*1000/D306)</f>
        <v>116.43772702579076</v>
      </c>
      <c r="H306" s="2795" t="s">
        <v>205</v>
      </c>
      <c r="I306" s="2773" t="s">
        <v>205</v>
      </c>
      <c r="J306" s="3662">
        <v>33.81343514313032</v>
      </c>
    </row>
    <row r="307" spans="2:10" ht="18" customHeight="1" outlineLevel="2" x14ac:dyDescent="0.2">
      <c r="B307" s="2862" t="s">
        <v>1554</v>
      </c>
      <c r="C307" s="2850" t="s">
        <v>1554</v>
      </c>
      <c r="D307" s="3650">
        <v>163.98615829037445</v>
      </c>
      <c r="E307" s="2770" t="s">
        <v>205</v>
      </c>
      <c r="F307" s="2768" t="s">
        <v>205</v>
      </c>
      <c r="G307" s="3653">
        <f>IF(SUM(D307)=0,"NA",J307*1000/D307)</f>
        <v>79.516014913109217</v>
      </c>
      <c r="H307" s="2795" t="s">
        <v>205</v>
      </c>
      <c r="I307" s="2773" t="s">
        <v>205</v>
      </c>
      <c r="J307" s="3662">
        <v>13.039525808160903</v>
      </c>
    </row>
    <row r="308" spans="2:10" ht="18" customHeight="1" outlineLevel="1" collapsed="1" x14ac:dyDescent="0.2">
      <c r="B308" s="2593" t="s">
        <v>1555</v>
      </c>
      <c r="C308" s="2843"/>
      <c r="D308" s="3649"/>
      <c r="E308" s="2824"/>
      <c r="F308" s="2825"/>
      <c r="G308" s="3656"/>
      <c r="H308" s="2793" t="s">
        <v>221</v>
      </c>
      <c r="I308" s="2792" t="s">
        <v>221</v>
      </c>
      <c r="J308" s="3652" t="s">
        <v>221</v>
      </c>
    </row>
    <row r="309" spans="2:10" ht="18" hidden="1" customHeight="1" outlineLevel="2" x14ac:dyDescent="0.2">
      <c r="B309" s="2842" t="s">
        <v>1519</v>
      </c>
      <c r="C309" s="2856"/>
      <c r="D309" s="3645" t="s">
        <v>221</v>
      </c>
      <c r="E309" s="2791" t="s">
        <v>205</v>
      </c>
      <c r="F309" s="2792" t="s">
        <v>205</v>
      </c>
      <c r="G309" s="3655" t="s">
        <v>205</v>
      </c>
      <c r="H309" s="2793" t="s">
        <v>221</v>
      </c>
      <c r="I309" s="2792" t="s">
        <v>221</v>
      </c>
      <c r="J309" s="3652" t="s">
        <v>221</v>
      </c>
    </row>
    <row r="310" spans="2:10" ht="18" hidden="1" customHeight="1" outlineLevel="2" x14ac:dyDescent="0.2">
      <c r="B310" s="2844" t="s">
        <v>271</v>
      </c>
      <c r="C310" s="2848"/>
      <c r="D310" s="3646"/>
      <c r="E310" s="2781"/>
      <c r="F310" s="2781"/>
      <c r="G310" s="3654"/>
      <c r="H310" s="2781"/>
      <c r="I310" s="2781"/>
      <c r="J310" s="3667"/>
    </row>
    <row r="311" spans="2:10" ht="18" hidden="1" customHeight="1" outlineLevel="2" x14ac:dyDescent="0.2">
      <c r="B311" s="2845" t="s">
        <v>1520</v>
      </c>
      <c r="C311" s="2850" t="s">
        <v>409</v>
      </c>
      <c r="D311" s="3647" t="s">
        <v>199</v>
      </c>
      <c r="E311" s="2770" t="s">
        <v>205</v>
      </c>
      <c r="F311" s="2792" t="s">
        <v>205</v>
      </c>
      <c r="G311" s="3655" t="s">
        <v>205</v>
      </c>
      <c r="H311" s="2795" t="s">
        <v>199</v>
      </c>
      <c r="I311" s="2796" t="s">
        <v>199</v>
      </c>
      <c r="J311" s="3644" t="s">
        <v>199</v>
      </c>
    </row>
    <row r="312" spans="2:10" ht="18" hidden="1" customHeight="1" outlineLevel="2" x14ac:dyDescent="0.2">
      <c r="B312" s="2845" t="s">
        <v>1521</v>
      </c>
      <c r="C312" s="2850" t="s">
        <v>409</v>
      </c>
      <c r="D312" s="3647" t="s">
        <v>221</v>
      </c>
      <c r="E312" s="2770" t="s">
        <v>205</v>
      </c>
      <c r="F312" s="2792" t="s">
        <v>205</v>
      </c>
      <c r="G312" s="3655" t="s">
        <v>205</v>
      </c>
      <c r="H312" s="2795" t="s">
        <v>221</v>
      </c>
      <c r="I312" s="2796" t="s">
        <v>221</v>
      </c>
      <c r="J312" s="3644" t="s">
        <v>221</v>
      </c>
    </row>
    <row r="313" spans="2:10" ht="18" hidden="1" customHeight="1" outlineLevel="2" x14ac:dyDescent="0.2">
      <c r="B313" s="2845" t="s">
        <v>1522</v>
      </c>
      <c r="C313" s="2848"/>
      <c r="D313" s="3648" t="s">
        <v>205</v>
      </c>
      <c r="E313" s="2770" t="s">
        <v>205</v>
      </c>
      <c r="F313" s="2768" t="s">
        <v>205</v>
      </c>
      <c r="G313" s="3653" t="s">
        <v>205</v>
      </c>
      <c r="H313" s="2771" t="s">
        <v>205</v>
      </c>
      <c r="I313" s="2768" t="s">
        <v>205</v>
      </c>
      <c r="J313" s="3651" t="s">
        <v>205</v>
      </c>
    </row>
    <row r="314" spans="2:10" ht="18" hidden="1" customHeight="1" outlineLevel="2" x14ac:dyDescent="0.2">
      <c r="B314" s="2849" t="s">
        <v>205</v>
      </c>
      <c r="C314" s="2850" t="s">
        <v>205</v>
      </c>
      <c r="D314" s="3647" t="s">
        <v>205</v>
      </c>
      <c r="E314" s="2770" t="s">
        <v>205</v>
      </c>
      <c r="F314" s="2768" t="s">
        <v>205</v>
      </c>
      <c r="G314" s="3653" t="s">
        <v>205</v>
      </c>
      <c r="H314" s="2795" t="s">
        <v>205</v>
      </c>
      <c r="I314" s="2773" t="s">
        <v>205</v>
      </c>
      <c r="J314" s="3662" t="s">
        <v>205</v>
      </c>
    </row>
    <row r="315" spans="2:10" ht="18" hidden="1" customHeight="1" outlineLevel="2" x14ac:dyDescent="0.2">
      <c r="B315" s="2842" t="s">
        <v>1523</v>
      </c>
      <c r="C315" s="2856"/>
      <c r="D315" s="3645" t="s">
        <v>199</v>
      </c>
      <c r="E315" s="2791" t="s">
        <v>205</v>
      </c>
      <c r="F315" s="2792" t="s">
        <v>205</v>
      </c>
      <c r="G315" s="3655" t="s">
        <v>205</v>
      </c>
      <c r="H315" s="2793" t="s">
        <v>199</v>
      </c>
      <c r="I315" s="2792" t="s">
        <v>199</v>
      </c>
      <c r="J315" s="3652" t="s">
        <v>199</v>
      </c>
    </row>
    <row r="316" spans="2:10" ht="18" hidden="1" customHeight="1" outlineLevel="2" x14ac:dyDescent="0.2">
      <c r="B316" s="2844" t="s">
        <v>271</v>
      </c>
      <c r="C316" s="2848"/>
      <c r="D316" s="3646"/>
      <c r="E316" s="2781"/>
      <c r="F316" s="2781"/>
      <c r="G316" s="3654"/>
      <c r="H316" s="2781"/>
      <c r="I316" s="2781"/>
      <c r="J316" s="3667"/>
    </row>
    <row r="317" spans="2:10" ht="18" hidden="1" customHeight="1" outlineLevel="2" x14ac:dyDescent="0.2">
      <c r="B317" s="2845" t="s">
        <v>1524</v>
      </c>
      <c r="C317" s="2850" t="s">
        <v>409</v>
      </c>
      <c r="D317" s="3647" t="s">
        <v>221</v>
      </c>
      <c r="E317" s="2770" t="s">
        <v>205</v>
      </c>
      <c r="F317" s="2792" t="s">
        <v>205</v>
      </c>
      <c r="G317" s="3655" t="s">
        <v>205</v>
      </c>
      <c r="H317" s="2795" t="s">
        <v>221</v>
      </c>
      <c r="I317" s="2796" t="s">
        <v>221</v>
      </c>
      <c r="J317" s="3644" t="s">
        <v>221</v>
      </c>
    </row>
    <row r="318" spans="2:10" ht="18" hidden="1" customHeight="1" outlineLevel="2" x14ac:dyDescent="0.2">
      <c r="B318" s="2845" t="s">
        <v>1525</v>
      </c>
      <c r="C318" s="2848"/>
      <c r="D318" s="3648" t="s">
        <v>205</v>
      </c>
      <c r="E318" s="2770" t="s">
        <v>205</v>
      </c>
      <c r="F318" s="2768" t="s">
        <v>205</v>
      </c>
      <c r="G318" s="3653" t="s">
        <v>205</v>
      </c>
      <c r="H318" s="2771" t="s">
        <v>205</v>
      </c>
      <c r="I318" s="2768" t="s">
        <v>205</v>
      </c>
      <c r="J318" s="3651" t="s">
        <v>205</v>
      </c>
    </row>
    <row r="319" spans="2:10" ht="18" hidden="1" customHeight="1" outlineLevel="2" x14ac:dyDescent="0.2">
      <c r="B319" s="2849" t="s">
        <v>205</v>
      </c>
      <c r="C319" s="2850" t="s">
        <v>205</v>
      </c>
      <c r="D319" s="3647" t="s">
        <v>205</v>
      </c>
      <c r="E319" s="2770" t="s">
        <v>205</v>
      </c>
      <c r="F319" s="2768" t="s">
        <v>205</v>
      </c>
      <c r="G319" s="3653" t="s">
        <v>205</v>
      </c>
      <c r="H319" s="2795" t="s">
        <v>205</v>
      </c>
      <c r="I319" s="2773" t="s">
        <v>205</v>
      </c>
      <c r="J319" s="3662" t="s">
        <v>205</v>
      </c>
    </row>
    <row r="320" spans="2:10" ht="18" customHeight="1" x14ac:dyDescent="0.2">
      <c r="B320" s="2842" t="s">
        <v>1556</v>
      </c>
      <c r="C320" s="2848"/>
      <c r="D320" s="3649"/>
      <c r="E320" s="2824"/>
      <c r="F320" s="2825"/>
      <c r="G320" s="3656"/>
      <c r="H320" s="2834" t="str">
        <f>H327</f>
        <v>IE</v>
      </c>
      <c r="I320" s="2830" t="s">
        <v>221</v>
      </c>
      <c r="J320" s="3659">
        <f>J327</f>
        <v>8.1537146489583332</v>
      </c>
    </row>
    <row r="321" spans="2:10" ht="18" customHeight="1" outlineLevel="1" x14ac:dyDescent="0.2">
      <c r="B321" s="2842" t="s">
        <v>1519</v>
      </c>
      <c r="C321" s="2856"/>
      <c r="D321" s="3645" t="s">
        <v>199</v>
      </c>
      <c r="E321" s="2791" t="s">
        <v>205</v>
      </c>
      <c r="F321" s="2792" t="s">
        <v>205</v>
      </c>
      <c r="G321" s="3655" t="s">
        <v>205</v>
      </c>
      <c r="H321" s="2793" t="s">
        <v>221</v>
      </c>
      <c r="I321" s="2792" t="s">
        <v>221</v>
      </c>
      <c r="J321" s="3652" t="s">
        <v>221</v>
      </c>
    </row>
    <row r="322" spans="2:10" ht="18" customHeight="1" outlineLevel="1" x14ac:dyDescent="0.2">
      <c r="B322" s="2844" t="s">
        <v>271</v>
      </c>
      <c r="C322" s="2848"/>
      <c r="D322" s="3646"/>
      <c r="E322" s="2781"/>
      <c r="F322" s="2781"/>
      <c r="G322" s="3654"/>
      <c r="H322" s="2781"/>
      <c r="I322" s="2781"/>
      <c r="J322" s="3667"/>
    </row>
    <row r="323" spans="2:10" ht="18" customHeight="1" outlineLevel="1" x14ac:dyDescent="0.2">
      <c r="B323" s="2845" t="s">
        <v>1520</v>
      </c>
      <c r="C323" s="2850" t="s">
        <v>409</v>
      </c>
      <c r="D323" s="3647" t="s">
        <v>199</v>
      </c>
      <c r="E323" s="2770" t="s">
        <v>205</v>
      </c>
      <c r="F323" s="2792" t="s">
        <v>205</v>
      </c>
      <c r="G323" s="3655" t="s">
        <v>205</v>
      </c>
      <c r="H323" s="2795" t="s">
        <v>199</v>
      </c>
      <c r="I323" s="2796" t="s">
        <v>199</v>
      </c>
      <c r="J323" s="3644" t="s">
        <v>199</v>
      </c>
    </row>
    <row r="324" spans="2:10" ht="18" customHeight="1" outlineLevel="1" x14ac:dyDescent="0.2">
      <c r="B324" s="2845" t="s">
        <v>1521</v>
      </c>
      <c r="C324" s="2850" t="s">
        <v>409</v>
      </c>
      <c r="D324" s="3647" t="s">
        <v>221</v>
      </c>
      <c r="E324" s="2770" t="s">
        <v>205</v>
      </c>
      <c r="F324" s="2792" t="s">
        <v>205</v>
      </c>
      <c r="G324" s="3655" t="s">
        <v>205</v>
      </c>
      <c r="H324" s="2795" t="s">
        <v>221</v>
      </c>
      <c r="I324" s="2796" t="s">
        <v>221</v>
      </c>
      <c r="J324" s="3644" t="s">
        <v>221</v>
      </c>
    </row>
    <row r="325" spans="2:10" ht="18" customHeight="1" outlineLevel="1" x14ac:dyDescent="0.2">
      <c r="B325" s="2845" t="s">
        <v>1522</v>
      </c>
      <c r="C325" s="2848"/>
      <c r="D325" s="3648" t="s">
        <v>205</v>
      </c>
      <c r="E325" s="2770" t="s">
        <v>205</v>
      </c>
      <c r="F325" s="2768" t="s">
        <v>205</v>
      </c>
      <c r="G325" s="3653" t="s">
        <v>205</v>
      </c>
      <c r="H325" s="2771" t="s">
        <v>205</v>
      </c>
      <c r="I325" s="2768" t="s">
        <v>205</v>
      </c>
      <c r="J325" s="3651" t="s">
        <v>205</v>
      </c>
    </row>
    <row r="326" spans="2:10" ht="18" customHeight="1" outlineLevel="1" x14ac:dyDescent="0.2">
      <c r="B326" s="2849" t="s">
        <v>205</v>
      </c>
      <c r="C326" s="2850" t="s">
        <v>205</v>
      </c>
      <c r="D326" s="3647" t="s">
        <v>205</v>
      </c>
      <c r="E326" s="2770" t="s">
        <v>205</v>
      </c>
      <c r="F326" s="2768" t="s">
        <v>205</v>
      </c>
      <c r="G326" s="3653" t="s">
        <v>205</v>
      </c>
      <c r="H326" s="2795" t="s">
        <v>205</v>
      </c>
      <c r="I326" s="2773" t="s">
        <v>205</v>
      </c>
      <c r="J326" s="3662" t="s">
        <v>205</v>
      </c>
    </row>
    <row r="327" spans="2:10" ht="18" customHeight="1" outlineLevel="1" x14ac:dyDescent="0.2">
      <c r="B327" s="2842" t="s">
        <v>1523</v>
      </c>
      <c r="C327" s="2856"/>
      <c r="D327" s="3645">
        <f>D331</f>
        <v>37.173195833333338</v>
      </c>
      <c r="E327" s="2791" t="str">
        <f t="shared" ref="E327:J327" si="8">E331</f>
        <v>NA</v>
      </c>
      <c r="F327" s="2792" t="str">
        <f t="shared" si="8"/>
        <v>NA</v>
      </c>
      <c r="G327" s="3655">
        <f t="shared" si="8"/>
        <v>219.34392419515535</v>
      </c>
      <c r="H327" s="2793" t="str">
        <f t="shared" si="8"/>
        <v>IE</v>
      </c>
      <c r="I327" s="2792" t="str">
        <f t="shared" si="8"/>
        <v>NA</v>
      </c>
      <c r="J327" s="3652">
        <f t="shared" si="8"/>
        <v>8.1537146489583332</v>
      </c>
    </row>
    <row r="328" spans="2:10" ht="18" customHeight="1" outlineLevel="1" x14ac:dyDescent="0.2">
      <c r="B328" s="2844" t="s">
        <v>271</v>
      </c>
      <c r="C328" s="2848"/>
      <c r="D328" s="3646"/>
      <c r="E328" s="2781"/>
      <c r="F328" s="2781"/>
      <c r="G328" s="3654"/>
      <c r="H328" s="2781"/>
      <c r="I328" s="2781"/>
      <c r="J328" s="3667"/>
    </row>
    <row r="329" spans="2:10" ht="18" customHeight="1" outlineLevel="1" x14ac:dyDescent="0.2">
      <c r="B329" s="2845" t="s">
        <v>1524</v>
      </c>
      <c r="C329" s="2850" t="s">
        <v>409</v>
      </c>
      <c r="D329" s="3647" t="s">
        <v>199</v>
      </c>
      <c r="E329" s="2770" t="s">
        <v>205</v>
      </c>
      <c r="F329" s="2792" t="s">
        <v>205</v>
      </c>
      <c r="G329" s="3655" t="s">
        <v>205</v>
      </c>
      <c r="H329" s="2797" t="s">
        <v>199</v>
      </c>
      <c r="I329" s="2796" t="s">
        <v>199</v>
      </c>
      <c r="J329" s="3644" t="s">
        <v>199</v>
      </c>
    </row>
    <row r="330" spans="2:10" ht="18" customHeight="1" outlineLevel="1" x14ac:dyDescent="0.2">
      <c r="B330" s="2845" t="s">
        <v>1525</v>
      </c>
      <c r="C330" s="2848"/>
      <c r="D330" s="3648" t="s">
        <v>205</v>
      </c>
      <c r="E330" s="2770" t="s">
        <v>205</v>
      </c>
      <c r="F330" s="2768" t="s">
        <v>205</v>
      </c>
      <c r="G330" s="3653" t="s">
        <v>205</v>
      </c>
      <c r="H330" s="2771" t="s">
        <v>205</v>
      </c>
      <c r="I330" s="2768" t="s">
        <v>205</v>
      </c>
      <c r="J330" s="3651" t="s">
        <v>205</v>
      </c>
    </row>
    <row r="331" spans="2:10" ht="18" customHeight="1" outlineLevel="1" x14ac:dyDescent="0.2">
      <c r="B331" s="2859" t="str">
        <f>B415</f>
        <v>Reservoirs</v>
      </c>
      <c r="C331" s="2850" t="str">
        <f t="shared" ref="C331:J331" si="9">C415</f>
        <v>New Reservoirs</v>
      </c>
      <c r="D331" s="3647">
        <f t="shared" si="9"/>
        <v>37.173195833333338</v>
      </c>
      <c r="E331" s="2770" t="str">
        <f t="shared" si="9"/>
        <v>NA</v>
      </c>
      <c r="F331" s="2768" t="str">
        <f t="shared" si="9"/>
        <v>NA</v>
      </c>
      <c r="G331" s="3653">
        <f t="shared" si="9"/>
        <v>219.34392419515535</v>
      </c>
      <c r="H331" s="2780" t="str">
        <f t="shared" si="9"/>
        <v>IE</v>
      </c>
      <c r="I331" s="2773" t="str">
        <f t="shared" si="9"/>
        <v>NA</v>
      </c>
      <c r="J331" s="3662">
        <f t="shared" si="9"/>
        <v>8.1537146489583332</v>
      </c>
    </row>
    <row r="332" spans="2:10" ht="18" customHeight="1" outlineLevel="1" collapsed="1" x14ac:dyDescent="0.2">
      <c r="B332" s="2593" t="s">
        <v>1557</v>
      </c>
      <c r="C332" s="2843"/>
      <c r="D332" s="3649"/>
      <c r="E332" s="2824"/>
      <c r="F332" s="2825"/>
      <c r="G332" s="3656"/>
      <c r="H332" s="2834" t="s">
        <v>199</v>
      </c>
      <c r="I332" s="2830" t="s">
        <v>199</v>
      </c>
      <c r="J332" s="3659" t="s">
        <v>199</v>
      </c>
    </row>
    <row r="333" spans="2:10" ht="18" hidden="1" customHeight="1" outlineLevel="2" x14ac:dyDescent="0.2">
      <c r="B333" s="2842" t="s">
        <v>1519</v>
      </c>
      <c r="C333" s="2856"/>
      <c r="D333" s="3645" t="s">
        <v>199</v>
      </c>
      <c r="E333" s="2791" t="s">
        <v>205</v>
      </c>
      <c r="F333" s="2792" t="s">
        <v>205</v>
      </c>
      <c r="G333" s="3655" t="s">
        <v>205</v>
      </c>
      <c r="H333" s="2793" t="s">
        <v>199</v>
      </c>
      <c r="I333" s="2792" t="s">
        <v>199</v>
      </c>
      <c r="J333" s="3652" t="s">
        <v>199</v>
      </c>
    </row>
    <row r="334" spans="2:10" ht="18" hidden="1" customHeight="1" outlineLevel="2" x14ac:dyDescent="0.2">
      <c r="B334" s="2844" t="s">
        <v>271</v>
      </c>
      <c r="C334" s="2848"/>
      <c r="D334" s="3646"/>
      <c r="E334" s="2781"/>
      <c r="F334" s="2781"/>
      <c r="G334" s="3654"/>
      <c r="H334" s="2781"/>
      <c r="I334" s="2781"/>
      <c r="J334" s="3667"/>
    </row>
    <row r="335" spans="2:10" ht="18" hidden="1" customHeight="1" outlineLevel="2" x14ac:dyDescent="0.2">
      <c r="B335" s="2845" t="s">
        <v>1520</v>
      </c>
      <c r="C335" s="2850" t="s">
        <v>409</v>
      </c>
      <c r="D335" s="3647" t="s">
        <v>199</v>
      </c>
      <c r="E335" s="2770" t="s">
        <v>205</v>
      </c>
      <c r="F335" s="2792" t="s">
        <v>205</v>
      </c>
      <c r="G335" s="3655" t="s">
        <v>205</v>
      </c>
      <c r="H335" s="2795" t="s">
        <v>199</v>
      </c>
      <c r="I335" s="2796" t="s">
        <v>199</v>
      </c>
      <c r="J335" s="3644" t="s">
        <v>199</v>
      </c>
    </row>
    <row r="336" spans="2:10" ht="18" hidden="1" customHeight="1" outlineLevel="2" x14ac:dyDescent="0.2">
      <c r="B336" s="2845" t="s">
        <v>1521</v>
      </c>
      <c r="C336" s="2850" t="s">
        <v>409</v>
      </c>
      <c r="D336" s="3647" t="s">
        <v>199</v>
      </c>
      <c r="E336" s="2770" t="s">
        <v>205</v>
      </c>
      <c r="F336" s="2792" t="s">
        <v>205</v>
      </c>
      <c r="G336" s="3655" t="s">
        <v>205</v>
      </c>
      <c r="H336" s="2795" t="s">
        <v>199</v>
      </c>
      <c r="I336" s="2796" t="s">
        <v>199</v>
      </c>
      <c r="J336" s="3644" t="s">
        <v>199</v>
      </c>
    </row>
    <row r="337" spans="2:10" ht="18" hidden="1" customHeight="1" outlineLevel="2" x14ac:dyDescent="0.2">
      <c r="B337" s="2845" t="s">
        <v>1522</v>
      </c>
      <c r="C337" s="2848"/>
      <c r="D337" s="3648" t="s">
        <v>205</v>
      </c>
      <c r="E337" s="2770" t="s">
        <v>205</v>
      </c>
      <c r="F337" s="2768" t="s">
        <v>205</v>
      </c>
      <c r="G337" s="3653" t="s">
        <v>205</v>
      </c>
      <c r="H337" s="2771" t="s">
        <v>205</v>
      </c>
      <c r="I337" s="2768" t="s">
        <v>205</v>
      </c>
      <c r="J337" s="3651" t="s">
        <v>205</v>
      </c>
    </row>
    <row r="338" spans="2:10" ht="18" hidden="1" customHeight="1" outlineLevel="2" x14ac:dyDescent="0.2">
      <c r="B338" s="2849"/>
      <c r="C338" s="2850" t="s">
        <v>205</v>
      </c>
      <c r="D338" s="3647" t="s">
        <v>205</v>
      </c>
      <c r="E338" s="2770" t="s">
        <v>205</v>
      </c>
      <c r="F338" s="2768" t="s">
        <v>205</v>
      </c>
      <c r="G338" s="3653" t="s">
        <v>205</v>
      </c>
      <c r="H338" s="2795" t="s">
        <v>205</v>
      </c>
      <c r="I338" s="2773" t="s">
        <v>205</v>
      </c>
      <c r="J338" s="3662" t="s">
        <v>205</v>
      </c>
    </row>
    <row r="339" spans="2:10" ht="18" hidden="1" customHeight="1" outlineLevel="2" x14ac:dyDescent="0.2">
      <c r="B339" s="2842" t="s">
        <v>1523</v>
      </c>
      <c r="C339" s="2856"/>
      <c r="D339" s="3645" t="s">
        <v>199</v>
      </c>
      <c r="E339" s="2791" t="s">
        <v>205</v>
      </c>
      <c r="F339" s="2792" t="s">
        <v>205</v>
      </c>
      <c r="G339" s="3655" t="s">
        <v>205</v>
      </c>
      <c r="H339" s="2793" t="s">
        <v>199</v>
      </c>
      <c r="I339" s="2792" t="s">
        <v>199</v>
      </c>
      <c r="J339" s="3652" t="s">
        <v>199</v>
      </c>
    </row>
    <row r="340" spans="2:10" ht="18" hidden="1" customHeight="1" outlineLevel="2" x14ac:dyDescent="0.2">
      <c r="B340" s="2844" t="s">
        <v>271</v>
      </c>
      <c r="C340" s="2848"/>
      <c r="D340" s="3646"/>
      <c r="E340" s="2781"/>
      <c r="F340" s="2781"/>
      <c r="G340" s="3654"/>
      <c r="H340" s="2781"/>
      <c r="I340" s="2781"/>
      <c r="J340" s="3667"/>
    </row>
    <row r="341" spans="2:10" ht="18" hidden="1" customHeight="1" outlineLevel="2" x14ac:dyDescent="0.2">
      <c r="B341" s="2845" t="s">
        <v>1524</v>
      </c>
      <c r="C341" s="2850" t="s">
        <v>409</v>
      </c>
      <c r="D341" s="3647" t="s">
        <v>199</v>
      </c>
      <c r="E341" s="2770" t="s">
        <v>205</v>
      </c>
      <c r="F341" s="2792" t="s">
        <v>205</v>
      </c>
      <c r="G341" s="3655" t="s">
        <v>205</v>
      </c>
      <c r="H341" s="2795" t="s">
        <v>199</v>
      </c>
      <c r="I341" s="2796" t="s">
        <v>199</v>
      </c>
      <c r="J341" s="3644" t="s">
        <v>199</v>
      </c>
    </row>
    <row r="342" spans="2:10" ht="18" hidden="1" customHeight="1" outlineLevel="2" x14ac:dyDescent="0.2">
      <c r="B342" s="2845" t="s">
        <v>1525</v>
      </c>
      <c r="C342" s="2848"/>
      <c r="D342" s="3648" t="s">
        <v>205</v>
      </c>
      <c r="E342" s="2770" t="s">
        <v>205</v>
      </c>
      <c r="F342" s="2768" t="s">
        <v>205</v>
      </c>
      <c r="G342" s="3653" t="s">
        <v>205</v>
      </c>
      <c r="H342" s="2771" t="s">
        <v>205</v>
      </c>
      <c r="I342" s="2768" t="s">
        <v>205</v>
      </c>
      <c r="J342" s="3651" t="s">
        <v>205</v>
      </c>
    </row>
    <row r="343" spans="2:10" ht="18" hidden="1" customHeight="1" outlineLevel="2" x14ac:dyDescent="0.2">
      <c r="B343" s="2849"/>
      <c r="C343" s="2850" t="s">
        <v>205</v>
      </c>
      <c r="D343" s="3647" t="s">
        <v>205</v>
      </c>
      <c r="E343" s="2770" t="s">
        <v>205</v>
      </c>
      <c r="F343" s="2768" t="s">
        <v>205</v>
      </c>
      <c r="G343" s="3653" t="s">
        <v>205</v>
      </c>
      <c r="H343" s="2795" t="s">
        <v>205</v>
      </c>
      <c r="I343" s="2773" t="s">
        <v>205</v>
      </c>
      <c r="J343" s="3662" t="s">
        <v>205</v>
      </c>
    </row>
    <row r="344" spans="2:10" ht="18" hidden="1" customHeight="1" outlineLevel="2" collapsed="1" x14ac:dyDescent="0.2">
      <c r="B344" s="2857" t="s">
        <v>1558</v>
      </c>
      <c r="C344" s="2843"/>
      <c r="D344" s="3649"/>
      <c r="E344" s="2824"/>
      <c r="F344" s="2825"/>
      <c r="G344" s="3656"/>
      <c r="H344" s="2834" t="s">
        <v>199</v>
      </c>
      <c r="I344" s="2830" t="s">
        <v>199</v>
      </c>
      <c r="J344" s="3659" t="s">
        <v>199</v>
      </c>
    </row>
    <row r="345" spans="2:10" ht="18" hidden="1" customHeight="1" outlineLevel="3" x14ac:dyDescent="0.2">
      <c r="B345" s="2845" t="s">
        <v>1519</v>
      </c>
      <c r="C345" s="2856"/>
      <c r="D345" s="3645" t="s">
        <v>199</v>
      </c>
      <c r="E345" s="2791" t="s">
        <v>205</v>
      </c>
      <c r="F345" s="2792" t="s">
        <v>205</v>
      </c>
      <c r="G345" s="3655" t="s">
        <v>205</v>
      </c>
      <c r="H345" s="2793" t="s">
        <v>199</v>
      </c>
      <c r="I345" s="2792" t="s">
        <v>199</v>
      </c>
      <c r="J345" s="3652" t="s">
        <v>199</v>
      </c>
    </row>
    <row r="346" spans="2:10" ht="18" hidden="1" customHeight="1" outlineLevel="3" x14ac:dyDescent="0.2">
      <c r="B346" s="2844" t="s">
        <v>271</v>
      </c>
      <c r="C346" s="2848"/>
      <c r="D346" s="3646"/>
      <c r="E346" s="2781"/>
      <c r="F346" s="2781"/>
      <c r="G346" s="3654"/>
      <c r="H346" s="2781"/>
      <c r="I346" s="2781"/>
      <c r="J346" s="3667"/>
    </row>
    <row r="347" spans="2:10" ht="18" hidden="1" customHeight="1" outlineLevel="3" x14ac:dyDescent="0.2">
      <c r="B347" s="2845" t="s">
        <v>1520</v>
      </c>
      <c r="C347" s="2850" t="s">
        <v>409</v>
      </c>
      <c r="D347" s="3647" t="s">
        <v>199</v>
      </c>
      <c r="E347" s="2770" t="s">
        <v>205</v>
      </c>
      <c r="F347" s="2792" t="s">
        <v>205</v>
      </c>
      <c r="G347" s="3655" t="s">
        <v>205</v>
      </c>
      <c r="H347" s="2795" t="s">
        <v>199</v>
      </c>
      <c r="I347" s="2796" t="s">
        <v>199</v>
      </c>
      <c r="J347" s="3644" t="s">
        <v>199</v>
      </c>
    </row>
    <row r="348" spans="2:10" ht="18" hidden="1" customHeight="1" outlineLevel="3" x14ac:dyDescent="0.2">
      <c r="B348" s="2845" t="s">
        <v>1521</v>
      </c>
      <c r="C348" s="2850" t="s">
        <v>409</v>
      </c>
      <c r="D348" s="3647" t="s">
        <v>199</v>
      </c>
      <c r="E348" s="2770" t="s">
        <v>205</v>
      </c>
      <c r="F348" s="2792" t="s">
        <v>205</v>
      </c>
      <c r="G348" s="3655" t="s">
        <v>205</v>
      </c>
      <c r="H348" s="2795" t="s">
        <v>199</v>
      </c>
      <c r="I348" s="2796" t="s">
        <v>199</v>
      </c>
      <c r="J348" s="3644" t="s">
        <v>199</v>
      </c>
    </row>
    <row r="349" spans="2:10" ht="18" hidden="1" customHeight="1" outlineLevel="3" x14ac:dyDescent="0.2">
      <c r="B349" s="2845" t="s">
        <v>1522</v>
      </c>
      <c r="C349" s="2848"/>
      <c r="D349" s="3648" t="s">
        <v>205</v>
      </c>
      <c r="E349" s="2770" t="s">
        <v>205</v>
      </c>
      <c r="F349" s="2768" t="s">
        <v>205</v>
      </c>
      <c r="G349" s="3653" t="s">
        <v>205</v>
      </c>
      <c r="H349" s="2771" t="s">
        <v>205</v>
      </c>
      <c r="I349" s="2768" t="s">
        <v>205</v>
      </c>
      <c r="J349" s="3651" t="s">
        <v>205</v>
      </c>
    </row>
    <row r="350" spans="2:10" ht="18" hidden="1" customHeight="1" outlineLevel="3" x14ac:dyDescent="0.2">
      <c r="B350" s="2849"/>
      <c r="C350" s="2850" t="s">
        <v>205</v>
      </c>
      <c r="D350" s="3647" t="s">
        <v>205</v>
      </c>
      <c r="E350" s="2770" t="s">
        <v>205</v>
      </c>
      <c r="F350" s="2768" t="s">
        <v>205</v>
      </c>
      <c r="G350" s="3653" t="s">
        <v>205</v>
      </c>
      <c r="H350" s="2795" t="s">
        <v>205</v>
      </c>
      <c r="I350" s="2773" t="s">
        <v>205</v>
      </c>
      <c r="J350" s="3662" t="s">
        <v>205</v>
      </c>
    </row>
    <row r="351" spans="2:10" ht="18" hidden="1" customHeight="1" outlineLevel="3" x14ac:dyDescent="0.2">
      <c r="B351" s="2845" t="s">
        <v>1523</v>
      </c>
      <c r="C351" s="2856"/>
      <c r="D351" s="3645" t="s">
        <v>199</v>
      </c>
      <c r="E351" s="2791" t="s">
        <v>205</v>
      </c>
      <c r="F351" s="2792" t="s">
        <v>205</v>
      </c>
      <c r="G351" s="3655" t="s">
        <v>205</v>
      </c>
      <c r="H351" s="2793" t="s">
        <v>199</v>
      </c>
      <c r="I351" s="2792" t="s">
        <v>199</v>
      </c>
      <c r="J351" s="3652" t="s">
        <v>199</v>
      </c>
    </row>
    <row r="352" spans="2:10" ht="18" hidden="1" customHeight="1" outlineLevel="3" x14ac:dyDescent="0.2">
      <c r="B352" s="2844" t="s">
        <v>271</v>
      </c>
      <c r="C352" s="2848"/>
      <c r="D352" s="3646"/>
      <c r="E352" s="2781"/>
      <c r="F352" s="2781"/>
      <c r="G352" s="3654"/>
      <c r="H352" s="2781"/>
      <c r="I352" s="2781"/>
      <c r="J352" s="3667"/>
    </row>
    <row r="353" spans="2:10" ht="18" hidden="1" customHeight="1" outlineLevel="3" x14ac:dyDescent="0.2">
      <c r="B353" s="2845" t="s">
        <v>1524</v>
      </c>
      <c r="C353" s="2850" t="s">
        <v>409</v>
      </c>
      <c r="D353" s="3647" t="s">
        <v>199</v>
      </c>
      <c r="E353" s="2770" t="s">
        <v>205</v>
      </c>
      <c r="F353" s="2792" t="s">
        <v>205</v>
      </c>
      <c r="G353" s="3655" t="s">
        <v>205</v>
      </c>
      <c r="H353" s="2795" t="s">
        <v>199</v>
      </c>
      <c r="I353" s="2796" t="s">
        <v>199</v>
      </c>
      <c r="J353" s="3644" t="s">
        <v>199</v>
      </c>
    </row>
    <row r="354" spans="2:10" ht="18" hidden="1" customHeight="1" outlineLevel="3" x14ac:dyDescent="0.2">
      <c r="B354" s="2845" t="s">
        <v>1525</v>
      </c>
      <c r="C354" s="2848"/>
      <c r="D354" s="3648" t="s">
        <v>205</v>
      </c>
      <c r="E354" s="2770" t="s">
        <v>205</v>
      </c>
      <c r="F354" s="2768" t="s">
        <v>205</v>
      </c>
      <c r="G354" s="3653" t="s">
        <v>205</v>
      </c>
      <c r="H354" s="2771" t="s">
        <v>205</v>
      </c>
      <c r="I354" s="2768" t="s">
        <v>205</v>
      </c>
      <c r="J354" s="3651" t="s">
        <v>205</v>
      </c>
    </row>
    <row r="355" spans="2:10" ht="18" hidden="1" customHeight="1" outlineLevel="3" x14ac:dyDescent="0.2">
      <c r="B355" s="2849"/>
      <c r="C355" s="2850" t="s">
        <v>205</v>
      </c>
      <c r="D355" s="3647" t="s">
        <v>205</v>
      </c>
      <c r="E355" s="2770" t="s">
        <v>205</v>
      </c>
      <c r="F355" s="2768" t="s">
        <v>205</v>
      </c>
      <c r="G355" s="3653" t="s">
        <v>205</v>
      </c>
      <c r="H355" s="2795" t="s">
        <v>205</v>
      </c>
      <c r="I355" s="2773" t="s">
        <v>205</v>
      </c>
      <c r="J355" s="3662" t="s">
        <v>205</v>
      </c>
    </row>
    <row r="356" spans="2:10" ht="18" hidden="1" customHeight="1" outlineLevel="2" collapsed="1" x14ac:dyDescent="0.2">
      <c r="B356" s="2857" t="s">
        <v>1559</v>
      </c>
      <c r="C356" s="2843"/>
      <c r="D356" s="3649"/>
      <c r="E356" s="2824"/>
      <c r="F356" s="2825"/>
      <c r="G356" s="3656"/>
      <c r="H356" s="2834" t="s">
        <v>199</v>
      </c>
      <c r="I356" s="2830" t="s">
        <v>199</v>
      </c>
      <c r="J356" s="3659" t="s">
        <v>199</v>
      </c>
    </row>
    <row r="357" spans="2:10" ht="18" hidden="1" customHeight="1" outlineLevel="3" x14ac:dyDescent="0.2">
      <c r="B357" s="2845" t="s">
        <v>1519</v>
      </c>
      <c r="C357" s="2856"/>
      <c r="D357" s="3645" t="s">
        <v>199</v>
      </c>
      <c r="E357" s="2791" t="s">
        <v>205</v>
      </c>
      <c r="F357" s="2792" t="s">
        <v>205</v>
      </c>
      <c r="G357" s="3655" t="s">
        <v>205</v>
      </c>
      <c r="H357" s="2793" t="s">
        <v>199</v>
      </c>
      <c r="I357" s="2792" t="s">
        <v>199</v>
      </c>
      <c r="J357" s="3652" t="s">
        <v>199</v>
      </c>
    </row>
    <row r="358" spans="2:10" ht="18" hidden="1" customHeight="1" outlineLevel="3" x14ac:dyDescent="0.2">
      <c r="B358" s="2844" t="s">
        <v>271</v>
      </c>
      <c r="C358" s="2848"/>
      <c r="D358" s="3646"/>
      <c r="E358" s="2781"/>
      <c r="F358" s="2781"/>
      <c r="G358" s="3654"/>
      <c r="H358" s="2781"/>
      <c r="I358" s="2781"/>
      <c r="J358" s="3667"/>
    </row>
    <row r="359" spans="2:10" ht="18" hidden="1" customHeight="1" outlineLevel="3" x14ac:dyDescent="0.2">
      <c r="B359" s="2845" t="s">
        <v>1520</v>
      </c>
      <c r="C359" s="2850" t="s">
        <v>409</v>
      </c>
      <c r="D359" s="3647" t="s">
        <v>199</v>
      </c>
      <c r="E359" s="2770" t="s">
        <v>205</v>
      </c>
      <c r="F359" s="2792" t="s">
        <v>205</v>
      </c>
      <c r="G359" s="3655" t="s">
        <v>205</v>
      </c>
      <c r="H359" s="2795" t="s">
        <v>199</v>
      </c>
      <c r="I359" s="2796" t="s">
        <v>199</v>
      </c>
      <c r="J359" s="3644" t="s">
        <v>199</v>
      </c>
    </row>
    <row r="360" spans="2:10" ht="18" hidden="1" customHeight="1" outlineLevel="3" x14ac:dyDescent="0.2">
      <c r="B360" s="2845" t="s">
        <v>1521</v>
      </c>
      <c r="C360" s="2850" t="s">
        <v>409</v>
      </c>
      <c r="D360" s="3647" t="s">
        <v>199</v>
      </c>
      <c r="E360" s="2770" t="s">
        <v>205</v>
      </c>
      <c r="F360" s="2792" t="s">
        <v>205</v>
      </c>
      <c r="G360" s="3655" t="s">
        <v>205</v>
      </c>
      <c r="H360" s="2795" t="s">
        <v>199</v>
      </c>
      <c r="I360" s="2796" t="s">
        <v>199</v>
      </c>
      <c r="J360" s="3644" t="s">
        <v>199</v>
      </c>
    </row>
    <row r="361" spans="2:10" ht="18" hidden="1" customHeight="1" outlineLevel="3" x14ac:dyDescent="0.2">
      <c r="B361" s="2845" t="s">
        <v>1522</v>
      </c>
      <c r="C361" s="2848"/>
      <c r="D361" s="3648" t="s">
        <v>205</v>
      </c>
      <c r="E361" s="2770" t="s">
        <v>205</v>
      </c>
      <c r="F361" s="2768" t="s">
        <v>205</v>
      </c>
      <c r="G361" s="3653" t="s">
        <v>205</v>
      </c>
      <c r="H361" s="2771" t="s">
        <v>205</v>
      </c>
      <c r="I361" s="2768" t="s">
        <v>205</v>
      </c>
      <c r="J361" s="3651" t="s">
        <v>205</v>
      </c>
    </row>
    <row r="362" spans="2:10" ht="18" hidden="1" customHeight="1" outlineLevel="3" x14ac:dyDescent="0.2">
      <c r="B362" s="2849" t="s">
        <v>205</v>
      </c>
      <c r="C362" s="2850" t="s">
        <v>205</v>
      </c>
      <c r="D362" s="3647" t="s">
        <v>205</v>
      </c>
      <c r="E362" s="2770" t="s">
        <v>205</v>
      </c>
      <c r="F362" s="2768" t="s">
        <v>205</v>
      </c>
      <c r="G362" s="3653" t="s">
        <v>205</v>
      </c>
      <c r="H362" s="2795" t="s">
        <v>205</v>
      </c>
      <c r="I362" s="2773" t="s">
        <v>205</v>
      </c>
      <c r="J362" s="3662" t="s">
        <v>205</v>
      </c>
    </row>
    <row r="363" spans="2:10" ht="18" hidden="1" customHeight="1" outlineLevel="3" x14ac:dyDescent="0.2">
      <c r="B363" s="2845" t="s">
        <v>1523</v>
      </c>
      <c r="C363" s="2856"/>
      <c r="D363" s="3645" t="s">
        <v>199</v>
      </c>
      <c r="E363" s="2791" t="s">
        <v>205</v>
      </c>
      <c r="F363" s="2792" t="s">
        <v>205</v>
      </c>
      <c r="G363" s="3655" t="s">
        <v>205</v>
      </c>
      <c r="H363" s="2793" t="s">
        <v>199</v>
      </c>
      <c r="I363" s="2792" t="s">
        <v>199</v>
      </c>
      <c r="J363" s="3652" t="s">
        <v>199</v>
      </c>
    </row>
    <row r="364" spans="2:10" ht="18" hidden="1" customHeight="1" outlineLevel="3" x14ac:dyDescent="0.2">
      <c r="B364" s="2844" t="s">
        <v>271</v>
      </c>
      <c r="C364" s="2848"/>
      <c r="D364" s="3646"/>
      <c r="E364" s="2781"/>
      <c r="F364" s="2781"/>
      <c r="G364" s="3654"/>
      <c r="H364" s="2781"/>
      <c r="I364" s="2781"/>
      <c r="J364" s="3667"/>
    </row>
    <row r="365" spans="2:10" ht="18" hidden="1" customHeight="1" outlineLevel="3" x14ac:dyDescent="0.2">
      <c r="B365" s="2845" t="s">
        <v>1524</v>
      </c>
      <c r="C365" s="2850" t="s">
        <v>409</v>
      </c>
      <c r="D365" s="3647" t="s">
        <v>199</v>
      </c>
      <c r="E365" s="2770" t="s">
        <v>205</v>
      </c>
      <c r="F365" s="2792" t="s">
        <v>205</v>
      </c>
      <c r="G365" s="3655" t="s">
        <v>205</v>
      </c>
      <c r="H365" s="2795" t="s">
        <v>199</v>
      </c>
      <c r="I365" s="2796" t="s">
        <v>199</v>
      </c>
      <c r="J365" s="3644" t="s">
        <v>199</v>
      </c>
    </row>
    <row r="366" spans="2:10" ht="18" hidden="1" customHeight="1" outlineLevel="3" x14ac:dyDescent="0.2">
      <c r="B366" s="2845" t="s">
        <v>1525</v>
      </c>
      <c r="C366" s="2848"/>
      <c r="D366" s="3648" t="s">
        <v>205</v>
      </c>
      <c r="E366" s="2770" t="s">
        <v>205</v>
      </c>
      <c r="F366" s="2768" t="s">
        <v>205</v>
      </c>
      <c r="G366" s="3653" t="s">
        <v>205</v>
      </c>
      <c r="H366" s="2771" t="s">
        <v>205</v>
      </c>
      <c r="I366" s="2768" t="s">
        <v>205</v>
      </c>
      <c r="J366" s="3651" t="s">
        <v>205</v>
      </c>
    </row>
    <row r="367" spans="2:10" ht="18" hidden="1" customHeight="1" outlineLevel="3" x14ac:dyDescent="0.2">
      <c r="B367" s="2849" t="s">
        <v>205</v>
      </c>
      <c r="C367" s="2850" t="s">
        <v>205</v>
      </c>
      <c r="D367" s="3647" t="s">
        <v>205</v>
      </c>
      <c r="E367" s="2770" t="s">
        <v>205</v>
      </c>
      <c r="F367" s="2768" t="s">
        <v>205</v>
      </c>
      <c r="G367" s="3653" t="s">
        <v>205</v>
      </c>
      <c r="H367" s="2795" t="s">
        <v>205</v>
      </c>
      <c r="I367" s="2773" t="s">
        <v>205</v>
      </c>
      <c r="J367" s="3662" t="s">
        <v>205</v>
      </c>
    </row>
    <row r="368" spans="2:10" ht="18" hidden="1" customHeight="1" outlineLevel="2" collapsed="1" x14ac:dyDescent="0.2">
      <c r="B368" s="2857" t="s">
        <v>1560</v>
      </c>
      <c r="C368" s="2843"/>
      <c r="D368" s="3649"/>
      <c r="E368" s="2824"/>
      <c r="F368" s="2825"/>
      <c r="G368" s="3656"/>
      <c r="H368" s="2834" t="s">
        <v>199</v>
      </c>
      <c r="I368" s="2830" t="s">
        <v>199</v>
      </c>
      <c r="J368" s="3659" t="s">
        <v>199</v>
      </c>
    </row>
    <row r="369" spans="2:10" ht="18" hidden="1" customHeight="1" outlineLevel="3" x14ac:dyDescent="0.2">
      <c r="B369" s="2845" t="s">
        <v>1519</v>
      </c>
      <c r="C369" s="2856"/>
      <c r="D369" s="3645" t="s">
        <v>199</v>
      </c>
      <c r="E369" s="2791" t="s">
        <v>205</v>
      </c>
      <c r="F369" s="2792" t="s">
        <v>205</v>
      </c>
      <c r="G369" s="3655" t="s">
        <v>205</v>
      </c>
      <c r="H369" s="2793" t="s">
        <v>199</v>
      </c>
      <c r="I369" s="2792" t="s">
        <v>199</v>
      </c>
      <c r="J369" s="3652" t="s">
        <v>199</v>
      </c>
    </row>
    <row r="370" spans="2:10" ht="18" hidden="1" customHeight="1" outlineLevel="3" x14ac:dyDescent="0.2">
      <c r="B370" s="2844" t="s">
        <v>271</v>
      </c>
      <c r="C370" s="2848"/>
      <c r="D370" s="3646"/>
      <c r="E370" s="2781"/>
      <c r="F370" s="2781"/>
      <c r="G370" s="3654"/>
      <c r="H370" s="2781"/>
      <c r="I370" s="2781"/>
      <c r="J370" s="3667"/>
    </row>
    <row r="371" spans="2:10" ht="18" hidden="1" customHeight="1" outlineLevel="3" x14ac:dyDescent="0.2">
      <c r="B371" s="2845" t="s">
        <v>1520</v>
      </c>
      <c r="C371" s="2850" t="s">
        <v>409</v>
      </c>
      <c r="D371" s="3647" t="s">
        <v>199</v>
      </c>
      <c r="E371" s="2770" t="s">
        <v>205</v>
      </c>
      <c r="F371" s="2792" t="s">
        <v>205</v>
      </c>
      <c r="G371" s="3655" t="s">
        <v>205</v>
      </c>
      <c r="H371" s="2795" t="s">
        <v>199</v>
      </c>
      <c r="I371" s="2796" t="s">
        <v>199</v>
      </c>
      <c r="J371" s="3644" t="s">
        <v>199</v>
      </c>
    </row>
    <row r="372" spans="2:10" ht="18" hidden="1" customHeight="1" outlineLevel="3" x14ac:dyDescent="0.2">
      <c r="B372" s="2845" t="s">
        <v>1521</v>
      </c>
      <c r="C372" s="2850" t="s">
        <v>409</v>
      </c>
      <c r="D372" s="3647" t="s">
        <v>199</v>
      </c>
      <c r="E372" s="2770" t="s">
        <v>205</v>
      </c>
      <c r="F372" s="2792" t="s">
        <v>205</v>
      </c>
      <c r="G372" s="3655" t="s">
        <v>205</v>
      </c>
      <c r="H372" s="2795" t="s">
        <v>199</v>
      </c>
      <c r="I372" s="2796" t="s">
        <v>199</v>
      </c>
      <c r="J372" s="3644" t="s">
        <v>199</v>
      </c>
    </row>
    <row r="373" spans="2:10" ht="18" hidden="1" customHeight="1" outlineLevel="3" x14ac:dyDescent="0.2">
      <c r="B373" s="2845" t="s">
        <v>1522</v>
      </c>
      <c r="C373" s="2848"/>
      <c r="D373" s="3648" t="s">
        <v>205</v>
      </c>
      <c r="E373" s="2770" t="s">
        <v>205</v>
      </c>
      <c r="F373" s="2768" t="s">
        <v>205</v>
      </c>
      <c r="G373" s="3653" t="s">
        <v>205</v>
      </c>
      <c r="H373" s="2771" t="s">
        <v>205</v>
      </c>
      <c r="I373" s="2768" t="s">
        <v>205</v>
      </c>
      <c r="J373" s="3651" t="s">
        <v>205</v>
      </c>
    </row>
    <row r="374" spans="2:10" ht="18" hidden="1" customHeight="1" outlineLevel="3" x14ac:dyDescent="0.2">
      <c r="B374" s="2849" t="s">
        <v>205</v>
      </c>
      <c r="C374" s="2850" t="s">
        <v>205</v>
      </c>
      <c r="D374" s="3647" t="s">
        <v>205</v>
      </c>
      <c r="E374" s="2770" t="s">
        <v>205</v>
      </c>
      <c r="F374" s="2768" t="s">
        <v>205</v>
      </c>
      <c r="G374" s="3653" t="s">
        <v>205</v>
      </c>
      <c r="H374" s="2795" t="s">
        <v>205</v>
      </c>
      <c r="I374" s="2773" t="s">
        <v>205</v>
      </c>
      <c r="J374" s="3662" t="s">
        <v>205</v>
      </c>
    </row>
    <row r="375" spans="2:10" ht="18" hidden="1" customHeight="1" outlineLevel="3" x14ac:dyDescent="0.2">
      <c r="B375" s="2845" t="s">
        <v>1523</v>
      </c>
      <c r="C375" s="2856"/>
      <c r="D375" s="3645" t="s">
        <v>199</v>
      </c>
      <c r="E375" s="2791" t="s">
        <v>205</v>
      </c>
      <c r="F375" s="2792" t="s">
        <v>205</v>
      </c>
      <c r="G375" s="3655" t="s">
        <v>205</v>
      </c>
      <c r="H375" s="2793" t="s">
        <v>199</v>
      </c>
      <c r="I375" s="2792" t="s">
        <v>199</v>
      </c>
      <c r="J375" s="3652" t="s">
        <v>199</v>
      </c>
    </row>
    <row r="376" spans="2:10" ht="18" hidden="1" customHeight="1" outlineLevel="3" x14ac:dyDescent="0.2">
      <c r="B376" s="2844" t="s">
        <v>271</v>
      </c>
      <c r="C376" s="2848"/>
      <c r="D376" s="3646"/>
      <c r="E376" s="2781"/>
      <c r="F376" s="2781"/>
      <c r="G376" s="3654"/>
      <c r="H376" s="2781"/>
      <c r="I376" s="2781"/>
      <c r="J376" s="3667"/>
    </row>
    <row r="377" spans="2:10" ht="18" hidden="1" customHeight="1" outlineLevel="3" x14ac:dyDescent="0.2">
      <c r="B377" s="2845" t="s">
        <v>1524</v>
      </c>
      <c r="C377" s="2850" t="s">
        <v>409</v>
      </c>
      <c r="D377" s="3647" t="s">
        <v>199</v>
      </c>
      <c r="E377" s="2770" t="s">
        <v>205</v>
      </c>
      <c r="F377" s="2792" t="s">
        <v>205</v>
      </c>
      <c r="G377" s="3655" t="s">
        <v>205</v>
      </c>
      <c r="H377" s="2795" t="s">
        <v>199</v>
      </c>
      <c r="I377" s="2796" t="s">
        <v>199</v>
      </c>
      <c r="J377" s="3644" t="s">
        <v>199</v>
      </c>
    </row>
    <row r="378" spans="2:10" ht="18" hidden="1" customHeight="1" outlineLevel="3" x14ac:dyDescent="0.2">
      <c r="B378" s="2845" t="s">
        <v>1525</v>
      </c>
      <c r="C378" s="2848"/>
      <c r="D378" s="3648" t="s">
        <v>205</v>
      </c>
      <c r="E378" s="2770" t="s">
        <v>205</v>
      </c>
      <c r="F378" s="2768" t="s">
        <v>205</v>
      </c>
      <c r="G378" s="3653" t="s">
        <v>205</v>
      </c>
      <c r="H378" s="2771" t="s">
        <v>205</v>
      </c>
      <c r="I378" s="2768" t="s">
        <v>205</v>
      </c>
      <c r="J378" s="3651" t="s">
        <v>205</v>
      </c>
    </row>
    <row r="379" spans="2:10" ht="18" hidden="1" customHeight="1" outlineLevel="3" x14ac:dyDescent="0.2">
      <c r="B379" s="2849" t="s">
        <v>205</v>
      </c>
      <c r="C379" s="2850" t="s">
        <v>205</v>
      </c>
      <c r="D379" s="3647" t="s">
        <v>205</v>
      </c>
      <c r="E379" s="2770" t="s">
        <v>205</v>
      </c>
      <c r="F379" s="2768" t="s">
        <v>205</v>
      </c>
      <c r="G379" s="3653" t="s">
        <v>205</v>
      </c>
      <c r="H379" s="2795" t="s">
        <v>205</v>
      </c>
      <c r="I379" s="2773" t="s">
        <v>205</v>
      </c>
      <c r="J379" s="3662" t="s">
        <v>205</v>
      </c>
    </row>
    <row r="380" spans="2:10" ht="18" hidden="1" customHeight="1" outlineLevel="2" collapsed="1" x14ac:dyDescent="0.2">
      <c r="B380" s="2857" t="s">
        <v>1561</v>
      </c>
      <c r="C380" s="2843"/>
      <c r="D380" s="3649"/>
      <c r="E380" s="2824"/>
      <c r="F380" s="2825"/>
      <c r="G380" s="3656"/>
      <c r="H380" s="2834" t="s">
        <v>199</v>
      </c>
      <c r="I380" s="2830" t="s">
        <v>199</v>
      </c>
      <c r="J380" s="3659" t="s">
        <v>199</v>
      </c>
    </row>
    <row r="381" spans="2:10" ht="18" hidden="1" customHeight="1" outlineLevel="3" x14ac:dyDescent="0.2">
      <c r="B381" s="2845" t="s">
        <v>1519</v>
      </c>
      <c r="C381" s="2856"/>
      <c r="D381" s="3645" t="s">
        <v>199</v>
      </c>
      <c r="E381" s="2791" t="s">
        <v>205</v>
      </c>
      <c r="F381" s="2792" t="s">
        <v>205</v>
      </c>
      <c r="G381" s="3655" t="s">
        <v>205</v>
      </c>
      <c r="H381" s="2793" t="s">
        <v>199</v>
      </c>
      <c r="I381" s="2792" t="s">
        <v>199</v>
      </c>
      <c r="J381" s="3652" t="s">
        <v>199</v>
      </c>
    </row>
    <row r="382" spans="2:10" ht="18" hidden="1" customHeight="1" outlineLevel="3" x14ac:dyDescent="0.2">
      <c r="B382" s="2844" t="s">
        <v>271</v>
      </c>
      <c r="C382" s="2848"/>
      <c r="D382" s="3646"/>
      <c r="E382" s="2781"/>
      <c r="F382" s="2781"/>
      <c r="G382" s="3654"/>
      <c r="H382" s="2781"/>
      <c r="I382" s="2781"/>
      <c r="J382" s="3667"/>
    </row>
    <row r="383" spans="2:10" ht="18" hidden="1" customHeight="1" outlineLevel="3" x14ac:dyDescent="0.2">
      <c r="B383" s="2845" t="s">
        <v>1520</v>
      </c>
      <c r="C383" s="2850" t="s">
        <v>409</v>
      </c>
      <c r="D383" s="3647" t="s">
        <v>199</v>
      </c>
      <c r="E383" s="2770" t="s">
        <v>205</v>
      </c>
      <c r="F383" s="2792" t="s">
        <v>205</v>
      </c>
      <c r="G383" s="3655" t="s">
        <v>205</v>
      </c>
      <c r="H383" s="2795" t="s">
        <v>199</v>
      </c>
      <c r="I383" s="2796" t="s">
        <v>199</v>
      </c>
      <c r="J383" s="3644" t="s">
        <v>199</v>
      </c>
    </row>
    <row r="384" spans="2:10" ht="18" hidden="1" customHeight="1" outlineLevel="3" x14ac:dyDescent="0.2">
      <c r="B384" s="2845" t="s">
        <v>1521</v>
      </c>
      <c r="C384" s="2850" t="s">
        <v>409</v>
      </c>
      <c r="D384" s="3647" t="s">
        <v>199</v>
      </c>
      <c r="E384" s="2770" t="s">
        <v>205</v>
      </c>
      <c r="F384" s="2792" t="s">
        <v>205</v>
      </c>
      <c r="G384" s="3655" t="s">
        <v>205</v>
      </c>
      <c r="H384" s="2795" t="s">
        <v>199</v>
      </c>
      <c r="I384" s="2796" t="s">
        <v>199</v>
      </c>
      <c r="J384" s="3644" t="s">
        <v>199</v>
      </c>
    </row>
    <row r="385" spans="2:10" ht="18" hidden="1" customHeight="1" outlineLevel="3" x14ac:dyDescent="0.2">
      <c r="B385" s="2845" t="s">
        <v>1522</v>
      </c>
      <c r="C385" s="2848"/>
      <c r="D385" s="3648" t="s">
        <v>205</v>
      </c>
      <c r="E385" s="2770" t="s">
        <v>205</v>
      </c>
      <c r="F385" s="2768" t="s">
        <v>205</v>
      </c>
      <c r="G385" s="3653" t="s">
        <v>205</v>
      </c>
      <c r="H385" s="2771" t="s">
        <v>205</v>
      </c>
      <c r="I385" s="2768" t="s">
        <v>205</v>
      </c>
      <c r="J385" s="3651" t="s">
        <v>205</v>
      </c>
    </row>
    <row r="386" spans="2:10" ht="18" hidden="1" customHeight="1" outlineLevel="3" x14ac:dyDescent="0.2">
      <c r="B386" s="2849" t="s">
        <v>205</v>
      </c>
      <c r="C386" s="2850" t="s">
        <v>205</v>
      </c>
      <c r="D386" s="3647" t="s">
        <v>205</v>
      </c>
      <c r="E386" s="2770" t="s">
        <v>205</v>
      </c>
      <c r="F386" s="2768" t="s">
        <v>205</v>
      </c>
      <c r="G386" s="3653" t="s">
        <v>205</v>
      </c>
      <c r="H386" s="2795" t="s">
        <v>205</v>
      </c>
      <c r="I386" s="2773" t="s">
        <v>205</v>
      </c>
      <c r="J386" s="3662" t="s">
        <v>205</v>
      </c>
    </row>
    <row r="387" spans="2:10" ht="18" hidden="1" customHeight="1" outlineLevel="3" x14ac:dyDescent="0.2">
      <c r="B387" s="2845" t="s">
        <v>1523</v>
      </c>
      <c r="C387" s="2856"/>
      <c r="D387" s="3645" t="s">
        <v>199</v>
      </c>
      <c r="E387" s="2791" t="s">
        <v>205</v>
      </c>
      <c r="F387" s="2792" t="s">
        <v>205</v>
      </c>
      <c r="G387" s="3655" t="s">
        <v>205</v>
      </c>
      <c r="H387" s="2793" t="s">
        <v>199</v>
      </c>
      <c r="I387" s="2792" t="s">
        <v>199</v>
      </c>
      <c r="J387" s="3652" t="s">
        <v>199</v>
      </c>
    </row>
    <row r="388" spans="2:10" ht="18" hidden="1" customHeight="1" outlineLevel="3" x14ac:dyDescent="0.2">
      <c r="B388" s="2844" t="s">
        <v>271</v>
      </c>
      <c r="C388" s="2848"/>
      <c r="D388" s="3646"/>
      <c r="E388" s="2781"/>
      <c r="F388" s="2781"/>
      <c r="G388" s="3654"/>
      <c r="H388" s="2781"/>
      <c r="I388" s="2781"/>
      <c r="J388" s="3667"/>
    </row>
    <row r="389" spans="2:10" ht="18" hidden="1" customHeight="1" outlineLevel="3" x14ac:dyDescent="0.2">
      <c r="B389" s="2845" t="s">
        <v>1524</v>
      </c>
      <c r="C389" s="2850" t="s">
        <v>409</v>
      </c>
      <c r="D389" s="3647" t="s">
        <v>199</v>
      </c>
      <c r="E389" s="2770" t="s">
        <v>205</v>
      </c>
      <c r="F389" s="2792" t="s">
        <v>205</v>
      </c>
      <c r="G389" s="3655" t="s">
        <v>205</v>
      </c>
      <c r="H389" s="2795" t="s">
        <v>199</v>
      </c>
      <c r="I389" s="2796" t="s">
        <v>199</v>
      </c>
      <c r="J389" s="3644" t="s">
        <v>199</v>
      </c>
    </row>
    <row r="390" spans="2:10" ht="18" hidden="1" customHeight="1" outlineLevel="3" x14ac:dyDescent="0.2">
      <c r="B390" s="2845" t="s">
        <v>1525</v>
      </c>
      <c r="C390" s="2848"/>
      <c r="D390" s="3648" t="s">
        <v>205</v>
      </c>
      <c r="E390" s="2770" t="s">
        <v>205</v>
      </c>
      <c r="F390" s="2768" t="s">
        <v>205</v>
      </c>
      <c r="G390" s="3653" t="s">
        <v>205</v>
      </c>
      <c r="H390" s="2771" t="s">
        <v>205</v>
      </c>
      <c r="I390" s="2768" t="s">
        <v>205</v>
      </c>
      <c r="J390" s="3651" t="s">
        <v>205</v>
      </c>
    </row>
    <row r="391" spans="2:10" ht="18" hidden="1" customHeight="1" outlineLevel="3" x14ac:dyDescent="0.2">
      <c r="B391" s="2849" t="s">
        <v>205</v>
      </c>
      <c r="C391" s="2850" t="s">
        <v>205</v>
      </c>
      <c r="D391" s="3647" t="s">
        <v>205</v>
      </c>
      <c r="E391" s="2770" t="s">
        <v>205</v>
      </c>
      <c r="F391" s="2768" t="s">
        <v>205</v>
      </c>
      <c r="G391" s="3653" t="s">
        <v>205</v>
      </c>
      <c r="H391" s="2795" t="s">
        <v>205</v>
      </c>
      <c r="I391" s="2773" t="s">
        <v>205</v>
      </c>
      <c r="J391" s="3662" t="s">
        <v>205</v>
      </c>
    </row>
    <row r="392" spans="2:10" ht="18" hidden="1" customHeight="1" outlineLevel="2" collapsed="1" x14ac:dyDescent="0.2">
      <c r="B392" s="2857" t="s">
        <v>1562</v>
      </c>
      <c r="C392" s="2843"/>
      <c r="D392" s="3649"/>
      <c r="E392" s="2824"/>
      <c r="F392" s="2825"/>
      <c r="G392" s="3656"/>
      <c r="H392" s="2834" t="s">
        <v>199</v>
      </c>
      <c r="I392" s="2830" t="s">
        <v>199</v>
      </c>
      <c r="J392" s="3659" t="s">
        <v>199</v>
      </c>
    </row>
    <row r="393" spans="2:10" ht="18" hidden="1" customHeight="1" outlineLevel="3" x14ac:dyDescent="0.2">
      <c r="B393" s="2845" t="s">
        <v>1519</v>
      </c>
      <c r="C393" s="2856"/>
      <c r="D393" s="3645" t="s">
        <v>199</v>
      </c>
      <c r="E393" s="2791" t="s">
        <v>205</v>
      </c>
      <c r="F393" s="2792" t="s">
        <v>205</v>
      </c>
      <c r="G393" s="3655" t="s">
        <v>205</v>
      </c>
      <c r="H393" s="2793" t="s">
        <v>199</v>
      </c>
      <c r="I393" s="2792" t="s">
        <v>199</v>
      </c>
      <c r="J393" s="3652" t="s">
        <v>199</v>
      </c>
    </row>
    <row r="394" spans="2:10" ht="18" hidden="1" customHeight="1" outlineLevel="3" x14ac:dyDescent="0.2">
      <c r="B394" s="2844" t="s">
        <v>271</v>
      </c>
      <c r="C394" s="2848"/>
      <c r="D394" s="3646"/>
      <c r="E394" s="2781"/>
      <c r="F394" s="2781"/>
      <c r="G394" s="3654"/>
      <c r="H394" s="2781"/>
      <c r="I394" s="2781"/>
      <c r="J394" s="3667"/>
    </row>
    <row r="395" spans="2:10" ht="18" hidden="1" customHeight="1" outlineLevel="3" x14ac:dyDescent="0.2">
      <c r="B395" s="2845" t="s">
        <v>1520</v>
      </c>
      <c r="C395" s="2850" t="s">
        <v>409</v>
      </c>
      <c r="D395" s="3647" t="s">
        <v>199</v>
      </c>
      <c r="E395" s="2770" t="s">
        <v>205</v>
      </c>
      <c r="F395" s="2792" t="s">
        <v>205</v>
      </c>
      <c r="G395" s="3655" t="s">
        <v>205</v>
      </c>
      <c r="H395" s="2795" t="s">
        <v>199</v>
      </c>
      <c r="I395" s="2796" t="s">
        <v>199</v>
      </c>
      <c r="J395" s="3644" t="s">
        <v>199</v>
      </c>
    </row>
    <row r="396" spans="2:10" ht="18" hidden="1" customHeight="1" outlineLevel="3" x14ac:dyDescent="0.2">
      <c r="B396" s="2845" t="s">
        <v>1521</v>
      </c>
      <c r="C396" s="2850" t="s">
        <v>409</v>
      </c>
      <c r="D396" s="3647" t="s">
        <v>199</v>
      </c>
      <c r="E396" s="2770" t="s">
        <v>205</v>
      </c>
      <c r="F396" s="2792" t="s">
        <v>205</v>
      </c>
      <c r="G396" s="3655" t="s">
        <v>205</v>
      </c>
      <c r="H396" s="2795" t="s">
        <v>199</v>
      </c>
      <c r="I396" s="2796" t="s">
        <v>199</v>
      </c>
      <c r="J396" s="3644" t="s">
        <v>199</v>
      </c>
    </row>
    <row r="397" spans="2:10" ht="18" hidden="1" customHeight="1" outlineLevel="3" x14ac:dyDescent="0.2">
      <c r="B397" s="2845" t="s">
        <v>1522</v>
      </c>
      <c r="C397" s="2848"/>
      <c r="D397" s="3648" t="s">
        <v>205</v>
      </c>
      <c r="E397" s="2770" t="s">
        <v>205</v>
      </c>
      <c r="F397" s="2768" t="s">
        <v>205</v>
      </c>
      <c r="G397" s="3653" t="s">
        <v>205</v>
      </c>
      <c r="H397" s="2771" t="s">
        <v>205</v>
      </c>
      <c r="I397" s="2768" t="s">
        <v>205</v>
      </c>
      <c r="J397" s="3651" t="s">
        <v>205</v>
      </c>
    </row>
    <row r="398" spans="2:10" ht="18" hidden="1" customHeight="1" outlineLevel="3" x14ac:dyDescent="0.2">
      <c r="B398" s="2849" t="s">
        <v>205</v>
      </c>
      <c r="C398" s="2850" t="s">
        <v>205</v>
      </c>
      <c r="D398" s="3647" t="s">
        <v>205</v>
      </c>
      <c r="E398" s="2770" t="s">
        <v>205</v>
      </c>
      <c r="F398" s="2768" t="s">
        <v>205</v>
      </c>
      <c r="G398" s="3653" t="s">
        <v>205</v>
      </c>
      <c r="H398" s="2795" t="s">
        <v>205</v>
      </c>
      <c r="I398" s="2773" t="s">
        <v>205</v>
      </c>
      <c r="J398" s="3662" t="s">
        <v>205</v>
      </c>
    </row>
    <row r="399" spans="2:10" ht="18" hidden="1" customHeight="1" outlineLevel="3" x14ac:dyDescent="0.2">
      <c r="B399" s="2845" t="s">
        <v>1523</v>
      </c>
      <c r="C399" s="2856"/>
      <c r="D399" s="3645" t="s">
        <v>199</v>
      </c>
      <c r="E399" s="2791" t="s">
        <v>205</v>
      </c>
      <c r="F399" s="2792" t="s">
        <v>205</v>
      </c>
      <c r="G399" s="3655" t="s">
        <v>205</v>
      </c>
      <c r="H399" s="2793" t="s">
        <v>199</v>
      </c>
      <c r="I399" s="2792" t="s">
        <v>199</v>
      </c>
      <c r="J399" s="3652" t="s">
        <v>199</v>
      </c>
    </row>
    <row r="400" spans="2:10" ht="18" hidden="1" customHeight="1" outlineLevel="3" x14ac:dyDescent="0.2">
      <c r="B400" s="2844" t="s">
        <v>271</v>
      </c>
      <c r="C400" s="2848"/>
      <c r="D400" s="3646"/>
      <c r="E400" s="2781"/>
      <c r="F400" s="2781"/>
      <c r="G400" s="3654"/>
      <c r="H400" s="2781"/>
      <c r="I400" s="2781"/>
      <c r="J400" s="3667"/>
    </row>
    <row r="401" spans="2:10" ht="18" hidden="1" customHeight="1" outlineLevel="3" x14ac:dyDescent="0.2">
      <c r="B401" s="2845" t="s">
        <v>1524</v>
      </c>
      <c r="C401" s="2850" t="s">
        <v>409</v>
      </c>
      <c r="D401" s="3647" t="s">
        <v>199</v>
      </c>
      <c r="E401" s="2770" t="s">
        <v>205</v>
      </c>
      <c r="F401" s="2792" t="s">
        <v>205</v>
      </c>
      <c r="G401" s="3655" t="s">
        <v>205</v>
      </c>
      <c r="H401" s="2795" t="s">
        <v>199</v>
      </c>
      <c r="I401" s="2796" t="s">
        <v>199</v>
      </c>
      <c r="J401" s="3644" t="s">
        <v>199</v>
      </c>
    </row>
    <row r="402" spans="2:10" ht="18" hidden="1" customHeight="1" outlineLevel="3" x14ac:dyDescent="0.2">
      <c r="B402" s="2845" t="s">
        <v>1525</v>
      </c>
      <c r="C402" s="2848"/>
      <c r="D402" s="3648" t="s">
        <v>205</v>
      </c>
      <c r="E402" s="2770" t="s">
        <v>205</v>
      </c>
      <c r="F402" s="2768" t="s">
        <v>205</v>
      </c>
      <c r="G402" s="3653" t="s">
        <v>205</v>
      </c>
      <c r="H402" s="2771" t="s">
        <v>205</v>
      </c>
      <c r="I402" s="2768" t="s">
        <v>205</v>
      </c>
      <c r="J402" s="3651" t="s">
        <v>205</v>
      </c>
    </row>
    <row r="403" spans="2:10" ht="18" hidden="1" customHeight="1" outlineLevel="3" x14ac:dyDescent="0.2">
      <c r="B403" s="2849" t="s">
        <v>205</v>
      </c>
      <c r="C403" s="2850" t="s">
        <v>205</v>
      </c>
      <c r="D403" s="3647" t="s">
        <v>205</v>
      </c>
      <c r="E403" s="2770" t="s">
        <v>205</v>
      </c>
      <c r="F403" s="2768" t="s">
        <v>205</v>
      </c>
      <c r="G403" s="3653" t="s">
        <v>205</v>
      </c>
      <c r="H403" s="2795" t="s">
        <v>205</v>
      </c>
      <c r="I403" s="2773" t="s">
        <v>205</v>
      </c>
      <c r="J403" s="3662" t="s">
        <v>205</v>
      </c>
    </row>
    <row r="404" spans="2:10" ht="18" customHeight="1" outlineLevel="1" x14ac:dyDescent="0.2">
      <c r="B404" s="2593" t="s">
        <v>1563</v>
      </c>
      <c r="C404" s="2843"/>
      <c r="D404" s="3649"/>
      <c r="E404" s="2824"/>
      <c r="F404" s="2825"/>
      <c r="G404" s="3656"/>
      <c r="H404" s="2834" t="str">
        <f>H411</f>
        <v>IE</v>
      </c>
      <c r="I404" s="2830" t="s">
        <v>221</v>
      </c>
      <c r="J404" s="3659">
        <f>J411</f>
        <v>8.1537146489583332</v>
      </c>
    </row>
    <row r="405" spans="2:10" ht="18" customHeight="1" outlineLevel="2" x14ac:dyDescent="0.2">
      <c r="B405" s="2842" t="s">
        <v>1519</v>
      </c>
      <c r="C405" s="2856"/>
      <c r="D405" s="3645" t="s">
        <v>199</v>
      </c>
      <c r="E405" s="2791" t="s">
        <v>205</v>
      </c>
      <c r="F405" s="2792" t="s">
        <v>205</v>
      </c>
      <c r="G405" s="3655" t="s">
        <v>205</v>
      </c>
      <c r="H405" s="2793" t="s">
        <v>221</v>
      </c>
      <c r="I405" s="2792" t="s">
        <v>221</v>
      </c>
      <c r="J405" s="3652" t="s">
        <v>221</v>
      </c>
    </row>
    <row r="406" spans="2:10" ht="18" customHeight="1" outlineLevel="2" x14ac:dyDescent="0.2">
      <c r="B406" s="2844" t="s">
        <v>271</v>
      </c>
      <c r="C406" s="2848"/>
      <c r="D406" s="3646"/>
      <c r="E406" s="2781"/>
      <c r="F406" s="2781"/>
      <c r="G406" s="3654"/>
      <c r="H406" s="2781"/>
      <c r="I406" s="2781"/>
      <c r="J406" s="3667"/>
    </row>
    <row r="407" spans="2:10" ht="18" customHeight="1" outlineLevel="2" x14ac:dyDescent="0.2">
      <c r="B407" s="2845" t="s">
        <v>1520</v>
      </c>
      <c r="C407" s="2850" t="s">
        <v>409</v>
      </c>
      <c r="D407" s="3647" t="s">
        <v>199</v>
      </c>
      <c r="E407" s="2770" t="s">
        <v>205</v>
      </c>
      <c r="F407" s="2792" t="s">
        <v>205</v>
      </c>
      <c r="G407" s="3655" t="s">
        <v>205</v>
      </c>
      <c r="H407" s="2795" t="s">
        <v>199</v>
      </c>
      <c r="I407" s="2796" t="s">
        <v>199</v>
      </c>
      <c r="J407" s="3644" t="s">
        <v>199</v>
      </c>
    </row>
    <row r="408" spans="2:10" ht="18" customHeight="1" outlineLevel="2" x14ac:dyDescent="0.2">
      <c r="B408" s="2845" t="s">
        <v>1521</v>
      </c>
      <c r="C408" s="2850" t="s">
        <v>409</v>
      </c>
      <c r="D408" s="3647" t="s">
        <v>221</v>
      </c>
      <c r="E408" s="2770" t="s">
        <v>205</v>
      </c>
      <c r="F408" s="2792" t="s">
        <v>205</v>
      </c>
      <c r="G408" s="3655" t="s">
        <v>205</v>
      </c>
      <c r="H408" s="2795" t="s">
        <v>221</v>
      </c>
      <c r="I408" s="2796" t="s">
        <v>221</v>
      </c>
      <c r="J408" s="3644" t="s">
        <v>221</v>
      </c>
    </row>
    <row r="409" spans="2:10" ht="18" customHeight="1" outlineLevel="2" x14ac:dyDescent="0.2">
      <c r="B409" s="2845" t="s">
        <v>1522</v>
      </c>
      <c r="C409" s="2848"/>
      <c r="D409" s="3648" t="s">
        <v>205</v>
      </c>
      <c r="E409" s="2770" t="s">
        <v>205</v>
      </c>
      <c r="F409" s="2768" t="s">
        <v>205</v>
      </c>
      <c r="G409" s="3653" t="s">
        <v>205</v>
      </c>
      <c r="H409" s="2771" t="s">
        <v>205</v>
      </c>
      <c r="I409" s="2768" t="s">
        <v>205</v>
      </c>
      <c r="J409" s="3651" t="s">
        <v>205</v>
      </c>
    </row>
    <row r="410" spans="2:10" ht="18" customHeight="1" outlineLevel="2" x14ac:dyDescent="0.2">
      <c r="B410" s="2849" t="s">
        <v>205</v>
      </c>
      <c r="C410" s="2850" t="s">
        <v>205</v>
      </c>
      <c r="D410" s="3647" t="s">
        <v>205</v>
      </c>
      <c r="E410" s="2770" t="s">
        <v>205</v>
      </c>
      <c r="F410" s="2768" t="s">
        <v>205</v>
      </c>
      <c r="G410" s="3653" t="s">
        <v>205</v>
      </c>
      <c r="H410" s="2795" t="s">
        <v>205</v>
      </c>
      <c r="I410" s="2773" t="s">
        <v>205</v>
      </c>
      <c r="J410" s="3662" t="s">
        <v>205</v>
      </c>
    </row>
    <row r="411" spans="2:10" ht="18" customHeight="1" outlineLevel="2" x14ac:dyDescent="0.2">
      <c r="B411" s="2842" t="s">
        <v>1523</v>
      </c>
      <c r="C411" s="2856"/>
      <c r="D411" s="3645">
        <f>D415</f>
        <v>37.173195833333338</v>
      </c>
      <c r="E411" s="2791" t="str">
        <f t="shared" ref="E411:J411" si="10">E415</f>
        <v>NA</v>
      </c>
      <c r="F411" s="2792" t="str">
        <f t="shared" si="10"/>
        <v>NA</v>
      </c>
      <c r="G411" s="3655">
        <f t="shared" si="10"/>
        <v>219.34392419515535</v>
      </c>
      <c r="H411" s="2793" t="str">
        <f t="shared" si="10"/>
        <v>IE</v>
      </c>
      <c r="I411" s="2792" t="str">
        <f t="shared" si="10"/>
        <v>NA</v>
      </c>
      <c r="J411" s="3652">
        <f t="shared" si="10"/>
        <v>8.1537146489583332</v>
      </c>
    </row>
    <row r="412" spans="2:10" ht="18" customHeight="1" outlineLevel="2" x14ac:dyDescent="0.2">
      <c r="B412" s="2844" t="s">
        <v>271</v>
      </c>
      <c r="C412" s="2848"/>
      <c r="D412" s="3646"/>
      <c r="E412" s="2781"/>
      <c r="F412" s="2781"/>
      <c r="G412" s="3654"/>
      <c r="H412" s="2781"/>
      <c r="I412" s="2781"/>
      <c r="J412" s="3667"/>
    </row>
    <row r="413" spans="2:10" ht="18" customHeight="1" outlineLevel="2" x14ac:dyDescent="0.2">
      <c r="B413" s="2845" t="s">
        <v>1524</v>
      </c>
      <c r="C413" s="2850" t="s">
        <v>409</v>
      </c>
      <c r="D413" s="3647" t="s">
        <v>221</v>
      </c>
      <c r="E413" s="2770" t="s">
        <v>205</v>
      </c>
      <c r="F413" s="2792" t="s">
        <v>205</v>
      </c>
      <c r="G413" s="3655" t="s">
        <v>205</v>
      </c>
      <c r="H413" s="2795" t="s">
        <v>221</v>
      </c>
      <c r="I413" s="2796" t="s">
        <v>221</v>
      </c>
      <c r="J413" s="3644" t="s">
        <v>221</v>
      </c>
    </row>
    <row r="414" spans="2:10" ht="18" customHeight="1" outlineLevel="2" x14ac:dyDescent="0.2">
      <c r="B414" s="2845" t="s">
        <v>1525</v>
      </c>
      <c r="C414" s="2848"/>
      <c r="D414" s="3648" t="s">
        <v>205</v>
      </c>
      <c r="E414" s="2770" t="s">
        <v>205</v>
      </c>
      <c r="F414" s="2768" t="s">
        <v>205</v>
      </c>
      <c r="G414" s="3653" t="s">
        <v>205</v>
      </c>
      <c r="H414" s="2771" t="s">
        <v>205</v>
      </c>
      <c r="I414" s="2768" t="s">
        <v>205</v>
      </c>
      <c r="J414" s="3651" t="s">
        <v>205</v>
      </c>
    </row>
    <row r="415" spans="2:10" ht="18" customHeight="1" outlineLevel="2" x14ac:dyDescent="0.2">
      <c r="B415" s="2859" t="str">
        <f>B427</f>
        <v>Reservoirs</v>
      </c>
      <c r="C415" s="2850" t="str">
        <f>C427</f>
        <v>New Reservoirs</v>
      </c>
      <c r="D415" s="3647">
        <f>D427</f>
        <v>37.173195833333338</v>
      </c>
      <c r="E415" s="2770" t="str">
        <f>E427</f>
        <v>NA</v>
      </c>
      <c r="F415" s="2768" t="str">
        <f>F427</f>
        <v>NA</v>
      </c>
      <c r="G415" s="3653">
        <f t="shared" ref="G415:J415" si="11">G427</f>
        <v>219.34392419515535</v>
      </c>
      <c r="H415" s="2795" t="str">
        <f t="shared" si="11"/>
        <v>IE</v>
      </c>
      <c r="I415" s="2773" t="str">
        <f t="shared" si="11"/>
        <v>NA</v>
      </c>
      <c r="J415" s="3662">
        <f t="shared" si="11"/>
        <v>8.1537146489583332</v>
      </c>
    </row>
    <row r="416" spans="2:10" ht="18" customHeight="1" outlineLevel="2" x14ac:dyDescent="0.2">
      <c r="B416" s="2857" t="s">
        <v>1564</v>
      </c>
      <c r="C416" s="2843"/>
      <c r="D416" s="3649"/>
      <c r="E416" s="2824"/>
      <c r="F416" s="2825"/>
      <c r="G416" s="3656"/>
      <c r="H416" s="2834" t="s">
        <v>221</v>
      </c>
      <c r="I416" s="2830" t="s">
        <v>221</v>
      </c>
      <c r="J416" s="3659">
        <f>J423</f>
        <v>8.1537146489583332</v>
      </c>
    </row>
    <row r="417" spans="2:10" ht="18" customHeight="1" outlineLevel="3" x14ac:dyDescent="0.2">
      <c r="B417" s="2845" t="s">
        <v>1519</v>
      </c>
      <c r="C417" s="2856"/>
      <c r="D417" s="3645" t="s">
        <v>199</v>
      </c>
      <c r="E417" s="2791" t="s">
        <v>205</v>
      </c>
      <c r="F417" s="2792" t="s">
        <v>205</v>
      </c>
      <c r="G417" s="3655" t="s">
        <v>205</v>
      </c>
      <c r="H417" s="2793" t="s">
        <v>221</v>
      </c>
      <c r="I417" s="2792" t="s">
        <v>221</v>
      </c>
      <c r="J417" s="3652" t="s">
        <v>221</v>
      </c>
    </row>
    <row r="418" spans="2:10" ht="18" customHeight="1" outlineLevel="3" x14ac:dyDescent="0.2">
      <c r="B418" s="2844" t="s">
        <v>271</v>
      </c>
      <c r="C418" s="2848"/>
      <c r="D418" s="3646"/>
      <c r="E418" s="2781"/>
      <c r="F418" s="2781"/>
      <c r="G418" s="3654"/>
      <c r="H418" s="2781"/>
      <c r="I418" s="2781"/>
      <c r="J418" s="3667"/>
    </row>
    <row r="419" spans="2:10" ht="18" customHeight="1" outlineLevel="3" x14ac:dyDescent="0.2">
      <c r="B419" s="2845" t="s">
        <v>1520</v>
      </c>
      <c r="C419" s="2850" t="s">
        <v>409</v>
      </c>
      <c r="D419" s="3647" t="s">
        <v>199</v>
      </c>
      <c r="E419" s="2770" t="s">
        <v>205</v>
      </c>
      <c r="F419" s="2792" t="s">
        <v>205</v>
      </c>
      <c r="G419" s="3655" t="s">
        <v>205</v>
      </c>
      <c r="H419" s="2795" t="s">
        <v>199</v>
      </c>
      <c r="I419" s="2796" t="s">
        <v>199</v>
      </c>
      <c r="J419" s="3644" t="s">
        <v>199</v>
      </c>
    </row>
    <row r="420" spans="2:10" ht="18" customHeight="1" outlineLevel="3" x14ac:dyDescent="0.2">
      <c r="B420" s="2845" t="s">
        <v>1521</v>
      </c>
      <c r="C420" s="2850" t="s">
        <v>409</v>
      </c>
      <c r="D420" s="3647" t="s">
        <v>221</v>
      </c>
      <c r="E420" s="2770" t="s">
        <v>205</v>
      </c>
      <c r="F420" s="2792" t="s">
        <v>205</v>
      </c>
      <c r="G420" s="3655" t="s">
        <v>205</v>
      </c>
      <c r="H420" s="2795" t="s">
        <v>221</v>
      </c>
      <c r="I420" s="2796" t="s">
        <v>221</v>
      </c>
      <c r="J420" s="3644" t="s">
        <v>221</v>
      </c>
    </row>
    <row r="421" spans="2:10" ht="18" customHeight="1" outlineLevel="3" x14ac:dyDescent="0.2">
      <c r="B421" s="2845" t="s">
        <v>1522</v>
      </c>
      <c r="C421" s="2848"/>
      <c r="D421" s="3648" t="s">
        <v>205</v>
      </c>
      <c r="E421" s="2770" t="s">
        <v>205</v>
      </c>
      <c r="F421" s="2768" t="s">
        <v>205</v>
      </c>
      <c r="G421" s="3653" t="s">
        <v>205</v>
      </c>
      <c r="H421" s="2771" t="s">
        <v>205</v>
      </c>
      <c r="I421" s="2768" t="s">
        <v>205</v>
      </c>
      <c r="J421" s="3651" t="s">
        <v>205</v>
      </c>
    </row>
    <row r="422" spans="2:10" ht="18" customHeight="1" outlineLevel="3" x14ac:dyDescent="0.2">
      <c r="B422" s="2849" t="s">
        <v>205</v>
      </c>
      <c r="C422" s="2850" t="s">
        <v>205</v>
      </c>
      <c r="D422" s="3647" t="s">
        <v>205</v>
      </c>
      <c r="E422" s="2770" t="s">
        <v>205</v>
      </c>
      <c r="F422" s="2768" t="s">
        <v>205</v>
      </c>
      <c r="G422" s="3653" t="s">
        <v>205</v>
      </c>
      <c r="H422" s="2795" t="s">
        <v>205</v>
      </c>
      <c r="I422" s="2773" t="s">
        <v>205</v>
      </c>
      <c r="J422" s="3662" t="s">
        <v>205</v>
      </c>
    </row>
    <row r="423" spans="2:10" ht="18" customHeight="1" outlineLevel="3" x14ac:dyDescent="0.2">
      <c r="B423" s="2845" t="s">
        <v>1523</v>
      </c>
      <c r="C423" s="2856"/>
      <c r="D423" s="3645">
        <f>D427</f>
        <v>37.173195833333338</v>
      </c>
      <c r="E423" s="2791" t="str">
        <f t="shared" ref="E423:J423" si="12">E427</f>
        <v>NA</v>
      </c>
      <c r="F423" s="2792" t="str">
        <f t="shared" si="12"/>
        <v>NA</v>
      </c>
      <c r="G423" s="3655">
        <f t="shared" si="12"/>
        <v>219.34392419515535</v>
      </c>
      <c r="H423" s="2793" t="str">
        <f t="shared" si="12"/>
        <v>IE</v>
      </c>
      <c r="I423" s="2792" t="str">
        <f t="shared" si="12"/>
        <v>NA</v>
      </c>
      <c r="J423" s="3652">
        <f t="shared" si="12"/>
        <v>8.1537146489583332</v>
      </c>
    </row>
    <row r="424" spans="2:10" ht="18" customHeight="1" outlineLevel="3" x14ac:dyDescent="0.2">
      <c r="B424" s="2844" t="s">
        <v>271</v>
      </c>
      <c r="C424" s="2848"/>
      <c r="D424" s="3646"/>
      <c r="E424" s="2781"/>
      <c r="F424" s="2781"/>
      <c r="G424" s="3654"/>
      <c r="H424" s="2781"/>
      <c r="I424" s="2781"/>
      <c r="J424" s="3667"/>
    </row>
    <row r="425" spans="2:10" ht="18" customHeight="1" outlineLevel="3" x14ac:dyDescent="0.2">
      <c r="B425" s="2845" t="s">
        <v>1524</v>
      </c>
      <c r="C425" s="2850" t="s">
        <v>409</v>
      </c>
      <c r="D425" s="3647" t="s">
        <v>221</v>
      </c>
      <c r="E425" s="2770" t="s">
        <v>205</v>
      </c>
      <c r="F425" s="2792" t="s">
        <v>205</v>
      </c>
      <c r="G425" s="3655" t="s">
        <v>205</v>
      </c>
      <c r="H425" s="2795" t="s">
        <v>221</v>
      </c>
      <c r="I425" s="2796" t="s">
        <v>221</v>
      </c>
      <c r="J425" s="3644" t="s">
        <v>221</v>
      </c>
    </row>
    <row r="426" spans="2:10" ht="18" customHeight="1" outlineLevel="3" x14ac:dyDescent="0.2">
      <c r="B426" s="2845" t="s">
        <v>1525</v>
      </c>
      <c r="C426" s="2848"/>
      <c r="D426" s="3648" t="s">
        <v>205</v>
      </c>
      <c r="E426" s="2770" t="s">
        <v>205</v>
      </c>
      <c r="F426" s="2768" t="s">
        <v>205</v>
      </c>
      <c r="G426" s="3653" t="s">
        <v>205</v>
      </c>
      <c r="H426" s="2771" t="s">
        <v>205</v>
      </c>
      <c r="I426" s="2768" t="s">
        <v>205</v>
      </c>
      <c r="J426" s="3651" t="s">
        <v>205</v>
      </c>
    </row>
    <row r="427" spans="2:10" ht="18" customHeight="1" outlineLevel="3" x14ac:dyDescent="0.2">
      <c r="B427" s="2859" t="s">
        <v>1410</v>
      </c>
      <c r="C427" s="2850" t="s">
        <v>1565</v>
      </c>
      <c r="D427" s="3650">
        <v>37.173195833333338</v>
      </c>
      <c r="E427" s="2770" t="s">
        <v>205</v>
      </c>
      <c r="F427" s="2768" t="s">
        <v>205</v>
      </c>
      <c r="G427" s="3653">
        <f>IF(SUM(D427)=0,"NA",J427*1000/D427)</f>
        <v>219.34392419515535</v>
      </c>
      <c r="H427" s="4306" t="s">
        <v>274</v>
      </c>
      <c r="I427" s="2773" t="s">
        <v>205</v>
      </c>
      <c r="J427" s="3662">
        <v>8.1537146489583332</v>
      </c>
    </row>
    <row r="428" spans="2:10" ht="18" customHeight="1" outlineLevel="2" collapsed="1" x14ac:dyDescent="0.2">
      <c r="B428" s="2857" t="s">
        <v>1566</v>
      </c>
      <c r="C428" s="2843"/>
      <c r="D428" s="2823"/>
      <c r="E428" s="2824"/>
      <c r="F428" s="2825"/>
      <c r="G428" s="2826"/>
      <c r="H428" s="2834" t="s">
        <v>199</v>
      </c>
      <c r="I428" s="2830" t="s">
        <v>199</v>
      </c>
      <c r="J428" s="2831" t="s">
        <v>199</v>
      </c>
    </row>
    <row r="429" spans="2:10" ht="18" hidden="1" customHeight="1" outlineLevel="3" x14ac:dyDescent="0.2">
      <c r="B429" s="2845" t="s">
        <v>1519</v>
      </c>
      <c r="C429" s="2856"/>
      <c r="D429" s="2790" t="s">
        <v>199</v>
      </c>
      <c r="E429" s="2791" t="s">
        <v>205</v>
      </c>
      <c r="F429" s="2792" t="s">
        <v>205</v>
      </c>
      <c r="G429" s="2790" t="s">
        <v>205</v>
      </c>
      <c r="H429" s="2793" t="s">
        <v>199</v>
      </c>
      <c r="I429" s="2792" t="s">
        <v>199</v>
      </c>
      <c r="J429" s="2790" t="s">
        <v>199</v>
      </c>
    </row>
    <row r="430" spans="2:10" ht="18" hidden="1" customHeight="1" outlineLevel="3" x14ac:dyDescent="0.2">
      <c r="B430" s="2844" t="s">
        <v>271</v>
      </c>
      <c r="C430" s="2848"/>
      <c r="D430" s="2781"/>
      <c r="E430" s="2781"/>
      <c r="F430" s="2781"/>
      <c r="G430" s="2781"/>
      <c r="H430" s="2781"/>
      <c r="I430" s="2781"/>
      <c r="J430" s="2794"/>
    </row>
    <row r="431" spans="2:10" ht="18" hidden="1" customHeight="1" outlineLevel="3" x14ac:dyDescent="0.2">
      <c r="B431" s="2845" t="s">
        <v>1520</v>
      </c>
      <c r="C431" s="2850" t="s">
        <v>409</v>
      </c>
      <c r="D431" s="2772" t="s">
        <v>199</v>
      </c>
      <c r="E431" s="2770" t="s">
        <v>205</v>
      </c>
      <c r="F431" s="2792" t="s">
        <v>205</v>
      </c>
      <c r="G431" s="2790" t="s">
        <v>205</v>
      </c>
      <c r="H431" s="2795" t="s">
        <v>199</v>
      </c>
      <c r="I431" s="2796" t="s">
        <v>199</v>
      </c>
      <c r="J431" s="2772" t="s">
        <v>199</v>
      </c>
    </row>
    <row r="432" spans="2:10" ht="18" hidden="1" customHeight="1" outlineLevel="3" x14ac:dyDescent="0.2">
      <c r="B432" s="2845" t="s">
        <v>1521</v>
      </c>
      <c r="C432" s="2850" t="s">
        <v>409</v>
      </c>
      <c r="D432" s="2772" t="s">
        <v>199</v>
      </c>
      <c r="E432" s="2770" t="s">
        <v>205</v>
      </c>
      <c r="F432" s="2792" t="s">
        <v>205</v>
      </c>
      <c r="G432" s="2790" t="s">
        <v>205</v>
      </c>
      <c r="H432" s="2795" t="s">
        <v>199</v>
      </c>
      <c r="I432" s="2796" t="s">
        <v>199</v>
      </c>
      <c r="J432" s="2772" t="s">
        <v>199</v>
      </c>
    </row>
    <row r="433" spans="2:10" ht="18" hidden="1" customHeight="1" outlineLevel="3" x14ac:dyDescent="0.2">
      <c r="B433" s="2845" t="s">
        <v>1522</v>
      </c>
      <c r="C433" s="2848"/>
      <c r="D433" s="2769" t="s">
        <v>205</v>
      </c>
      <c r="E433" s="2770" t="s">
        <v>205</v>
      </c>
      <c r="F433" s="2768" t="s">
        <v>205</v>
      </c>
      <c r="G433" s="2769" t="s">
        <v>205</v>
      </c>
      <c r="H433" s="2771" t="s">
        <v>205</v>
      </c>
      <c r="I433" s="2768" t="s">
        <v>205</v>
      </c>
      <c r="J433" s="2769" t="s">
        <v>205</v>
      </c>
    </row>
    <row r="434" spans="2:10" ht="18" hidden="1" customHeight="1" outlineLevel="3" x14ac:dyDescent="0.2">
      <c r="B434" s="2849" t="s">
        <v>205</v>
      </c>
      <c r="C434" s="2850" t="s">
        <v>205</v>
      </c>
      <c r="D434" s="2772" t="s">
        <v>205</v>
      </c>
      <c r="E434" s="2770" t="s">
        <v>205</v>
      </c>
      <c r="F434" s="2768" t="s">
        <v>205</v>
      </c>
      <c r="G434" s="2769" t="s">
        <v>205</v>
      </c>
      <c r="H434" s="2795" t="s">
        <v>205</v>
      </c>
      <c r="I434" s="2773" t="s">
        <v>205</v>
      </c>
      <c r="J434" s="2774" t="s">
        <v>205</v>
      </c>
    </row>
    <row r="435" spans="2:10" ht="18" hidden="1" customHeight="1" outlineLevel="3" x14ac:dyDescent="0.2">
      <c r="B435" s="2845" t="s">
        <v>1523</v>
      </c>
      <c r="C435" s="2856"/>
      <c r="D435" s="2790" t="s">
        <v>199</v>
      </c>
      <c r="E435" s="2791" t="s">
        <v>205</v>
      </c>
      <c r="F435" s="2792" t="s">
        <v>205</v>
      </c>
      <c r="G435" s="2790" t="s">
        <v>205</v>
      </c>
      <c r="H435" s="2793" t="s">
        <v>199</v>
      </c>
      <c r="I435" s="2792" t="s">
        <v>199</v>
      </c>
      <c r="J435" s="2790" t="s">
        <v>199</v>
      </c>
    </row>
    <row r="436" spans="2:10" ht="18" hidden="1" customHeight="1" outlineLevel="3" x14ac:dyDescent="0.2">
      <c r="B436" s="2844" t="s">
        <v>271</v>
      </c>
      <c r="C436" s="2848"/>
      <c r="D436" s="2781"/>
      <c r="E436" s="2781"/>
      <c r="F436" s="2781"/>
      <c r="G436" s="2781"/>
      <c r="H436" s="2781"/>
      <c r="I436" s="2781"/>
      <c r="J436" s="2794"/>
    </row>
    <row r="437" spans="2:10" ht="18" hidden="1" customHeight="1" outlineLevel="3" x14ac:dyDescent="0.2">
      <c r="B437" s="2845" t="s">
        <v>1524</v>
      </c>
      <c r="C437" s="2850" t="s">
        <v>409</v>
      </c>
      <c r="D437" s="2772" t="s">
        <v>199</v>
      </c>
      <c r="E437" s="2770" t="s">
        <v>205</v>
      </c>
      <c r="F437" s="2792" t="s">
        <v>205</v>
      </c>
      <c r="G437" s="2790" t="s">
        <v>205</v>
      </c>
      <c r="H437" s="2795" t="s">
        <v>199</v>
      </c>
      <c r="I437" s="2796" t="s">
        <v>199</v>
      </c>
      <c r="J437" s="2772" t="s">
        <v>199</v>
      </c>
    </row>
    <row r="438" spans="2:10" ht="18" hidden="1" customHeight="1" outlineLevel="3" x14ac:dyDescent="0.2">
      <c r="B438" s="2845" t="s">
        <v>1525</v>
      </c>
      <c r="C438" s="2848"/>
      <c r="D438" s="2769" t="s">
        <v>205</v>
      </c>
      <c r="E438" s="2770" t="s">
        <v>205</v>
      </c>
      <c r="F438" s="2768" t="s">
        <v>205</v>
      </c>
      <c r="G438" s="2769" t="s">
        <v>205</v>
      </c>
      <c r="H438" s="2771" t="s">
        <v>205</v>
      </c>
      <c r="I438" s="2768" t="s">
        <v>205</v>
      </c>
      <c r="J438" s="2769" t="s">
        <v>205</v>
      </c>
    </row>
    <row r="439" spans="2:10" ht="18" hidden="1" customHeight="1" outlineLevel="3" x14ac:dyDescent="0.2">
      <c r="B439" s="2849" t="s">
        <v>205</v>
      </c>
      <c r="C439" s="2850" t="s">
        <v>205</v>
      </c>
      <c r="D439" s="2772" t="s">
        <v>205</v>
      </c>
      <c r="E439" s="2770" t="s">
        <v>205</v>
      </c>
      <c r="F439" s="2768" t="s">
        <v>205</v>
      </c>
      <c r="G439" s="2769" t="s">
        <v>205</v>
      </c>
      <c r="H439" s="2795" t="s">
        <v>205</v>
      </c>
      <c r="I439" s="2773" t="s">
        <v>205</v>
      </c>
      <c r="J439" s="2774" t="s">
        <v>205</v>
      </c>
    </row>
    <row r="440" spans="2:10" ht="18" customHeight="1" outlineLevel="2" collapsed="1" x14ac:dyDescent="0.2">
      <c r="B440" s="2857" t="s">
        <v>1567</v>
      </c>
      <c r="C440" s="2843"/>
      <c r="D440" s="2823"/>
      <c r="E440" s="2824"/>
      <c r="F440" s="2825"/>
      <c r="G440" s="2826"/>
      <c r="H440" s="2834" t="s">
        <v>199</v>
      </c>
      <c r="I440" s="2830" t="s">
        <v>199</v>
      </c>
      <c r="J440" s="2831" t="s">
        <v>199</v>
      </c>
    </row>
    <row r="441" spans="2:10" ht="18" hidden="1" customHeight="1" outlineLevel="3" x14ac:dyDescent="0.2">
      <c r="B441" s="2845" t="s">
        <v>1519</v>
      </c>
      <c r="C441" s="2856"/>
      <c r="D441" s="2790" t="s">
        <v>199</v>
      </c>
      <c r="E441" s="2791" t="s">
        <v>205</v>
      </c>
      <c r="F441" s="2792" t="s">
        <v>205</v>
      </c>
      <c r="G441" s="2790" t="s">
        <v>205</v>
      </c>
      <c r="H441" s="2793" t="s">
        <v>199</v>
      </c>
      <c r="I441" s="2792" t="s">
        <v>199</v>
      </c>
      <c r="J441" s="2790" t="s">
        <v>199</v>
      </c>
    </row>
    <row r="442" spans="2:10" ht="18" hidden="1" customHeight="1" outlineLevel="3" x14ac:dyDescent="0.2">
      <c r="B442" s="2844" t="s">
        <v>271</v>
      </c>
      <c r="C442" s="2848"/>
      <c r="D442" s="2781"/>
      <c r="E442" s="2781"/>
      <c r="F442" s="2781"/>
      <c r="G442" s="2781"/>
      <c r="H442" s="2781"/>
      <c r="I442" s="2781"/>
      <c r="J442" s="2794"/>
    </row>
    <row r="443" spans="2:10" ht="18" hidden="1" customHeight="1" outlineLevel="3" x14ac:dyDescent="0.2">
      <c r="B443" s="2845" t="s">
        <v>1520</v>
      </c>
      <c r="C443" s="2850" t="s">
        <v>409</v>
      </c>
      <c r="D443" s="2772" t="s">
        <v>199</v>
      </c>
      <c r="E443" s="2770" t="s">
        <v>205</v>
      </c>
      <c r="F443" s="2792" t="s">
        <v>205</v>
      </c>
      <c r="G443" s="2790" t="s">
        <v>205</v>
      </c>
      <c r="H443" s="2795" t="s">
        <v>199</v>
      </c>
      <c r="I443" s="2796" t="s">
        <v>199</v>
      </c>
      <c r="J443" s="2772" t="s">
        <v>199</v>
      </c>
    </row>
    <row r="444" spans="2:10" ht="18" hidden="1" customHeight="1" outlineLevel="3" x14ac:dyDescent="0.2">
      <c r="B444" s="2845" t="s">
        <v>1521</v>
      </c>
      <c r="C444" s="2850" t="s">
        <v>409</v>
      </c>
      <c r="D444" s="2772" t="s">
        <v>199</v>
      </c>
      <c r="E444" s="2770" t="s">
        <v>205</v>
      </c>
      <c r="F444" s="2792" t="s">
        <v>205</v>
      </c>
      <c r="G444" s="2790" t="s">
        <v>205</v>
      </c>
      <c r="H444" s="2795" t="s">
        <v>199</v>
      </c>
      <c r="I444" s="2796" t="s">
        <v>199</v>
      </c>
      <c r="J444" s="2772" t="s">
        <v>199</v>
      </c>
    </row>
    <row r="445" spans="2:10" ht="18" hidden="1" customHeight="1" outlineLevel="3" x14ac:dyDescent="0.2">
      <c r="B445" s="2845" t="s">
        <v>1522</v>
      </c>
      <c r="C445" s="2848"/>
      <c r="D445" s="2769" t="s">
        <v>205</v>
      </c>
      <c r="E445" s="2770" t="s">
        <v>205</v>
      </c>
      <c r="F445" s="2768" t="s">
        <v>205</v>
      </c>
      <c r="G445" s="2769" t="s">
        <v>205</v>
      </c>
      <c r="H445" s="2771" t="s">
        <v>205</v>
      </c>
      <c r="I445" s="2768" t="s">
        <v>205</v>
      </c>
      <c r="J445" s="2769" t="s">
        <v>205</v>
      </c>
    </row>
    <row r="446" spans="2:10" ht="18" hidden="1" customHeight="1" outlineLevel="3" x14ac:dyDescent="0.2">
      <c r="B446" s="2849" t="s">
        <v>205</v>
      </c>
      <c r="C446" s="2850" t="s">
        <v>205</v>
      </c>
      <c r="D446" s="2772" t="s">
        <v>205</v>
      </c>
      <c r="E446" s="2770" t="s">
        <v>205</v>
      </c>
      <c r="F446" s="2768" t="s">
        <v>205</v>
      </c>
      <c r="G446" s="2769" t="s">
        <v>205</v>
      </c>
      <c r="H446" s="2795" t="s">
        <v>205</v>
      </c>
      <c r="I446" s="2773" t="s">
        <v>205</v>
      </c>
      <c r="J446" s="2774" t="s">
        <v>205</v>
      </c>
    </row>
    <row r="447" spans="2:10" ht="18" hidden="1" customHeight="1" outlineLevel="3" x14ac:dyDescent="0.2">
      <c r="B447" s="2845" t="s">
        <v>1523</v>
      </c>
      <c r="C447" s="2856"/>
      <c r="D447" s="2790" t="s">
        <v>199</v>
      </c>
      <c r="E447" s="2791" t="s">
        <v>205</v>
      </c>
      <c r="F447" s="2792" t="s">
        <v>205</v>
      </c>
      <c r="G447" s="2790" t="s">
        <v>205</v>
      </c>
      <c r="H447" s="2793" t="s">
        <v>199</v>
      </c>
      <c r="I447" s="2792" t="s">
        <v>199</v>
      </c>
      <c r="J447" s="2790" t="s">
        <v>199</v>
      </c>
    </row>
    <row r="448" spans="2:10" ht="18" hidden="1" customHeight="1" outlineLevel="3" x14ac:dyDescent="0.2">
      <c r="B448" s="2844" t="s">
        <v>271</v>
      </c>
      <c r="C448" s="2848"/>
      <c r="D448" s="2781"/>
      <c r="E448" s="2781"/>
      <c r="F448" s="2781"/>
      <c r="G448" s="2781"/>
      <c r="H448" s="2781"/>
      <c r="I448" s="2781"/>
      <c r="J448" s="2794"/>
    </row>
    <row r="449" spans="2:10" ht="18" hidden="1" customHeight="1" outlineLevel="3" x14ac:dyDescent="0.2">
      <c r="B449" s="2845" t="s">
        <v>1524</v>
      </c>
      <c r="C449" s="2850" t="s">
        <v>409</v>
      </c>
      <c r="D449" s="2772" t="s">
        <v>199</v>
      </c>
      <c r="E449" s="2770" t="s">
        <v>205</v>
      </c>
      <c r="F449" s="2792" t="s">
        <v>205</v>
      </c>
      <c r="G449" s="2790" t="s">
        <v>205</v>
      </c>
      <c r="H449" s="2795" t="s">
        <v>199</v>
      </c>
      <c r="I449" s="2796" t="s">
        <v>199</v>
      </c>
      <c r="J449" s="2772" t="s">
        <v>199</v>
      </c>
    </row>
    <row r="450" spans="2:10" ht="18" hidden="1" customHeight="1" outlineLevel="3" x14ac:dyDescent="0.2">
      <c r="B450" s="2845" t="s">
        <v>1525</v>
      </c>
      <c r="C450" s="2848"/>
      <c r="D450" s="2769" t="s">
        <v>205</v>
      </c>
      <c r="E450" s="2770" t="s">
        <v>205</v>
      </c>
      <c r="F450" s="2768" t="s">
        <v>205</v>
      </c>
      <c r="G450" s="2769" t="s">
        <v>205</v>
      </c>
      <c r="H450" s="2771" t="s">
        <v>205</v>
      </c>
      <c r="I450" s="2768" t="s">
        <v>205</v>
      </c>
      <c r="J450" s="2769" t="s">
        <v>205</v>
      </c>
    </row>
    <row r="451" spans="2:10" ht="18" hidden="1" customHeight="1" outlineLevel="3" x14ac:dyDescent="0.2">
      <c r="B451" s="2849" t="s">
        <v>205</v>
      </c>
      <c r="C451" s="2850" t="s">
        <v>205</v>
      </c>
      <c r="D451" s="2772" t="s">
        <v>205</v>
      </c>
      <c r="E451" s="2770" t="s">
        <v>205</v>
      </c>
      <c r="F451" s="2768" t="s">
        <v>205</v>
      </c>
      <c r="G451" s="2769" t="s">
        <v>205</v>
      </c>
      <c r="H451" s="2795" t="s">
        <v>205</v>
      </c>
      <c r="I451" s="2773" t="s">
        <v>205</v>
      </c>
      <c r="J451" s="2774" t="s">
        <v>205</v>
      </c>
    </row>
    <row r="452" spans="2:10" ht="18" customHeight="1" outlineLevel="2" collapsed="1" x14ac:dyDescent="0.2">
      <c r="B452" s="2857" t="s">
        <v>1568</v>
      </c>
      <c r="C452" s="2843"/>
      <c r="D452" s="2823"/>
      <c r="E452" s="2824"/>
      <c r="F452" s="2825"/>
      <c r="G452" s="2826"/>
      <c r="H452" s="2834" t="s">
        <v>199</v>
      </c>
      <c r="I452" s="2830" t="s">
        <v>199</v>
      </c>
      <c r="J452" s="2831" t="s">
        <v>199</v>
      </c>
    </row>
    <row r="453" spans="2:10" ht="18" hidden="1" customHeight="1" outlineLevel="3" x14ac:dyDescent="0.2">
      <c r="B453" s="2845" t="s">
        <v>1519</v>
      </c>
      <c r="C453" s="2856"/>
      <c r="D453" s="2790" t="s">
        <v>199</v>
      </c>
      <c r="E453" s="2791" t="s">
        <v>205</v>
      </c>
      <c r="F453" s="2792" t="s">
        <v>205</v>
      </c>
      <c r="G453" s="2790" t="s">
        <v>205</v>
      </c>
      <c r="H453" s="2793" t="s">
        <v>199</v>
      </c>
      <c r="I453" s="2792" t="s">
        <v>199</v>
      </c>
      <c r="J453" s="2790" t="s">
        <v>199</v>
      </c>
    </row>
    <row r="454" spans="2:10" ht="18" hidden="1" customHeight="1" outlineLevel="3" x14ac:dyDescent="0.2">
      <c r="B454" s="2844" t="s">
        <v>271</v>
      </c>
      <c r="C454" s="2848"/>
      <c r="D454" s="2781"/>
      <c r="E454" s="2781"/>
      <c r="F454" s="2781"/>
      <c r="G454" s="2781"/>
      <c r="H454" s="2781"/>
      <c r="I454" s="2781"/>
      <c r="J454" s="2794"/>
    </row>
    <row r="455" spans="2:10" ht="18" hidden="1" customHeight="1" outlineLevel="3" x14ac:dyDescent="0.2">
      <c r="B455" s="2845" t="s">
        <v>1520</v>
      </c>
      <c r="C455" s="2850" t="s">
        <v>409</v>
      </c>
      <c r="D455" s="2772" t="s">
        <v>199</v>
      </c>
      <c r="E455" s="2770" t="s">
        <v>205</v>
      </c>
      <c r="F455" s="2792" t="s">
        <v>205</v>
      </c>
      <c r="G455" s="2790" t="s">
        <v>205</v>
      </c>
      <c r="H455" s="2795" t="s">
        <v>199</v>
      </c>
      <c r="I455" s="2796" t="s">
        <v>199</v>
      </c>
      <c r="J455" s="2772" t="s">
        <v>199</v>
      </c>
    </row>
    <row r="456" spans="2:10" ht="18" hidden="1" customHeight="1" outlineLevel="3" x14ac:dyDescent="0.2">
      <c r="B456" s="2845" t="s">
        <v>1521</v>
      </c>
      <c r="C456" s="2850" t="s">
        <v>409</v>
      </c>
      <c r="D456" s="2772" t="s">
        <v>199</v>
      </c>
      <c r="E456" s="2770" t="s">
        <v>205</v>
      </c>
      <c r="F456" s="2792" t="s">
        <v>205</v>
      </c>
      <c r="G456" s="2790" t="s">
        <v>205</v>
      </c>
      <c r="H456" s="2795" t="s">
        <v>199</v>
      </c>
      <c r="I456" s="2796" t="s">
        <v>199</v>
      </c>
      <c r="J456" s="2772" t="s">
        <v>199</v>
      </c>
    </row>
    <row r="457" spans="2:10" ht="18" hidden="1" customHeight="1" outlineLevel="3" x14ac:dyDescent="0.2">
      <c r="B457" s="2845" t="s">
        <v>1522</v>
      </c>
      <c r="C457" s="2848"/>
      <c r="D457" s="2769" t="s">
        <v>205</v>
      </c>
      <c r="E457" s="2770" t="s">
        <v>205</v>
      </c>
      <c r="F457" s="2768" t="s">
        <v>205</v>
      </c>
      <c r="G457" s="2769" t="s">
        <v>205</v>
      </c>
      <c r="H457" s="2771" t="s">
        <v>205</v>
      </c>
      <c r="I457" s="2768" t="s">
        <v>205</v>
      </c>
      <c r="J457" s="2769" t="s">
        <v>205</v>
      </c>
    </row>
    <row r="458" spans="2:10" ht="18" hidden="1" customHeight="1" outlineLevel="3" x14ac:dyDescent="0.2">
      <c r="B458" s="2849" t="s">
        <v>205</v>
      </c>
      <c r="C458" s="2850" t="s">
        <v>205</v>
      </c>
      <c r="D458" s="2772" t="s">
        <v>205</v>
      </c>
      <c r="E458" s="2770" t="s">
        <v>205</v>
      </c>
      <c r="F458" s="2768" t="s">
        <v>205</v>
      </c>
      <c r="G458" s="2769" t="s">
        <v>205</v>
      </c>
      <c r="H458" s="2795" t="s">
        <v>205</v>
      </c>
      <c r="I458" s="2773" t="s">
        <v>205</v>
      </c>
      <c r="J458" s="2774" t="s">
        <v>205</v>
      </c>
    </row>
    <row r="459" spans="2:10" ht="18" hidden="1" customHeight="1" outlineLevel="3" x14ac:dyDescent="0.2">
      <c r="B459" s="2845" t="s">
        <v>1523</v>
      </c>
      <c r="C459" s="2856"/>
      <c r="D459" s="2790" t="s">
        <v>199</v>
      </c>
      <c r="E459" s="2791" t="s">
        <v>205</v>
      </c>
      <c r="F459" s="2792" t="s">
        <v>205</v>
      </c>
      <c r="G459" s="2790" t="s">
        <v>205</v>
      </c>
      <c r="H459" s="2793" t="s">
        <v>199</v>
      </c>
      <c r="I459" s="2792" t="s">
        <v>199</v>
      </c>
      <c r="J459" s="2790" t="s">
        <v>199</v>
      </c>
    </row>
    <row r="460" spans="2:10" ht="18" hidden="1" customHeight="1" outlineLevel="3" x14ac:dyDescent="0.2">
      <c r="B460" s="2844" t="s">
        <v>271</v>
      </c>
      <c r="C460" s="2848"/>
      <c r="D460" s="2781"/>
      <c r="E460" s="2781"/>
      <c r="F460" s="2781"/>
      <c r="G460" s="2781"/>
      <c r="H460" s="2781"/>
      <c r="I460" s="2781"/>
      <c r="J460" s="2794"/>
    </row>
    <row r="461" spans="2:10" ht="18" hidden="1" customHeight="1" outlineLevel="3" x14ac:dyDescent="0.2">
      <c r="B461" s="2845" t="s">
        <v>1524</v>
      </c>
      <c r="C461" s="2850" t="s">
        <v>409</v>
      </c>
      <c r="D461" s="2772" t="s">
        <v>199</v>
      </c>
      <c r="E461" s="2770" t="s">
        <v>205</v>
      </c>
      <c r="F461" s="2792" t="s">
        <v>205</v>
      </c>
      <c r="G461" s="2790" t="s">
        <v>205</v>
      </c>
      <c r="H461" s="2795" t="s">
        <v>199</v>
      </c>
      <c r="I461" s="2796" t="s">
        <v>199</v>
      </c>
      <c r="J461" s="2772" t="s">
        <v>199</v>
      </c>
    </row>
    <row r="462" spans="2:10" ht="18" hidden="1" customHeight="1" outlineLevel="3" x14ac:dyDescent="0.2">
      <c r="B462" s="2845" t="s">
        <v>1525</v>
      </c>
      <c r="C462" s="2848"/>
      <c r="D462" s="2769" t="s">
        <v>205</v>
      </c>
      <c r="E462" s="2770" t="s">
        <v>205</v>
      </c>
      <c r="F462" s="2768" t="s">
        <v>205</v>
      </c>
      <c r="G462" s="2769" t="s">
        <v>205</v>
      </c>
      <c r="H462" s="2771" t="s">
        <v>205</v>
      </c>
      <c r="I462" s="2768" t="s">
        <v>205</v>
      </c>
      <c r="J462" s="2769" t="s">
        <v>205</v>
      </c>
    </row>
    <row r="463" spans="2:10" ht="18" hidden="1" customHeight="1" outlineLevel="3" x14ac:dyDescent="0.2">
      <c r="B463" s="2849" t="s">
        <v>205</v>
      </c>
      <c r="C463" s="2850" t="s">
        <v>205</v>
      </c>
      <c r="D463" s="2772" t="s">
        <v>205</v>
      </c>
      <c r="E463" s="2770" t="s">
        <v>205</v>
      </c>
      <c r="F463" s="2768" t="s">
        <v>205</v>
      </c>
      <c r="G463" s="2769" t="s">
        <v>205</v>
      </c>
      <c r="H463" s="2795" t="s">
        <v>205</v>
      </c>
      <c r="I463" s="2773" t="s">
        <v>205</v>
      </c>
      <c r="J463" s="2774" t="s">
        <v>205</v>
      </c>
    </row>
    <row r="464" spans="2:10" ht="18" customHeight="1" outlineLevel="2" collapsed="1" x14ac:dyDescent="0.2">
      <c r="B464" s="2857" t="s">
        <v>1569</v>
      </c>
      <c r="C464" s="2843"/>
      <c r="D464" s="2823"/>
      <c r="E464" s="2824"/>
      <c r="F464" s="2825"/>
      <c r="G464" s="2826"/>
      <c r="H464" s="2834" t="s">
        <v>199</v>
      </c>
      <c r="I464" s="2830" t="s">
        <v>199</v>
      </c>
      <c r="J464" s="2831" t="s">
        <v>199</v>
      </c>
    </row>
    <row r="465" spans="2:10" ht="18" hidden="1" customHeight="1" outlineLevel="3" x14ac:dyDescent="0.2">
      <c r="B465" s="2845" t="s">
        <v>1519</v>
      </c>
      <c r="C465" s="2856"/>
      <c r="D465" s="2790" t="s">
        <v>199</v>
      </c>
      <c r="E465" s="2791" t="s">
        <v>205</v>
      </c>
      <c r="F465" s="2792" t="s">
        <v>205</v>
      </c>
      <c r="G465" s="2790" t="s">
        <v>205</v>
      </c>
      <c r="H465" s="2793" t="s">
        <v>199</v>
      </c>
      <c r="I465" s="2792" t="s">
        <v>199</v>
      </c>
      <c r="J465" s="2790" t="s">
        <v>199</v>
      </c>
    </row>
    <row r="466" spans="2:10" ht="18" hidden="1" customHeight="1" outlineLevel="3" x14ac:dyDescent="0.2">
      <c r="B466" s="2844" t="s">
        <v>271</v>
      </c>
      <c r="C466" s="2848"/>
      <c r="D466" s="2781"/>
      <c r="E466" s="2781"/>
      <c r="F466" s="2781"/>
      <c r="G466" s="2781"/>
      <c r="H466" s="2781"/>
      <c r="I466" s="2781"/>
      <c r="J466" s="2794"/>
    </row>
    <row r="467" spans="2:10" ht="18" hidden="1" customHeight="1" outlineLevel="3" x14ac:dyDescent="0.2">
      <c r="B467" s="2845" t="s">
        <v>1520</v>
      </c>
      <c r="C467" s="2850" t="s">
        <v>409</v>
      </c>
      <c r="D467" s="2772" t="s">
        <v>199</v>
      </c>
      <c r="E467" s="2770" t="s">
        <v>205</v>
      </c>
      <c r="F467" s="2792" t="s">
        <v>205</v>
      </c>
      <c r="G467" s="2790" t="s">
        <v>205</v>
      </c>
      <c r="H467" s="2795" t="s">
        <v>199</v>
      </c>
      <c r="I467" s="2796" t="s">
        <v>199</v>
      </c>
      <c r="J467" s="2772" t="s">
        <v>199</v>
      </c>
    </row>
    <row r="468" spans="2:10" ht="18" hidden="1" customHeight="1" outlineLevel="3" x14ac:dyDescent="0.2">
      <c r="B468" s="2845" t="s">
        <v>1521</v>
      </c>
      <c r="C468" s="2850" t="s">
        <v>409</v>
      </c>
      <c r="D468" s="2772" t="s">
        <v>199</v>
      </c>
      <c r="E468" s="2770" t="s">
        <v>205</v>
      </c>
      <c r="F468" s="2792" t="s">
        <v>205</v>
      </c>
      <c r="G468" s="2790" t="s">
        <v>205</v>
      </c>
      <c r="H468" s="2795" t="s">
        <v>199</v>
      </c>
      <c r="I468" s="2796" t="s">
        <v>199</v>
      </c>
      <c r="J468" s="2772" t="s">
        <v>199</v>
      </c>
    </row>
    <row r="469" spans="2:10" ht="18" hidden="1" customHeight="1" outlineLevel="3" x14ac:dyDescent="0.2">
      <c r="B469" s="2845" t="s">
        <v>1522</v>
      </c>
      <c r="C469" s="2848"/>
      <c r="D469" s="2769" t="s">
        <v>205</v>
      </c>
      <c r="E469" s="2770" t="s">
        <v>205</v>
      </c>
      <c r="F469" s="2768" t="s">
        <v>205</v>
      </c>
      <c r="G469" s="2769" t="s">
        <v>205</v>
      </c>
      <c r="H469" s="2771" t="s">
        <v>205</v>
      </c>
      <c r="I469" s="2768" t="s">
        <v>205</v>
      </c>
      <c r="J469" s="2769" t="s">
        <v>205</v>
      </c>
    </row>
    <row r="470" spans="2:10" ht="18" hidden="1" customHeight="1" outlineLevel="3" x14ac:dyDescent="0.2">
      <c r="B470" s="2849" t="s">
        <v>205</v>
      </c>
      <c r="C470" s="2850" t="s">
        <v>205</v>
      </c>
      <c r="D470" s="2772" t="s">
        <v>205</v>
      </c>
      <c r="E470" s="2770" t="s">
        <v>205</v>
      </c>
      <c r="F470" s="2768" t="s">
        <v>205</v>
      </c>
      <c r="G470" s="2769" t="s">
        <v>205</v>
      </c>
      <c r="H470" s="2795" t="s">
        <v>205</v>
      </c>
      <c r="I470" s="2773" t="s">
        <v>205</v>
      </c>
      <c r="J470" s="2774" t="s">
        <v>205</v>
      </c>
    </row>
    <row r="471" spans="2:10" ht="18" hidden="1" customHeight="1" outlineLevel="3" x14ac:dyDescent="0.2">
      <c r="B471" s="2845" t="s">
        <v>1523</v>
      </c>
      <c r="C471" s="2856"/>
      <c r="D471" s="2790" t="s">
        <v>199</v>
      </c>
      <c r="E471" s="2791" t="s">
        <v>205</v>
      </c>
      <c r="F471" s="2792" t="s">
        <v>205</v>
      </c>
      <c r="G471" s="2790" t="s">
        <v>205</v>
      </c>
      <c r="H471" s="2793" t="s">
        <v>199</v>
      </c>
      <c r="I471" s="2792" t="s">
        <v>199</v>
      </c>
      <c r="J471" s="2790" t="s">
        <v>199</v>
      </c>
    </row>
    <row r="472" spans="2:10" ht="18" hidden="1" customHeight="1" outlineLevel="3" x14ac:dyDescent="0.2">
      <c r="B472" s="2844" t="s">
        <v>271</v>
      </c>
      <c r="C472" s="2848"/>
      <c r="D472" s="2781"/>
      <c r="E472" s="2781"/>
      <c r="F472" s="2781"/>
      <c r="G472" s="2781"/>
      <c r="H472" s="2781"/>
      <c r="I472" s="2781"/>
      <c r="J472" s="2794"/>
    </row>
    <row r="473" spans="2:10" ht="18" hidden="1" customHeight="1" outlineLevel="3" x14ac:dyDescent="0.2">
      <c r="B473" s="2845" t="s">
        <v>1524</v>
      </c>
      <c r="C473" s="2850" t="s">
        <v>409</v>
      </c>
      <c r="D473" s="2772" t="s">
        <v>199</v>
      </c>
      <c r="E473" s="2770" t="s">
        <v>205</v>
      </c>
      <c r="F473" s="2792" t="s">
        <v>205</v>
      </c>
      <c r="G473" s="2790" t="s">
        <v>205</v>
      </c>
      <c r="H473" s="2795" t="s">
        <v>199</v>
      </c>
      <c r="I473" s="2796" t="s">
        <v>199</v>
      </c>
      <c r="J473" s="2772" t="s">
        <v>199</v>
      </c>
    </row>
    <row r="474" spans="2:10" ht="18" hidden="1" customHeight="1" outlineLevel="3" x14ac:dyDescent="0.2">
      <c r="B474" s="2845" t="s">
        <v>1525</v>
      </c>
      <c r="C474" s="2848"/>
      <c r="D474" s="2769" t="s">
        <v>205</v>
      </c>
      <c r="E474" s="2770" t="s">
        <v>205</v>
      </c>
      <c r="F474" s="2768" t="s">
        <v>205</v>
      </c>
      <c r="G474" s="2769" t="s">
        <v>205</v>
      </c>
      <c r="H474" s="2771" t="s">
        <v>205</v>
      </c>
      <c r="I474" s="2768" t="s">
        <v>205</v>
      </c>
      <c r="J474" s="2769" t="s">
        <v>205</v>
      </c>
    </row>
    <row r="475" spans="2:10" ht="18" hidden="1" customHeight="1" outlineLevel="3" x14ac:dyDescent="0.2">
      <c r="B475" s="2849" t="s">
        <v>205</v>
      </c>
      <c r="C475" s="2850" t="s">
        <v>205</v>
      </c>
      <c r="D475" s="2772" t="s">
        <v>205</v>
      </c>
      <c r="E475" s="2770" t="s">
        <v>205</v>
      </c>
      <c r="F475" s="2768" t="s">
        <v>205</v>
      </c>
      <c r="G475" s="2769" t="s">
        <v>205</v>
      </c>
      <c r="H475" s="2795" t="s">
        <v>205</v>
      </c>
      <c r="I475" s="2773" t="s">
        <v>205</v>
      </c>
      <c r="J475" s="2774" t="s">
        <v>205</v>
      </c>
    </row>
    <row r="476" spans="2:10" ht="18" customHeight="1" outlineLevel="1" collapsed="1" thickBot="1" x14ac:dyDescent="0.25">
      <c r="B476" s="2593" t="s">
        <v>1570</v>
      </c>
      <c r="C476" s="2843"/>
      <c r="D476" s="2823"/>
      <c r="E476" s="2824"/>
      <c r="F476" s="2825"/>
      <c r="G476" s="2826"/>
      <c r="H476" s="2834" t="s">
        <v>199</v>
      </c>
      <c r="I476" s="2830" t="s">
        <v>199</v>
      </c>
      <c r="J476" s="2831" t="s">
        <v>199</v>
      </c>
    </row>
    <row r="477" spans="2:10" ht="18" hidden="1" customHeight="1" outlineLevel="2" x14ac:dyDescent="0.2">
      <c r="B477" s="2842" t="s">
        <v>1519</v>
      </c>
      <c r="C477" s="2856"/>
      <c r="D477" s="2790" t="s">
        <v>199</v>
      </c>
      <c r="E477" s="2791" t="s">
        <v>205</v>
      </c>
      <c r="F477" s="2792" t="s">
        <v>205</v>
      </c>
      <c r="G477" s="2790" t="s">
        <v>205</v>
      </c>
      <c r="H477" s="2793" t="s">
        <v>199</v>
      </c>
      <c r="I477" s="2792" t="s">
        <v>199</v>
      </c>
      <c r="J477" s="2790" t="s">
        <v>199</v>
      </c>
    </row>
    <row r="478" spans="2:10" ht="18" hidden="1" customHeight="1" outlineLevel="2" x14ac:dyDescent="0.2">
      <c r="B478" s="2844" t="s">
        <v>271</v>
      </c>
      <c r="C478" s="2848"/>
      <c r="D478" s="2781"/>
      <c r="E478" s="2781"/>
      <c r="F478" s="2781"/>
      <c r="G478" s="2781"/>
      <c r="H478" s="2781"/>
      <c r="I478" s="2781"/>
      <c r="J478" s="2794"/>
    </row>
    <row r="479" spans="2:10" ht="18" hidden="1" customHeight="1" outlineLevel="2" x14ac:dyDescent="0.2">
      <c r="B479" s="2845" t="s">
        <v>1520</v>
      </c>
      <c r="C479" s="2850" t="s">
        <v>409</v>
      </c>
      <c r="D479" s="2772" t="s">
        <v>199</v>
      </c>
      <c r="E479" s="2770" t="s">
        <v>205</v>
      </c>
      <c r="F479" s="2792" t="s">
        <v>205</v>
      </c>
      <c r="G479" s="2790" t="s">
        <v>205</v>
      </c>
      <c r="H479" s="2795" t="s">
        <v>199</v>
      </c>
      <c r="I479" s="2796" t="s">
        <v>199</v>
      </c>
      <c r="J479" s="2772" t="s">
        <v>199</v>
      </c>
    </row>
    <row r="480" spans="2:10" ht="18" hidden="1" customHeight="1" outlineLevel="2" x14ac:dyDescent="0.2">
      <c r="B480" s="2845" t="s">
        <v>1521</v>
      </c>
      <c r="C480" s="2850" t="s">
        <v>409</v>
      </c>
      <c r="D480" s="2772" t="s">
        <v>199</v>
      </c>
      <c r="E480" s="2770" t="s">
        <v>205</v>
      </c>
      <c r="F480" s="2792" t="s">
        <v>205</v>
      </c>
      <c r="G480" s="2790" t="s">
        <v>205</v>
      </c>
      <c r="H480" s="2795" t="s">
        <v>199</v>
      </c>
      <c r="I480" s="2796" t="s">
        <v>199</v>
      </c>
      <c r="J480" s="2772" t="s">
        <v>199</v>
      </c>
    </row>
    <row r="481" spans="2:10" ht="18" hidden="1" customHeight="1" outlineLevel="2" x14ac:dyDescent="0.2">
      <c r="B481" s="2845" t="s">
        <v>1522</v>
      </c>
      <c r="C481" s="2848"/>
      <c r="D481" s="2769" t="s">
        <v>205</v>
      </c>
      <c r="E481" s="2770" t="s">
        <v>205</v>
      </c>
      <c r="F481" s="2768" t="s">
        <v>205</v>
      </c>
      <c r="G481" s="2769" t="s">
        <v>205</v>
      </c>
      <c r="H481" s="2771" t="s">
        <v>205</v>
      </c>
      <c r="I481" s="2768" t="s">
        <v>205</v>
      </c>
      <c r="J481" s="2769" t="s">
        <v>205</v>
      </c>
    </row>
    <row r="482" spans="2:10" ht="18" hidden="1" customHeight="1" outlineLevel="2" x14ac:dyDescent="0.2">
      <c r="B482" s="2849" t="s">
        <v>205</v>
      </c>
      <c r="C482" s="2850" t="s">
        <v>205</v>
      </c>
      <c r="D482" s="2772" t="s">
        <v>205</v>
      </c>
      <c r="E482" s="2770" t="s">
        <v>205</v>
      </c>
      <c r="F482" s="2768" t="s">
        <v>205</v>
      </c>
      <c r="G482" s="2769" t="s">
        <v>205</v>
      </c>
      <c r="H482" s="2795" t="s">
        <v>205</v>
      </c>
      <c r="I482" s="2773" t="s">
        <v>205</v>
      </c>
      <c r="J482" s="2774" t="s">
        <v>205</v>
      </c>
    </row>
    <row r="483" spans="2:10" ht="18" hidden="1" customHeight="1" outlineLevel="2" x14ac:dyDescent="0.2">
      <c r="B483" s="2842" t="s">
        <v>1523</v>
      </c>
      <c r="C483" s="2856"/>
      <c r="D483" s="2790" t="s">
        <v>199</v>
      </c>
      <c r="E483" s="2791" t="s">
        <v>205</v>
      </c>
      <c r="F483" s="2792" t="s">
        <v>205</v>
      </c>
      <c r="G483" s="2790" t="s">
        <v>205</v>
      </c>
      <c r="H483" s="2793" t="s">
        <v>199</v>
      </c>
      <c r="I483" s="2792" t="s">
        <v>199</v>
      </c>
      <c r="J483" s="2790" t="s">
        <v>199</v>
      </c>
    </row>
    <row r="484" spans="2:10" ht="18" hidden="1" customHeight="1" outlineLevel="2" x14ac:dyDescent="0.2">
      <c r="B484" s="2844" t="s">
        <v>271</v>
      </c>
      <c r="C484" s="2848"/>
      <c r="D484" s="2781"/>
      <c r="E484" s="2781"/>
      <c r="F484" s="2781"/>
      <c r="G484" s="2781"/>
      <c r="H484" s="2781"/>
      <c r="I484" s="2781"/>
      <c r="J484" s="2794"/>
    </row>
    <row r="485" spans="2:10" ht="18" hidden="1" customHeight="1" outlineLevel="2" x14ac:dyDescent="0.2">
      <c r="B485" s="2845" t="s">
        <v>1524</v>
      </c>
      <c r="C485" s="2850" t="s">
        <v>409</v>
      </c>
      <c r="D485" s="2772" t="s">
        <v>199</v>
      </c>
      <c r="E485" s="2770" t="s">
        <v>205</v>
      </c>
      <c r="F485" s="2792" t="s">
        <v>205</v>
      </c>
      <c r="G485" s="2790" t="s">
        <v>205</v>
      </c>
      <c r="H485" s="2795" t="s">
        <v>199</v>
      </c>
      <c r="I485" s="2796" t="s">
        <v>199</v>
      </c>
      <c r="J485" s="2772" t="s">
        <v>199</v>
      </c>
    </row>
    <row r="486" spans="2:10" ht="18" hidden="1" customHeight="1" outlineLevel="2" x14ac:dyDescent="0.2">
      <c r="B486" s="2845" t="s">
        <v>1525</v>
      </c>
      <c r="C486" s="2848"/>
      <c r="D486" s="2769" t="s">
        <v>205</v>
      </c>
      <c r="E486" s="2770" t="s">
        <v>205</v>
      </c>
      <c r="F486" s="2768" t="s">
        <v>205</v>
      </c>
      <c r="G486" s="2769" t="s">
        <v>205</v>
      </c>
      <c r="H486" s="2771" t="s">
        <v>205</v>
      </c>
      <c r="I486" s="2768" t="s">
        <v>205</v>
      </c>
      <c r="J486" s="2769" t="s">
        <v>205</v>
      </c>
    </row>
    <row r="487" spans="2:10" ht="18" hidden="1" customHeight="1" outlineLevel="2" x14ac:dyDescent="0.2">
      <c r="B487" s="2849" t="s">
        <v>205</v>
      </c>
      <c r="C487" s="2850" t="s">
        <v>205</v>
      </c>
      <c r="D487" s="2772" t="s">
        <v>205</v>
      </c>
      <c r="E487" s="2770" t="s">
        <v>205</v>
      </c>
      <c r="F487" s="2768" t="s">
        <v>205</v>
      </c>
      <c r="G487" s="2769" t="s">
        <v>205</v>
      </c>
      <c r="H487" s="2795" t="s">
        <v>205</v>
      </c>
      <c r="I487" s="2773" t="s">
        <v>205</v>
      </c>
      <c r="J487" s="2774" t="s">
        <v>205</v>
      </c>
    </row>
    <row r="488" spans="2:10" ht="18" hidden="1" customHeight="1" outlineLevel="2" collapsed="1" x14ac:dyDescent="0.2">
      <c r="B488" s="2857" t="s">
        <v>1571</v>
      </c>
      <c r="C488" s="2843"/>
      <c r="D488" s="2823"/>
      <c r="E488" s="2824"/>
      <c r="F488" s="2825"/>
      <c r="G488" s="2826"/>
      <c r="H488" s="2834" t="s">
        <v>221</v>
      </c>
      <c r="I488" s="2830" t="s">
        <v>221</v>
      </c>
      <c r="J488" s="2831" t="s">
        <v>221</v>
      </c>
    </row>
    <row r="489" spans="2:10" ht="18" hidden="1" customHeight="1" outlineLevel="3" x14ac:dyDescent="0.2">
      <c r="B489" s="2845" t="s">
        <v>1519</v>
      </c>
      <c r="C489" s="2856"/>
      <c r="D489" s="2790" t="s">
        <v>199</v>
      </c>
      <c r="E489" s="2791" t="s">
        <v>205</v>
      </c>
      <c r="F489" s="2792" t="s">
        <v>205</v>
      </c>
      <c r="G489" s="2790" t="s">
        <v>205</v>
      </c>
      <c r="H489" s="2793" t="s">
        <v>221</v>
      </c>
      <c r="I489" s="2792" t="s">
        <v>221</v>
      </c>
      <c r="J489" s="2790" t="s">
        <v>221</v>
      </c>
    </row>
    <row r="490" spans="2:10" ht="18" hidden="1" customHeight="1" outlineLevel="3" x14ac:dyDescent="0.2">
      <c r="B490" s="2844" t="s">
        <v>271</v>
      </c>
      <c r="C490" s="2848"/>
      <c r="D490" s="2781"/>
      <c r="E490" s="2781"/>
      <c r="F490" s="2781"/>
      <c r="G490" s="2781"/>
      <c r="H490" s="2781"/>
      <c r="I490" s="2781"/>
      <c r="J490" s="2794"/>
    </row>
    <row r="491" spans="2:10" ht="18" hidden="1" customHeight="1" outlineLevel="3" x14ac:dyDescent="0.2">
      <c r="B491" s="2845" t="s">
        <v>1520</v>
      </c>
      <c r="C491" s="2850" t="s">
        <v>409</v>
      </c>
      <c r="D491" s="2772" t="s">
        <v>199</v>
      </c>
      <c r="E491" s="2770" t="s">
        <v>205</v>
      </c>
      <c r="F491" s="2792" t="s">
        <v>205</v>
      </c>
      <c r="G491" s="2790" t="s">
        <v>205</v>
      </c>
      <c r="H491" s="2795" t="s">
        <v>199</v>
      </c>
      <c r="I491" s="2796" t="s">
        <v>199</v>
      </c>
      <c r="J491" s="2772" t="s">
        <v>199</v>
      </c>
    </row>
    <row r="492" spans="2:10" ht="18" hidden="1" customHeight="1" outlineLevel="3" x14ac:dyDescent="0.2">
      <c r="B492" s="2845" t="s">
        <v>1521</v>
      </c>
      <c r="C492" s="2850" t="s">
        <v>409</v>
      </c>
      <c r="D492" s="2772" t="s">
        <v>221</v>
      </c>
      <c r="E492" s="2770" t="s">
        <v>205</v>
      </c>
      <c r="F492" s="2792" t="s">
        <v>205</v>
      </c>
      <c r="G492" s="2790" t="s">
        <v>205</v>
      </c>
      <c r="H492" s="2795" t="s">
        <v>221</v>
      </c>
      <c r="I492" s="2796" t="s">
        <v>221</v>
      </c>
      <c r="J492" s="2772" t="s">
        <v>221</v>
      </c>
    </row>
    <row r="493" spans="2:10" ht="18" hidden="1" customHeight="1" outlineLevel="3" x14ac:dyDescent="0.2">
      <c r="B493" s="2845" t="s">
        <v>1522</v>
      </c>
      <c r="C493" s="2848"/>
      <c r="D493" s="2769" t="s">
        <v>205</v>
      </c>
      <c r="E493" s="2770" t="s">
        <v>205</v>
      </c>
      <c r="F493" s="2768" t="s">
        <v>205</v>
      </c>
      <c r="G493" s="2769" t="s">
        <v>205</v>
      </c>
      <c r="H493" s="2771" t="s">
        <v>205</v>
      </c>
      <c r="I493" s="2768" t="s">
        <v>205</v>
      </c>
      <c r="J493" s="2769" t="s">
        <v>205</v>
      </c>
    </row>
    <row r="494" spans="2:10" ht="18" hidden="1" customHeight="1" outlineLevel="3" x14ac:dyDescent="0.2">
      <c r="B494" s="2849" t="s">
        <v>205</v>
      </c>
      <c r="C494" s="2850" t="s">
        <v>205</v>
      </c>
      <c r="D494" s="2772" t="s">
        <v>205</v>
      </c>
      <c r="E494" s="2770" t="s">
        <v>205</v>
      </c>
      <c r="F494" s="2768" t="s">
        <v>205</v>
      </c>
      <c r="G494" s="2769" t="s">
        <v>205</v>
      </c>
      <c r="H494" s="2795" t="s">
        <v>205</v>
      </c>
      <c r="I494" s="2773" t="s">
        <v>205</v>
      </c>
      <c r="J494" s="2774" t="s">
        <v>205</v>
      </c>
    </row>
    <row r="495" spans="2:10" ht="18" hidden="1" customHeight="1" outlineLevel="3" x14ac:dyDescent="0.2">
      <c r="B495" s="2845" t="s">
        <v>1523</v>
      </c>
      <c r="C495" s="2856"/>
      <c r="D495" s="2790" t="s">
        <v>199</v>
      </c>
      <c r="E495" s="2791" t="s">
        <v>205</v>
      </c>
      <c r="F495" s="2792" t="s">
        <v>205</v>
      </c>
      <c r="G495" s="2790" t="s">
        <v>205</v>
      </c>
      <c r="H495" s="2793" t="s">
        <v>199</v>
      </c>
      <c r="I495" s="2792" t="s">
        <v>199</v>
      </c>
      <c r="J495" s="2790" t="s">
        <v>199</v>
      </c>
    </row>
    <row r="496" spans="2:10" ht="18" hidden="1" customHeight="1" outlineLevel="3" x14ac:dyDescent="0.2">
      <c r="B496" s="2844" t="s">
        <v>271</v>
      </c>
      <c r="C496" s="2848"/>
      <c r="D496" s="2781"/>
      <c r="E496" s="2781"/>
      <c r="F496" s="2781"/>
      <c r="G496" s="2781"/>
      <c r="H496" s="2781"/>
      <c r="I496" s="2781"/>
      <c r="J496" s="2794"/>
    </row>
    <row r="497" spans="2:10" ht="18" hidden="1" customHeight="1" outlineLevel="3" x14ac:dyDescent="0.2">
      <c r="B497" s="2845" t="s">
        <v>1524</v>
      </c>
      <c r="C497" s="2850" t="s">
        <v>409</v>
      </c>
      <c r="D497" s="2772" t="s">
        <v>221</v>
      </c>
      <c r="E497" s="2770" t="s">
        <v>205</v>
      </c>
      <c r="F497" s="2792" t="s">
        <v>205</v>
      </c>
      <c r="G497" s="2790" t="s">
        <v>205</v>
      </c>
      <c r="H497" s="2795" t="s">
        <v>221</v>
      </c>
      <c r="I497" s="2796" t="s">
        <v>221</v>
      </c>
      <c r="J497" s="2772" t="s">
        <v>221</v>
      </c>
    </row>
    <row r="498" spans="2:10" ht="18" hidden="1" customHeight="1" outlineLevel="3" x14ac:dyDescent="0.2">
      <c r="B498" s="2845" t="s">
        <v>1525</v>
      </c>
      <c r="C498" s="2848"/>
      <c r="D498" s="2769" t="s">
        <v>205</v>
      </c>
      <c r="E498" s="2770" t="s">
        <v>205</v>
      </c>
      <c r="F498" s="2768" t="s">
        <v>205</v>
      </c>
      <c r="G498" s="2769" t="s">
        <v>205</v>
      </c>
      <c r="H498" s="2771" t="s">
        <v>205</v>
      </c>
      <c r="I498" s="2768" t="s">
        <v>205</v>
      </c>
      <c r="J498" s="2769" t="s">
        <v>205</v>
      </c>
    </row>
    <row r="499" spans="2:10" ht="18" hidden="1" customHeight="1" outlineLevel="3" x14ac:dyDescent="0.2">
      <c r="B499" s="2849" t="s">
        <v>205</v>
      </c>
      <c r="C499" s="2850" t="s">
        <v>205</v>
      </c>
      <c r="D499" s="2772" t="s">
        <v>205</v>
      </c>
      <c r="E499" s="2770" t="s">
        <v>205</v>
      </c>
      <c r="F499" s="2768" t="s">
        <v>205</v>
      </c>
      <c r="G499" s="2769" t="s">
        <v>205</v>
      </c>
      <c r="H499" s="2795" t="s">
        <v>205</v>
      </c>
      <c r="I499" s="2773" t="s">
        <v>205</v>
      </c>
      <c r="J499" s="2774" t="s">
        <v>205</v>
      </c>
    </row>
    <row r="500" spans="2:10" ht="18" hidden="1" customHeight="1" outlineLevel="2" collapsed="1" x14ac:dyDescent="0.2">
      <c r="B500" s="2857" t="s">
        <v>1572</v>
      </c>
      <c r="C500" s="2843"/>
      <c r="D500" s="2823"/>
      <c r="E500" s="2824"/>
      <c r="F500" s="2825"/>
      <c r="G500" s="2826"/>
      <c r="H500" s="2834" t="s">
        <v>199</v>
      </c>
      <c r="I500" s="2830" t="s">
        <v>199</v>
      </c>
      <c r="J500" s="2831" t="s">
        <v>199</v>
      </c>
    </row>
    <row r="501" spans="2:10" ht="18" hidden="1" customHeight="1" outlineLevel="3" x14ac:dyDescent="0.2">
      <c r="B501" s="2845" t="s">
        <v>1519</v>
      </c>
      <c r="C501" s="2856"/>
      <c r="D501" s="2790" t="s">
        <v>199</v>
      </c>
      <c r="E501" s="2791" t="s">
        <v>205</v>
      </c>
      <c r="F501" s="2792" t="s">
        <v>205</v>
      </c>
      <c r="G501" s="2790" t="s">
        <v>205</v>
      </c>
      <c r="H501" s="2793" t="s">
        <v>199</v>
      </c>
      <c r="I501" s="2792" t="s">
        <v>199</v>
      </c>
      <c r="J501" s="2790" t="s">
        <v>199</v>
      </c>
    </row>
    <row r="502" spans="2:10" ht="18" hidden="1" customHeight="1" outlineLevel="3" x14ac:dyDescent="0.2">
      <c r="B502" s="2844" t="s">
        <v>271</v>
      </c>
      <c r="C502" s="2848"/>
      <c r="D502" s="2781"/>
      <c r="E502" s="2781"/>
      <c r="F502" s="2781"/>
      <c r="G502" s="2781"/>
      <c r="H502" s="2781"/>
      <c r="I502" s="2781"/>
      <c r="J502" s="2794"/>
    </row>
    <row r="503" spans="2:10" ht="18" hidden="1" customHeight="1" outlineLevel="3" x14ac:dyDescent="0.2">
      <c r="B503" s="2845" t="s">
        <v>1520</v>
      </c>
      <c r="C503" s="2850" t="s">
        <v>409</v>
      </c>
      <c r="D503" s="2772" t="s">
        <v>199</v>
      </c>
      <c r="E503" s="2770" t="s">
        <v>205</v>
      </c>
      <c r="F503" s="2792" t="s">
        <v>205</v>
      </c>
      <c r="G503" s="2790" t="s">
        <v>205</v>
      </c>
      <c r="H503" s="2795" t="s">
        <v>199</v>
      </c>
      <c r="I503" s="2796" t="s">
        <v>199</v>
      </c>
      <c r="J503" s="2772" t="s">
        <v>199</v>
      </c>
    </row>
    <row r="504" spans="2:10" ht="18" hidden="1" customHeight="1" outlineLevel="3" x14ac:dyDescent="0.2">
      <c r="B504" s="2845" t="s">
        <v>1521</v>
      </c>
      <c r="C504" s="2850" t="s">
        <v>409</v>
      </c>
      <c r="D504" s="2772" t="s">
        <v>199</v>
      </c>
      <c r="E504" s="2770" t="s">
        <v>205</v>
      </c>
      <c r="F504" s="2792" t="s">
        <v>205</v>
      </c>
      <c r="G504" s="2790" t="s">
        <v>205</v>
      </c>
      <c r="H504" s="2795" t="s">
        <v>199</v>
      </c>
      <c r="I504" s="2796" t="s">
        <v>199</v>
      </c>
      <c r="J504" s="2772" t="s">
        <v>199</v>
      </c>
    </row>
    <row r="505" spans="2:10" ht="18" hidden="1" customHeight="1" outlineLevel="3" x14ac:dyDescent="0.2">
      <c r="B505" s="2845" t="s">
        <v>1522</v>
      </c>
      <c r="C505" s="2848"/>
      <c r="D505" s="2769" t="s">
        <v>205</v>
      </c>
      <c r="E505" s="2770" t="s">
        <v>205</v>
      </c>
      <c r="F505" s="2768" t="s">
        <v>205</v>
      </c>
      <c r="G505" s="2769" t="s">
        <v>205</v>
      </c>
      <c r="H505" s="2771" t="s">
        <v>205</v>
      </c>
      <c r="I505" s="2768" t="s">
        <v>205</v>
      </c>
      <c r="J505" s="2769" t="s">
        <v>205</v>
      </c>
    </row>
    <row r="506" spans="2:10" ht="18" hidden="1" customHeight="1" outlineLevel="3" x14ac:dyDescent="0.2">
      <c r="B506" s="2849" t="s">
        <v>205</v>
      </c>
      <c r="C506" s="2850" t="s">
        <v>205</v>
      </c>
      <c r="D506" s="2772" t="s">
        <v>205</v>
      </c>
      <c r="E506" s="2770" t="s">
        <v>205</v>
      </c>
      <c r="F506" s="2768" t="s">
        <v>205</v>
      </c>
      <c r="G506" s="2769" t="s">
        <v>205</v>
      </c>
      <c r="H506" s="2795" t="s">
        <v>205</v>
      </c>
      <c r="I506" s="2773" t="s">
        <v>205</v>
      </c>
      <c r="J506" s="2774" t="s">
        <v>205</v>
      </c>
    </row>
    <row r="507" spans="2:10" ht="18" hidden="1" customHeight="1" outlineLevel="3" x14ac:dyDescent="0.2">
      <c r="B507" s="2845" t="s">
        <v>1523</v>
      </c>
      <c r="C507" s="2856"/>
      <c r="D507" s="2790" t="s">
        <v>199</v>
      </c>
      <c r="E507" s="2791" t="s">
        <v>205</v>
      </c>
      <c r="F507" s="2792" t="s">
        <v>205</v>
      </c>
      <c r="G507" s="2790" t="s">
        <v>205</v>
      </c>
      <c r="H507" s="2793" t="s">
        <v>199</v>
      </c>
      <c r="I507" s="2792" t="s">
        <v>199</v>
      </c>
      <c r="J507" s="2790" t="s">
        <v>199</v>
      </c>
    </row>
    <row r="508" spans="2:10" ht="18" hidden="1" customHeight="1" outlineLevel="3" x14ac:dyDescent="0.2">
      <c r="B508" s="2844" t="s">
        <v>271</v>
      </c>
      <c r="C508" s="2848"/>
      <c r="D508" s="2781"/>
      <c r="E508" s="2781"/>
      <c r="F508" s="2781"/>
      <c r="G508" s="2781"/>
      <c r="H508" s="2781"/>
      <c r="I508" s="2781"/>
      <c r="J508" s="2794"/>
    </row>
    <row r="509" spans="2:10" ht="18" hidden="1" customHeight="1" outlineLevel="3" x14ac:dyDescent="0.2">
      <c r="B509" s="2845" t="s">
        <v>1524</v>
      </c>
      <c r="C509" s="2850" t="s">
        <v>409</v>
      </c>
      <c r="D509" s="2772" t="s">
        <v>199</v>
      </c>
      <c r="E509" s="2770" t="s">
        <v>205</v>
      </c>
      <c r="F509" s="2792" t="s">
        <v>205</v>
      </c>
      <c r="G509" s="2790" t="s">
        <v>205</v>
      </c>
      <c r="H509" s="2795" t="s">
        <v>199</v>
      </c>
      <c r="I509" s="2796" t="s">
        <v>199</v>
      </c>
      <c r="J509" s="2772" t="s">
        <v>199</v>
      </c>
    </row>
    <row r="510" spans="2:10" ht="18" hidden="1" customHeight="1" outlineLevel="3" x14ac:dyDescent="0.2">
      <c r="B510" s="2845" t="s">
        <v>1525</v>
      </c>
      <c r="C510" s="2848"/>
      <c r="D510" s="2769" t="s">
        <v>205</v>
      </c>
      <c r="E510" s="2770" t="s">
        <v>205</v>
      </c>
      <c r="F510" s="2768" t="s">
        <v>205</v>
      </c>
      <c r="G510" s="2769" t="s">
        <v>205</v>
      </c>
      <c r="H510" s="2771" t="s">
        <v>205</v>
      </c>
      <c r="I510" s="2768" t="s">
        <v>205</v>
      </c>
      <c r="J510" s="2769" t="s">
        <v>205</v>
      </c>
    </row>
    <row r="511" spans="2:10" ht="18" hidden="1" customHeight="1" outlineLevel="3" x14ac:dyDescent="0.2">
      <c r="B511" s="2849" t="s">
        <v>205</v>
      </c>
      <c r="C511" s="2850" t="s">
        <v>205</v>
      </c>
      <c r="D511" s="2772" t="s">
        <v>205</v>
      </c>
      <c r="E511" s="2770" t="s">
        <v>205</v>
      </c>
      <c r="F511" s="2768" t="s">
        <v>205</v>
      </c>
      <c r="G511" s="2769" t="s">
        <v>205</v>
      </c>
      <c r="H511" s="2795" t="s">
        <v>205</v>
      </c>
      <c r="I511" s="2773" t="s">
        <v>205</v>
      </c>
      <c r="J511" s="2774" t="s">
        <v>205</v>
      </c>
    </row>
    <row r="512" spans="2:10" ht="18" hidden="1" customHeight="1" outlineLevel="2" collapsed="1" x14ac:dyDescent="0.2">
      <c r="B512" s="2857" t="s">
        <v>1573</v>
      </c>
      <c r="C512" s="2843"/>
      <c r="D512" s="2823"/>
      <c r="E512" s="2824"/>
      <c r="F512" s="2825"/>
      <c r="G512" s="2826"/>
      <c r="H512" s="2834" t="s">
        <v>199</v>
      </c>
      <c r="I512" s="2830" t="s">
        <v>199</v>
      </c>
      <c r="J512" s="2831" t="s">
        <v>199</v>
      </c>
    </row>
    <row r="513" spans="2:10" ht="18" hidden="1" customHeight="1" outlineLevel="3" x14ac:dyDescent="0.2">
      <c r="B513" s="2845" t="s">
        <v>1519</v>
      </c>
      <c r="C513" s="2856"/>
      <c r="D513" s="2790" t="s">
        <v>199</v>
      </c>
      <c r="E513" s="2791" t="s">
        <v>205</v>
      </c>
      <c r="F513" s="2792" t="s">
        <v>205</v>
      </c>
      <c r="G513" s="2790" t="s">
        <v>205</v>
      </c>
      <c r="H513" s="2793" t="s">
        <v>199</v>
      </c>
      <c r="I513" s="2792" t="s">
        <v>199</v>
      </c>
      <c r="J513" s="2790" t="s">
        <v>199</v>
      </c>
    </row>
    <row r="514" spans="2:10" ht="18" hidden="1" customHeight="1" outlineLevel="3" x14ac:dyDescent="0.2">
      <c r="B514" s="2844" t="s">
        <v>271</v>
      </c>
      <c r="C514" s="2848"/>
      <c r="D514" s="2781"/>
      <c r="E514" s="2781"/>
      <c r="F514" s="2781"/>
      <c r="G514" s="2781"/>
      <c r="H514" s="2781"/>
      <c r="I514" s="2781"/>
      <c r="J514" s="2794"/>
    </row>
    <row r="515" spans="2:10" ht="18" hidden="1" customHeight="1" outlineLevel="3" x14ac:dyDescent="0.2">
      <c r="B515" s="2845" t="s">
        <v>1520</v>
      </c>
      <c r="C515" s="2850" t="s">
        <v>409</v>
      </c>
      <c r="D515" s="2772" t="s">
        <v>199</v>
      </c>
      <c r="E515" s="2770" t="s">
        <v>205</v>
      </c>
      <c r="F515" s="2792" t="s">
        <v>205</v>
      </c>
      <c r="G515" s="2790" t="s">
        <v>205</v>
      </c>
      <c r="H515" s="2795" t="s">
        <v>199</v>
      </c>
      <c r="I515" s="2796" t="s">
        <v>199</v>
      </c>
      <c r="J515" s="2772" t="s">
        <v>199</v>
      </c>
    </row>
    <row r="516" spans="2:10" ht="18" hidden="1" customHeight="1" outlineLevel="3" x14ac:dyDescent="0.2">
      <c r="B516" s="2845" t="s">
        <v>1521</v>
      </c>
      <c r="C516" s="2850" t="s">
        <v>409</v>
      </c>
      <c r="D516" s="2772" t="s">
        <v>199</v>
      </c>
      <c r="E516" s="2770" t="s">
        <v>205</v>
      </c>
      <c r="F516" s="2792" t="s">
        <v>205</v>
      </c>
      <c r="G516" s="2790" t="s">
        <v>205</v>
      </c>
      <c r="H516" s="2795" t="s">
        <v>199</v>
      </c>
      <c r="I516" s="2796" t="s">
        <v>199</v>
      </c>
      <c r="J516" s="2772" t="s">
        <v>199</v>
      </c>
    </row>
    <row r="517" spans="2:10" ht="18" hidden="1" customHeight="1" outlineLevel="3" x14ac:dyDescent="0.2">
      <c r="B517" s="2845" t="s">
        <v>1522</v>
      </c>
      <c r="C517" s="2848"/>
      <c r="D517" s="2769" t="s">
        <v>205</v>
      </c>
      <c r="E517" s="2770" t="s">
        <v>205</v>
      </c>
      <c r="F517" s="2768" t="s">
        <v>205</v>
      </c>
      <c r="G517" s="2769" t="s">
        <v>205</v>
      </c>
      <c r="H517" s="2771" t="s">
        <v>205</v>
      </c>
      <c r="I517" s="2768" t="s">
        <v>205</v>
      </c>
      <c r="J517" s="2769" t="s">
        <v>205</v>
      </c>
    </row>
    <row r="518" spans="2:10" ht="18" hidden="1" customHeight="1" outlineLevel="3" x14ac:dyDescent="0.2">
      <c r="B518" s="2849" t="s">
        <v>205</v>
      </c>
      <c r="C518" s="2850" t="s">
        <v>205</v>
      </c>
      <c r="D518" s="2772" t="s">
        <v>205</v>
      </c>
      <c r="E518" s="2770" t="s">
        <v>205</v>
      </c>
      <c r="F518" s="2768" t="s">
        <v>205</v>
      </c>
      <c r="G518" s="2769" t="s">
        <v>205</v>
      </c>
      <c r="H518" s="2795" t="s">
        <v>205</v>
      </c>
      <c r="I518" s="2773" t="s">
        <v>205</v>
      </c>
      <c r="J518" s="2774" t="s">
        <v>205</v>
      </c>
    </row>
    <row r="519" spans="2:10" ht="18" hidden="1" customHeight="1" outlineLevel="3" x14ac:dyDescent="0.2">
      <c r="B519" s="2845" t="s">
        <v>1523</v>
      </c>
      <c r="C519" s="2856"/>
      <c r="D519" s="2790" t="s">
        <v>199</v>
      </c>
      <c r="E519" s="2791" t="s">
        <v>205</v>
      </c>
      <c r="F519" s="2792" t="s">
        <v>205</v>
      </c>
      <c r="G519" s="2790" t="s">
        <v>205</v>
      </c>
      <c r="H519" s="2793" t="s">
        <v>199</v>
      </c>
      <c r="I519" s="2792" t="s">
        <v>199</v>
      </c>
      <c r="J519" s="2790" t="s">
        <v>199</v>
      </c>
    </row>
    <row r="520" spans="2:10" ht="18" hidden="1" customHeight="1" outlineLevel="3" x14ac:dyDescent="0.2">
      <c r="B520" s="2844" t="s">
        <v>271</v>
      </c>
      <c r="C520" s="2848"/>
      <c r="D520" s="2781"/>
      <c r="E520" s="2781"/>
      <c r="F520" s="2781"/>
      <c r="G520" s="2781"/>
      <c r="H520" s="2781"/>
      <c r="I520" s="2781"/>
      <c r="J520" s="2794"/>
    </row>
    <row r="521" spans="2:10" ht="18" hidden="1" customHeight="1" outlineLevel="3" x14ac:dyDescent="0.2">
      <c r="B521" s="2845" t="s">
        <v>1524</v>
      </c>
      <c r="C521" s="2850" t="s">
        <v>409</v>
      </c>
      <c r="D521" s="2772" t="s">
        <v>199</v>
      </c>
      <c r="E521" s="2770" t="s">
        <v>205</v>
      </c>
      <c r="F521" s="2792" t="s">
        <v>205</v>
      </c>
      <c r="G521" s="2790" t="s">
        <v>205</v>
      </c>
      <c r="H521" s="2795" t="s">
        <v>199</v>
      </c>
      <c r="I521" s="2796" t="s">
        <v>199</v>
      </c>
      <c r="J521" s="2772" t="s">
        <v>199</v>
      </c>
    </row>
    <row r="522" spans="2:10" ht="18" hidden="1" customHeight="1" outlineLevel="3" x14ac:dyDescent="0.2">
      <c r="B522" s="2845" t="s">
        <v>1525</v>
      </c>
      <c r="C522" s="2848"/>
      <c r="D522" s="2769" t="s">
        <v>205</v>
      </c>
      <c r="E522" s="2770" t="s">
        <v>205</v>
      </c>
      <c r="F522" s="2768" t="s">
        <v>205</v>
      </c>
      <c r="G522" s="2769" t="s">
        <v>205</v>
      </c>
      <c r="H522" s="2771" t="s">
        <v>205</v>
      </c>
      <c r="I522" s="2768" t="s">
        <v>205</v>
      </c>
      <c r="J522" s="2769" t="s">
        <v>205</v>
      </c>
    </row>
    <row r="523" spans="2:10" ht="18" hidden="1" customHeight="1" outlineLevel="3" x14ac:dyDescent="0.2">
      <c r="B523" s="2849" t="s">
        <v>205</v>
      </c>
      <c r="C523" s="2850" t="s">
        <v>205</v>
      </c>
      <c r="D523" s="2772" t="s">
        <v>205</v>
      </c>
      <c r="E523" s="2770" t="s">
        <v>205</v>
      </c>
      <c r="F523" s="2768" t="s">
        <v>205</v>
      </c>
      <c r="G523" s="2769" t="s">
        <v>205</v>
      </c>
      <c r="H523" s="2795" t="s">
        <v>205</v>
      </c>
      <c r="I523" s="2773" t="s">
        <v>205</v>
      </c>
      <c r="J523" s="2774" t="s">
        <v>205</v>
      </c>
    </row>
    <row r="524" spans="2:10" ht="18" hidden="1" customHeight="1" outlineLevel="2" collapsed="1" x14ac:dyDescent="0.2">
      <c r="B524" s="2857" t="s">
        <v>1574</v>
      </c>
      <c r="C524" s="2843"/>
      <c r="D524" s="2823"/>
      <c r="E524" s="2824"/>
      <c r="F524" s="2825"/>
      <c r="G524" s="2826"/>
      <c r="H524" s="2834" t="s">
        <v>199</v>
      </c>
      <c r="I524" s="2830" t="s">
        <v>199</v>
      </c>
      <c r="J524" s="2831" t="s">
        <v>199</v>
      </c>
    </row>
    <row r="525" spans="2:10" ht="18" hidden="1" customHeight="1" outlineLevel="3" x14ac:dyDescent="0.2">
      <c r="B525" s="2845" t="s">
        <v>1519</v>
      </c>
      <c r="C525" s="2856"/>
      <c r="D525" s="2790" t="s">
        <v>199</v>
      </c>
      <c r="E525" s="2791" t="s">
        <v>205</v>
      </c>
      <c r="F525" s="2792" t="s">
        <v>205</v>
      </c>
      <c r="G525" s="2790" t="s">
        <v>205</v>
      </c>
      <c r="H525" s="2793" t="s">
        <v>199</v>
      </c>
      <c r="I525" s="2792" t="s">
        <v>199</v>
      </c>
      <c r="J525" s="2790" t="s">
        <v>199</v>
      </c>
    </row>
    <row r="526" spans="2:10" ht="18" hidden="1" customHeight="1" outlineLevel="3" x14ac:dyDescent="0.2">
      <c r="B526" s="2844" t="s">
        <v>271</v>
      </c>
      <c r="C526" s="2848"/>
      <c r="D526" s="2781"/>
      <c r="E526" s="2781"/>
      <c r="F526" s="2781"/>
      <c r="G526" s="2781"/>
      <c r="H526" s="2781"/>
      <c r="I526" s="2781"/>
      <c r="J526" s="2794"/>
    </row>
    <row r="527" spans="2:10" ht="18" hidden="1" customHeight="1" outlineLevel="3" x14ac:dyDescent="0.2">
      <c r="B527" s="2845" t="s">
        <v>1520</v>
      </c>
      <c r="C527" s="2850" t="s">
        <v>409</v>
      </c>
      <c r="D527" s="2772" t="s">
        <v>199</v>
      </c>
      <c r="E527" s="2770" t="s">
        <v>205</v>
      </c>
      <c r="F527" s="2792" t="s">
        <v>205</v>
      </c>
      <c r="G527" s="2790" t="s">
        <v>205</v>
      </c>
      <c r="H527" s="2795" t="s">
        <v>199</v>
      </c>
      <c r="I527" s="2796" t="s">
        <v>199</v>
      </c>
      <c r="J527" s="2772" t="s">
        <v>199</v>
      </c>
    </row>
    <row r="528" spans="2:10" ht="18" hidden="1" customHeight="1" outlineLevel="3" x14ac:dyDescent="0.2">
      <c r="B528" s="2845" t="s">
        <v>1521</v>
      </c>
      <c r="C528" s="2850" t="s">
        <v>409</v>
      </c>
      <c r="D528" s="2772" t="s">
        <v>199</v>
      </c>
      <c r="E528" s="2770" t="s">
        <v>205</v>
      </c>
      <c r="F528" s="2792" t="s">
        <v>205</v>
      </c>
      <c r="G528" s="2790" t="s">
        <v>205</v>
      </c>
      <c r="H528" s="2795" t="s">
        <v>199</v>
      </c>
      <c r="I528" s="2796" t="s">
        <v>199</v>
      </c>
      <c r="J528" s="2772" t="s">
        <v>199</v>
      </c>
    </row>
    <row r="529" spans="2:10" ht="18" hidden="1" customHeight="1" outlineLevel="3" x14ac:dyDescent="0.2">
      <c r="B529" s="2845" t="s">
        <v>1522</v>
      </c>
      <c r="C529" s="2848"/>
      <c r="D529" s="2769" t="s">
        <v>205</v>
      </c>
      <c r="E529" s="2770" t="s">
        <v>205</v>
      </c>
      <c r="F529" s="2768" t="s">
        <v>205</v>
      </c>
      <c r="G529" s="2769" t="s">
        <v>205</v>
      </c>
      <c r="H529" s="2771" t="s">
        <v>205</v>
      </c>
      <c r="I529" s="2768" t="s">
        <v>205</v>
      </c>
      <c r="J529" s="2769" t="s">
        <v>205</v>
      </c>
    </row>
    <row r="530" spans="2:10" ht="18" hidden="1" customHeight="1" outlineLevel="3" x14ac:dyDescent="0.2">
      <c r="B530" s="2849" t="s">
        <v>205</v>
      </c>
      <c r="C530" s="2850" t="s">
        <v>205</v>
      </c>
      <c r="D530" s="2772" t="s">
        <v>205</v>
      </c>
      <c r="E530" s="2770" t="s">
        <v>205</v>
      </c>
      <c r="F530" s="2768" t="s">
        <v>205</v>
      </c>
      <c r="G530" s="2769" t="s">
        <v>205</v>
      </c>
      <c r="H530" s="2795" t="s">
        <v>205</v>
      </c>
      <c r="I530" s="2773" t="s">
        <v>205</v>
      </c>
      <c r="J530" s="2774" t="s">
        <v>205</v>
      </c>
    </row>
    <row r="531" spans="2:10" ht="18" hidden="1" customHeight="1" outlineLevel="3" x14ac:dyDescent="0.2">
      <c r="B531" s="2845" t="s">
        <v>1523</v>
      </c>
      <c r="C531" s="2856"/>
      <c r="D531" s="2790" t="s">
        <v>199</v>
      </c>
      <c r="E531" s="2791" t="s">
        <v>205</v>
      </c>
      <c r="F531" s="2792" t="s">
        <v>205</v>
      </c>
      <c r="G531" s="2790" t="s">
        <v>205</v>
      </c>
      <c r="H531" s="2793" t="s">
        <v>199</v>
      </c>
      <c r="I531" s="2792" t="s">
        <v>199</v>
      </c>
      <c r="J531" s="2790" t="s">
        <v>199</v>
      </c>
    </row>
    <row r="532" spans="2:10" ht="18" hidden="1" customHeight="1" outlineLevel="3" x14ac:dyDescent="0.2">
      <c r="B532" s="2844" t="s">
        <v>271</v>
      </c>
      <c r="C532" s="2848"/>
      <c r="D532" s="2781"/>
      <c r="E532" s="2781"/>
      <c r="F532" s="2781"/>
      <c r="G532" s="2781"/>
      <c r="H532" s="2781"/>
      <c r="I532" s="2781"/>
      <c r="J532" s="2794"/>
    </row>
    <row r="533" spans="2:10" ht="18" hidden="1" customHeight="1" outlineLevel="3" x14ac:dyDescent="0.2">
      <c r="B533" s="2845" t="s">
        <v>1524</v>
      </c>
      <c r="C533" s="2850" t="s">
        <v>409</v>
      </c>
      <c r="D533" s="2772" t="s">
        <v>199</v>
      </c>
      <c r="E533" s="2770" t="s">
        <v>205</v>
      </c>
      <c r="F533" s="2792" t="s">
        <v>205</v>
      </c>
      <c r="G533" s="2790" t="s">
        <v>205</v>
      </c>
      <c r="H533" s="2795" t="s">
        <v>199</v>
      </c>
      <c r="I533" s="2796" t="s">
        <v>199</v>
      </c>
      <c r="J533" s="2772" t="s">
        <v>199</v>
      </c>
    </row>
    <row r="534" spans="2:10" ht="18" hidden="1" customHeight="1" outlineLevel="3" x14ac:dyDescent="0.2">
      <c r="B534" s="2845" t="s">
        <v>1525</v>
      </c>
      <c r="C534" s="2848"/>
      <c r="D534" s="2769" t="s">
        <v>205</v>
      </c>
      <c r="E534" s="2770" t="s">
        <v>205</v>
      </c>
      <c r="F534" s="2768" t="s">
        <v>205</v>
      </c>
      <c r="G534" s="2769" t="s">
        <v>205</v>
      </c>
      <c r="H534" s="2771" t="s">
        <v>205</v>
      </c>
      <c r="I534" s="2768" t="s">
        <v>205</v>
      </c>
      <c r="J534" s="2769" t="s">
        <v>205</v>
      </c>
    </row>
    <row r="535" spans="2:10" ht="18" hidden="1" customHeight="1" outlineLevel="3" x14ac:dyDescent="0.2">
      <c r="B535" s="2849" t="s">
        <v>205</v>
      </c>
      <c r="C535" s="2850" t="s">
        <v>205</v>
      </c>
      <c r="D535" s="2772" t="s">
        <v>205</v>
      </c>
      <c r="E535" s="2770" t="s">
        <v>205</v>
      </c>
      <c r="F535" s="2768" t="s">
        <v>205</v>
      </c>
      <c r="G535" s="2769" t="s">
        <v>205</v>
      </c>
      <c r="H535" s="2795" t="s">
        <v>205</v>
      </c>
      <c r="I535" s="2773" t="s">
        <v>205</v>
      </c>
      <c r="J535" s="2774" t="s">
        <v>205</v>
      </c>
    </row>
    <row r="536" spans="2:10" ht="18" hidden="1" customHeight="1" outlineLevel="2" collapsed="1" thickBot="1" x14ac:dyDescent="0.25">
      <c r="B536" s="2857" t="s">
        <v>1575</v>
      </c>
      <c r="C536" s="2843"/>
      <c r="D536" s="2823"/>
      <c r="E536" s="2824"/>
      <c r="F536" s="2825"/>
      <c r="G536" s="2826"/>
      <c r="H536" s="2834" t="s">
        <v>199</v>
      </c>
      <c r="I536" s="2830" t="s">
        <v>199</v>
      </c>
      <c r="J536" s="2831" t="s">
        <v>199</v>
      </c>
    </row>
    <row r="537" spans="2:10" ht="18" hidden="1" customHeight="1" outlineLevel="3" x14ac:dyDescent="0.2">
      <c r="B537" s="2845" t="s">
        <v>1519</v>
      </c>
      <c r="C537" s="2856"/>
      <c r="D537" s="2790" t="s">
        <v>199</v>
      </c>
      <c r="E537" s="2791" t="s">
        <v>205</v>
      </c>
      <c r="F537" s="2792" t="s">
        <v>205</v>
      </c>
      <c r="G537" s="2790" t="s">
        <v>205</v>
      </c>
      <c r="H537" s="2793" t="s">
        <v>199</v>
      </c>
      <c r="I537" s="2792" t="s">
        <v>199</v>
      </c>
      <c r="J537" s="2790" t="s">
        <v>199</v>
      </c>
    </row>
    <row r="538" spans="2:10" ht="18" hidden="1" customHeight="1" outlineLevel="3" x14ac:dyDescent="0.2">
      <c r="B538" s="2844" t="s">
        <v>271</v>
      </c>
      <c r="C538" s="2848"/>
      <c r="D538" s="2781"/>
      <c r="E538" s="2781"/>
      <c r="F538" s="2781"/>
      <c r="G538" s="2781"/>
      <c r="H538" s="2781"/>
      <c r="I538" s="2781"/>
      <c r="J538" s="2794"/>
    </row>
    <row r="539" spans="2:10" ht="18" hidden="1" customHeight="1" outlineLevel="3" x14ac:dyDescent="0.2">
      <c r="B539" s="2845" t="s">
        <v>1520</v>
      </c>
      <c r="C539" s="2850" t="s">
        <v>409</v>
      </c>
      <c r="D539" s="2772" t="s">
        <v>199</v>
      </c>
      <c r="E539" s="2770" t="s">
        <v>205</v>
      </c>
      <c r="F539" s="2792" t="s">
        <v>205</v>
      </c>
      <c r="G539" s="2790" t="s">
        <v>205</v>
      </c>
      <c r="H539" s="2795" t="s">
        <v>199</v>
      </c>
      <c r="I539" s="2796" t="s">
        <v>199</v>
      </c>
      <c r="J539" s="2772" t="s">
        <v>199</v>
      </c>
    </row>
    <row r="540" spans="2:10" ht="18" hidden="1" customHeight="1" outlineLevel="3" x14ac:dyDescent="0.2">
      <c r="B540" s="2845" t="s">
        <v>1521</v>
      </c>
      <c r="C540" s="2850" t="s">
        <v>409</v>
      </c>
      <c r="D540" s="2772" t="s">
        <v>199</v>
      </c>
      <c r="E540" s="2770" t="s">
        <v>205</v>
      </c>
      <c r="F540" s="2792" t="s">
        <v>205</v>
      </c>
      <c r="G540" s="2790" t="s">
        <v>205</v>
      </c>
      <c r="H540" s="2795" t="s">
        <v>199</v>
      </c>
      <c r="I540" s="2796" t="s">
        <v>199</v>
      </c>
      <c r="J540" s="2772" t="s">
        <v>199</v>
      </c>
    </row>
    <row r="541" spans="2:10" ht="18" hidden="1" customHeight="1" outlineLevel="3" x14ac:dyDescent="0.2">
      <c r="B541" s="2845" t="s">
        <v>1522</v>
      </c>
      <c r="C541" s="2848"/>
      <c r="D541" s="2769" t="s">
        <v>205</v>
      </c>
      <c r="E541" s="2770" t="s">
        <v>205</v>
      </c>
      <c r="F541" s="2768" t="s">
        <v>205</v>
      </c>
      <c r="G541" s="2769" t="s">
        <v>205</v>
      </c>
      <c r="H541" s="2771" t="s">
        <v>205</v>
      </c>
      <c r="I541" s="2768" t="s">
        <v>205</v>
      </c>
      <c r="J541" s="2769" t="s">
        <v>205</v>
      </c>
    </row>
    <row r="542" spans="2:10" ht="18" hidden="1" customHeight="1" outlineLevel="3" x14ac:dyDescent="0.2">
      <c r="B542" s="2849" t="s">
        <v>205</v>
      </c>
      <c r="C542" s="2850" t="s">
        <v>205</v>
      </c>
      <c r="D542" s="2772" t="s">
        <v>205</v>
      </c>
      <c r="E542" s="2770" t="s">
        <v>205</v>
      </c>
      <c r="F542" s="2768" t="s">
        <v>205</v>
      </c>
      <c r="G542" s="2769" t="s">
        <v>205</v>
      </c>
      <c r="H542" s="2795" t="s">
        <v>205</v>
      </c>
      <c r="I542" s="2773" t="s">
        <v>205</v>
      </c>
      <c r="J542" s="2774" t="s">
        <v>205</v>
      </c>
    </row>
    <row r="543" spans="2:10" ht="18" hidden="1" customHeight="1" outlineLevel="3" x14ac:dyDescent="0.2">
      <c r="B543" s="2845" t="s">
        <v>1523</v>
      </c>
      <c r="C543" s="2856"/>
      <c r="D543" s="2790" t="s">
        <v>199</v>
      </c>
      <c r="E543" s="2791" t="s">
        <v>205</v>
      </c>
      <c r="F543" s="2792" t="s">
        <v>205</v>
      </c>
      <c r="G543" s="2790" t="s">
        <v>205</v>
      </c>
      <c r="H543" s="2793" t="s">
        <v>199</v>
      </c>
      <c r="I543" s="2792" t="s">
        <v>199</v>
      </c>
      <c r="J543" s="2790" t="s">
        <v>199</v>
      </c>
    </row>
    <row r="544" spans="2:10" ht="18" hidden="1" customHeight="1" outlineLevel="3" x14ac:dyDescent="0.2">
      <c r="B544" s="2844" t="s">
        <v>271</v>
      </c>
      <c r="C544" s="2848"/>
      <c r="D544" s="2781"/>
      <c r="E544" s="2781"/>
      <c r="F544" s="2781"/>
      <c r="G544" s="2781"/>
      <c r="H544" s="2781"/>
      <c r="I544" s="2781"/>
      <c r="J544" s="2794"/>
    </row>
    <row r="545" spans="2:10" ht="18" hidden="1" customHeight="1" outlineLevel="3" x14ac:dyDescent="0.2">
      <c r="B545" s="2845" t="s">
        <v>1524</v>
      </c>
      <c r="C545" s="2850" t="s">
        <v>409</v>
      </c>
      <c r="D545" s="2772" t="s">
        <v>199</v>
      </c>
      <c r="E545" s="2770" t="s">
        <v>205</v>
      </c>
      <c r="F545" s="2792" t="s">
        <v>205</v>
      </c>
      <c r="G545" s="2790" t="s">
        <v>205</v>
      </c>
      <c r="H545" s="2795" t="s">
        <v>199</v>
      </c>
      <c r="I545" s="2796" t="s">
        <v>199</v>
      </c>
      <c r="J545" s="2772" t="s">
        <v>199</v>
      </c>
    </row>
    <row r="546" spans="2:10" ht="18" hidden="1" customHeight="1" outlineLevel="3" x14ac:dyDescent="0.2">
      <c r="B546" s="2845" t="s">
        <v>1525</v>
      </c>
      <c r="C546" s="2848"/>
      <c r="D546" s="2769" t="s">
        <v>205</v>
      </c>
      <c r="E546" s="2770" t="s">
        <v>205</v>
      </c>
      <c r="F546" s="2768" t="s">
        <v>205</v>
      </c>
      <c r="G546" s="2769" t="s">
        <v>205</v>
      </c>
      <c r="H546" s="2771" t="s">
        <v>205</v>
      </c>
      <c r="I546" s="2768" t="s">
        <v>205</v>
      </c>
      <c r="J546" s="2769" t="s">
        <v>205</v>
      </c>
    </row>
    <row r="547" spans="2:10" ht="18" hidden="1" customHeight="1" outlineLevel="3" thickBot="1" x14ac:dyDescent="0.25">
      <c r="B547" s="2849" t="s">
        <v>205</v>
      </c>
      <c r="C547" s="2850" t="s">
        <v>205</v>
      </c>
      <c r="D547" s="2772" t="s">
        <v>205</v>
      </c>
      <c r="E547" s="2770" t="s">
        <v>205</v>
      </c>
      <c r="F547" s="2768" t="s">
        <v>205</v>
      </c>
      <c r="G547" s="2769" t="s">
        <v>205</v>
      </c>
      <c r="H547" s="2795" t="s">
        <v>205</v>
      </c>
      <c r="I547" s="2773" t="s">
        <v>205</v>
      </c>
      <c r="J547" s="2774" t="s">
        <v>205</v>
      </c>
    </row>
    <row r="548" spans="2:10" ht="18" customHeight="1" x14ac:dyDescent="0.2">
      <c r="B548" s="1439" t="s">
        <v>1576</v>
      </c>
      <c r="C548" s="2854"/>
      <c r="D548" s="2817"/>
      <c r="E548" s="2818"/>
      <c r="F548" s="2788"/>
      <c r="G548" s="2784"/>
      <c r="H548" s="2833" t="s">
        <v>221</v>
      </c>
      <c r="I548" s="2828" t="s">
        <v>221</v>
      </c>
      <c r="J548" s="2789" t="s">
        <v>221</v>
      </c>
    </row>
    <row r="549" spans="2:10" ht="18" customHeight="1" collapsed="1" x14ac:dyDescent="0.2">
      <c r="B549" s="912" t="s">
        <v>1577</v>
      </c>
      <c r="C549" s="2841"/>
      <c r="D549" s="2823"/>
      <c r="E549" s="2824"/>
      <c r="F549" s="2825"/>
      <c r="G549" s="2826"/>
      <c r="H549" s="2834" t="s">
        <v>221</v>
      </c>
      <c r="I549" s="2830" t="s">
        <v>221</v>
      </c>
      <c r="J549" s="2831" t="s">
        <v>221</v>
      </c>
    </row>
    <row r="550" spans="2:10" ht="18" hidden="1" customHeight="1" outlineLevel="1" x14ac:dyDescent="0.2">
      <c r="B550" s="2842" t="s">
        <v>1519</v>
      </c>
      <c r="C550" s="2843"/>
      <c r="D550" s="2790" t="s">
        <v>199</v>
      </c>
      <c r="E550" s="2791" t="s">
        <v>205</v>
      </c>
      <c r="F550" s="2792" t="s">
        <v>205</v>
      </c>
      <c r="G550" s="2790" t="s">
        <v>205</v>
      </c>
      <c r="H550" s="2793" t="s">
        <v>221</v>
      </c>
      <c r="I550" s="2792" t="s">
        <v>221</v>
      </c>
      <c r="J550" s="2790" t="s">
        <v>221</v>
      </c>
    </row>
    <row r="551" spans="2:10" ht="18" hidden="1" customHeight="1" outlineLevel="1" x14ac:dyDescent="0.2">
      <c r="B551" s="2844" t="s">
        <v>271</v>
      </c>
      <c r="C551" s="2848"/>
      <c r="D551" s="2781"/>
      <c r="E551" s="2781"/>
      <c r="F551" s="2781"/>
      <c r="G551" s="2781"/>
      <c r="H551" s="2781"/>
      <c r="I551" s="2781"/>
      <c r="J551" s="2794"/>
    </row>
    <row r="552" spans="2:10" ht="18" hidden="1" customHeight="1" outlineLevel="1" x14ac:dyDescent="0.2">
      <c r="B552" s="2845" t="s">
        <v>1520</v>
      </c>
      <c r="C552" s="2846" t="s">
        <v>409</v>
      </c>
      <c r="D552" s="2772" t="s">
        <v>199</v>
      </c>
      <c r="E552" s="2770" t="s">
        <v>205</v>
      </c>
      <c r="F552" s="2792" t="s">
        <v>205</v>
      </c>
      <c r="G552" s="2790" t="s">
        <v>205</v>
      </c>
      <c r="H552" s="2795" t="s">
        <v>199</v>
      </c>
      <c r="I552" s="2796" t="s">
        <v>199</v>
      </c>
      <c r="J552" s="2772" t="s">
        <v>199</v>
      </c>
    </row>
    <row r="553" spans="2:10" ht="18" hidden="1" customHeight="1" outlineLevel="1" x14ac:dyDescent="0.2">
      <c r="B553" s="2845" t="s">
        <v>1521</v>
      </c>
      <c r="C553" s="2847" t="s">
        <v>409</v>
      </c>
      <c r="D553" s="2772" t="s">
        <v>221</v>
      </c>
      <c r="E553" s="2770" t="s">
        <v>205</v>
      </c>
      <c r="F553" s="2792" t="s">
        <v>205</v>
      </c>
      <c r="G553" s="2790" t="s">
        <v>205</v>
      </c>
      <c r="H553" s="2795" t="s">
        <v>221</v>
      </c>
      <c r="I553" s="2796" t="s">
        <v>221</v>
      </c>
      <c r="J553" s="2772" t="s">
        <v>221</v>
      </c>
    </row>
    <row r="554" spans="2:10" ht="18" hidden="1" customHeight="1" outlineLevel="1" x14ac:dyDescent="0.2">
      <c r="B554" s="2845" t="s">
        <v>1522</v>
      </c>
      <c r="C554" s="2848"/>
      <c r="D554" s="2769" t="s">
        <v>205</v>
      </c>
      <c r="E554" s="2770" t="s">
        <v>205</v>
      </c>
      <c r="F554" s="2768" t="s">
        <v>205</v>
      </c>
      <c r="G554" s="2769" t="s">
        <v>205</v>
      </c>
      <c r="H554" s="2771" t="s">
        <v>205</v>
      </c>
      <c r="I554" s="2768" t="s">
        <v>205</v>
      </c>
      <c r="J554" s="2769" t="s">
        <v>205</v>
      </c>
    </row>
    <row r="555" spans="2:10" ht="18" hidden="1" customHeight="1" outlineLevel="1" x14ac:dyDescent="0.2">
      <c r="B555" s="2849" t="s">
        <v>205</v>
      </c>
      <c r="C555" s="2850" t="s">
        <v>205</v>
      </c>
      <c r="D555" s="2772" t="s">
        <v>205</v>
      </c>
      <c r="E555" s="2770" t="s">
        <v>205</v>
      </c>
      <c r="F555" s="2768" t="s">
        <v>205</v>
      </c>
      <c r="G555" s="2769" t="s">
        <v>205</v>
      </c>
      <c r="H555" s="2795" t="s">
        <v>205</v>
      </c>
      <c r="I555" s="2773" t="s">
        <v>205</v>
      </c>
      <c r="J555" s="2774" t="s">
        <v>205</v>
      </c>
    </row>
    <row r="556" spans="2:10" ht="18" hidden="1" customHeight="1" outlineLevel="1" x14ac:dyDescent="0.2">
      <c r="B556" s="2842" t="s">
        <v>1523</v>
      </c>
      <c r="C556" s="2843"/>
      <c r="D556" s="2790" t="s">
        <v>199</v>
      </c>
      <c r="E556" s="2791" t="s">
        <v>205</v>
      </c>
      <c r="F556" s="2792" t="s">
        <v>205</v>
      </c>
      <c r="G556" s="2790" t="s">
        <v>205</v>
      </c>
      <c r="H556" s="2793" t="s">
        <v>199</v>
      </c>
      <c r="I556" s="2792" t="s">
        <v>199</v>
      </c>
      <c r="J556" s="2790" t="s">
        <v>199</v>
      </c>
    </row>
    <row r="557" spans="2:10" ht="18" hidden="1" customHeight="1" outlineLevel="1" x14ac:dyDescent="0.2">
      <c r="B557" s="2844" t="s">
        <v>271</v>
      </c>
      <c r="C557" s="2848"/>
      <c r="D557" s="2781"/>
      <c r="E557" s="2781"/>
      <c r="F557" s="2781"/>
      <c r="G557" s="2781"/>
      <c r="H557" s="2781"/>
      <c r="I557" s="2781"/>
      <c r="J557" s="2794"/>
    </row>
    <row r="558" spans="2:10" ht="18" hidden="1" customHeight="1" outlineLevel="1" x14ac:dyDescent="0.2">
      <c r="B558" s="2845" t="s">
        <v>1524</v>
      </c>
      <c r="C558" s="2850" t="s">
        <v>409</v>
      </c>
      <c r="D558" s="2772" t="s">
        <v>221</v>
      </c>
      <c r="E558" s="2770" t="s">
        <v>205</v>
      </c>
      <c r="F558" s="2792" t="s">
        <v>205</v>
      </c>
      <c r="G558" s="2790" t="s">
        <v>205</v>
      </c>
      <c r="H558" s="2795" t="s">
        <v>221</v>
      </c>
      <c r="I558" s="2796" t="s">
        <v>221</v>
      </c>
      <c r="J558" s="2772" t="s">
        <v>221</v>
      </c>
    </row>
    <row r="559" spans="2:10" ht="18" hidden="1" customHeight="1" outlineLevel="1" x14ac:dyDescent="0.2">
      <c r="B559" s="2845" t="s">
        <v>1525</v>
      </c>
      <c r="C559" s="2843"/>
      <c r="D559" s="2769" t="s">
        <v>205</v>
      </c>
      <c r="E559" s="2770" t="s">
        <v>205</v>
      </c>
      <c r="F559" s="2768" t="s">
        <v>205</v>
      </c>
      <c r="G559" s="2769" t="s">
        <v>205</v>
      </c>
      <c r="H559" s="2771" t="s">
        <v>205</v>
      </c>
      <c r="I559" s="2768" t="s">
        <v>205</v>
      </c>
      <c r="J559" s="2769" t="s">
        <v>205</v>
      </c>
    </row>
    <row r="560" spans="2:10" ht="18" hidden="1" customHeight="1" outlineLevel="1" x14ac:dyDescent="0.2">
      <c r="B560" s="2849" t="s">
        <v>205</v>
      </c>
      <c r="C560" s="2850" t="s">
        <v>205</v>
      </c>
      <c r="D560" s="2772" t="s">
        <v>205</v>
      </c>
      <c r="E560" s="2770" t="s">
        <v>205</v>
      </c>
      <c r="F560" s="2768" t="s">
        <v>205</v>
      </c>
      <c r="G560" s="2769" t="s">
        <v>205</v>
      </c>
      <c r="H560" s="2795" t="s">
        <v>205</v>
      </c>
      <c r="I560" s="2773" t="s">
        <v>205</v>
      </c>
      <c r="J560" s="2774" t="s">
        <v>205</v>
      </c>
    </row>
    <row r="561" spans="2:10" ht="18" customHeight="1" collapsed="1" thickBot="1" x14ac:dyDescent="0.25">
      <c r="B561" s="912" t="s">
        <v>1578</v>
      </c>
      <c r="C561" s="2841"/>
      <c r="D561" s="2823"/>
      <c r="E561" s="2824"/>
      <c r="F561" s="2825"/>
      <c r="G561" s="2826"/>
      <c r="H561" s="2834" t="s">
        <v>221</v>
      </c>
      <c r="I561" s="2830" t="s">
        <v>221</v>
      </c>
      <c r="J561" s="2831" t="s">
        <v>221</v>
      </c>
    </row>
    <row r="562" spans="2:10" ht="18" hidden="1" customHeight="1" outlineLevel="1" x14ac:dyDescent="0.2">
      <c r="B562" s="2842" t="s">
        <v>1519</v>
      </c>
      <c r="C562" s="2843"/>
      <c r="D562" s="2790" t="s">
        <v>199</v>
      </c>
      <c r="E562" s="2791" t="s">
        <v>205</v>
      </c>
      <c r="F562" s="2792" t="s">
        <v>205</v>
      </c>
      <c r="G562" s="2790" t="s">
        <v>205</v>
      </c>
      <c r="H562" s="2793" t="s">
        <v>221</v>
      </c>
      <c r="I562" s="2792" t="s">
        <v>221</v>
      </c>
      <c r="J562" s="2790" t="s">
        <v>221</v>
      </c>
    </row>
    <row r="563" spans="2:10" ht="18" hidden="1" customHeight="1" outlineLevel="1" x14ac:dyDescent="0.2">
      <c r="B563" s="2844" t="s">
        <v>271</v>
      </c>
      <c r="C563" s="2848"/>
      <c r="D563" s="2781"/>
      <c r="E563" s="2781"/>
      <c r="F563" s="2781"/>
      <c r="G563" s="2781"/>
      <c r="H563" s="2781"/>
      <c r="I563" s="2781"/>
      <c r="J563" s="2794"/>
    </row>
    <row r="564" spans="2:10" ht="18" hidden="1" customHeight="1" outlineLevel="1" x14ac:dyDescent="0.2">
      <c r="B564" s="2845" t="s">
        <v>1520</v>
      </c>
      <c r="C564" s="2846" t="s">
        <v>409</v>
      </c>
      <c r="D564" s="2772" t="s">
        <v>199</v>
      </c>
      <c r="E564" s="2770" t="s">
        <v>205</v>
      </c>
      <c r="F564" s="2792" t="s">
        <v>205</v>
      </c>
      <c r="G564" s="2790" t="s">
        <v>205</v>
      </c>
      <c r="H564" s="2795" t="s">
        <v>199</v>
      </c>
      <c r="I564" s="2796" t="s">
        <v>199</v>
      </c>
      <c r="J564" s="2772" t="s">
        <v>199</v>
      </c>
    </row>
    <row r="565" spans="2:10" ht="18" hidden="1" customHeight="1" outlineLevel="1" x14ac:dyDescent="0.2">
      <c r="B565" s="2845" t="s">
        <v>1521</v>
      </c>
      <c r="C565" s="2847" t="s">
        <v>409</v>
      </c>
      <c r="D565" s="2772" t="s">
        <v>221</v>
      </c>
      <c r="E565" s="2770" t="s">
        <v>205</v>
      </c>
      <c r="F565" s="2792" t="s">
        <v>205</v>
      </c>
      <c r="G565" s="2790" t="s">
        <v>205</v>
      </c>
      <c r="H565" s="2795" t="s">
        <v>221</v>
      </c>
      <c r="I565" s="2796" t="s">
        <v>221</v>
      </c>
      <c r="J565" s="2772" t="s">
        <v>221</v>
      </c>
    </row>
    <row r="566" spans="2:10" ht="18" hidden="1" customHeight="1" outlineLevel="1" x14ac:dyDescent="0.2">
      <c r="B566" s="2845" t="s">
        <v>1522</v>
      </c>
      <c r="C566" s="2848"/>
      <c r="D566" s="2769" t="s">
        <v>205</v>
      </c>
      <c r="E566" s="2770" t="s">
        <v>205</v>
      </c>
      <c r="F566" s="2768" t="s">
        <v>205</v>
      </c>
      <c r="G566" s="2769" t="s">
        <v>205</v>
      </c>
      <c r="H566" s="2771" t="s">
        <v>205</v>
      </c>
      <c r="I566" s="2768" t="s">
        <v>205</v>
      </c>
      <c r="J566" s="2769" t="s">
        <v>205</v>
      </c>
    </row>
    <row r="567" spans="2:10" ht="18" hidden="1" customHeight="1" outlineLevel="1" x14ac:dyDescent="0.2">
      <c r="B567" s="2849" t="s">
        <v>205</v>
      </c>
      <c r="C567" s="2850" t="s">
        <v>205</v>
      </c>
      <c r="D567" s="2772" t="s">
        <v>205</v>
      </c>
      <c r="E567" s="2770" t="s">
        <v>205</v>
      </c>
      <c r="F567" s="2768" t="s">
        <v>205</v>
      </c>
      <c r="G567" s="2769" t="s">
        <v>205</v>
      </c>
      <c r="H567" s="2795" t="s">
        <v>205</v>
      </c>
      <c r="I567" s="2773" t="s">
        <v>205</v>
      </c>
      <c r="J567" s="2774" t="s">
        <v>205</v>
      </c>
    </row>
    <row r="568" spans="2:10" ht="18" hidden="1" customHeight="1" outlineLevel="1" x14ac:dyDescent="0.2">
      <c r="B568" s="2842" t="s">
        <v>1523</v>
      </c>
      <c r="C568" s="2843"/>
      <c r="D568" s="2790" t="s">
        <v>199</v>
      </c>
      <c r="E568" s="2791" t="s">
        <v>205</v>
      </c>
      <c r="F568" s="2792" t="s">
        <v>205</v>
      </c>
      <c r="G568" s="2790" t="s">
        <v>205</v>
      </c>
      <c r="H568" s="2793" t="s">
        <v>199</v>
      </c>
      <c r="I568" s="2792" t="s">
        <v>199</v>
      </c>
      <c r="J568" s="2790" t="s">
        <v>199</v>
      </c>
    </row>
    <row r="569" spans="2:10" ht="18" hidden="1" customHeight="1" outlineLevel="1" x14ac:dyDescent="0.2">
      <c r="B569" s="2844" t="s">
        <v>271</v>
      </c>
      <c r="C569" s="2848"/>
      <c r="D569" s="2781"/>
      <c r="E569" s="2781"/>
      <c r="F569" s="2781"/>
      <c r="G569" s="2781"/>
      <c r="H569" s="2781"/>
      <c r="I569" s="2781"/>
      <c r="J569" s="2794"/>
    </row>
    <row r="570" spans="2:10" ht="18" hidden="1" customHeight="1" outlineLevel="1" x14ac:dyDescent="0.2">
      <c r="B570" s="2845" t="s">
        <v>1524</v>
      </c>
      <c r="C570" s="2850" t="s">
        <v>409</v>
      </c>
      <c r="D570" s="2772" t="s">
        <v>221</v>
      </c>
      <c r="E570" s="2770" t="s">
        <v>205</v>
      </c>
      <c r="F570" s="2792" t="s">
        <v>205</v>
      </c>
      <c r="G570" s="2790" t="s">
        <v>205</v>
      </c>
      <c r="H570" s="2795" t="s">
        <v>221</v>
      </c>
      <c r="I570" s="2796" t="s">
        <v>221</v>
      </c>
      <c r="J570" s="2772" t="s">
        <v>221</v>
      </c>
    </row>
    <row r="571" spans="2:10" ht="18" hidden="1" customHeight="1" outlineLevel="1" x14ac:dyDescent="0.2">
      <c r="B571" s="2845" t="s">
        <v>1525</v>
      </c>
      <c r="C571" s="2843"/>
      <c r="D571" s="2769" t="s">
        <v>205</v>
      </c>
      <c r="E571" s="2770" t="s">
        <v>205</v>
      </c>
      <c r="F571" s="2768" t="s">
        <v>205</v>
      </c>
      <c r="G571" s="2769" t="s">
        <v>205</v>
      </c>
      <c r="H571" s="2771" t="s">
        <v>205</v>
      </c>
      <c r="I571" s="2768" t="s">
        <v>205</v>
      </c>
      <c r="J571" s="2769" t="s">
        <v>205</v>
      </c>
    </row>
    <row r="572" spans="2:10" ht="18" hidden="1" customHeight="1" outlineLevel="1" x14ac:dyDescent="0.2">
      <c r="B572" s="2849" t="s">
        <v>205</v>
      </c>
      <c r="C572" s="2850" t="s">
        <v>205</v>
      </c>
      <c r="D572" s="2772" t="s">
        <v>205</v>
      </c>
      <c r="E572" s="2770" t="s">
        <v>205</v>
      </c>
      <c r="F572" s="2768" t="s">
        <v>205</v>
      </c>
      <c r="G572" s="2769" t="s">
        <v>205</v>
      </c>
      <c r="H572" s="2795" t="s">
        <v>205</v>
      </c>
      <c r="I572" s="2773" t="s">
        <v>205</v>
      </c>
      <c r="J572" s="2774" t="s">
        <v>205</v>
      </c>
    </row>
    <row r="573" spans="2:10" ht="18" hidden="1" customHeight="1" outlineLevel="1" x14ac:dyDescent="0.2">
      <c r="B573" s="2844" t="s">
        <v>271</v>
      </c>
      <c r="C573" s="2848"/>
      <c r="D573" s="2781"/>
      <c r="E573" s="2781"/>
      <c r="F573" s="2781"/>
      <c r="G573" s="2781"/>
      <c r="H573" s="2781"/>
      <c r="I573" s="2781"/>
      <c r="J573" s="2794"/>
    </row>
    <row r="574" spans="2:10" ht="18" hidden="1" customHeight="1" outlineLevel="1" collapsed="1" x14ac:dyDescent="0.2">
      <c r="B574" s="2842" t="s">
        <v>1579</v>
      </c>
      <c r="C574" s="2843"/>
      <c r="D574" s="2823"/>
      <c r="E574" s="2824"/>
      <c r="F574" s="2825"/>
      <c r="G574" s="2826"/>
      <c r="H574" s="2834" t="s">
        <v>221</v>
      </c>
      <c r="I574" s="2830" t="s">
        <v>221</v>
      </c>
      <c r="J574" s="2831" t="s">
        <v>221</v>
      </c>
    </row>
    <row r="575" spans="2:10" ht="18" hidden="1" customHeight="1" outlineLevel="2" x14ac:dyDescent="0.2">
      <c r="B575" s="2842" t="s">
        <v>1519</v>
      </c>
      <c r="C575" s="2843"/>
      <c r="D575" s="2790" t="s">
        <v>199</v>
      </c>
      <c r="E575" s="2791" t="s">
        <v>205</v>
      </c>
      <c r="F575" s="2792" t="s">
        <v>205</v>
      </c>
      <c r="G575" s="2790" t="s">
        <v>205</v>
      </c>
      <c r="H575" s="2793" t="s">
        <v>221</v>
      </c>
      <c r="I575" s="2792" t="s">
        <v>221</v>
      </c>
      <c r="J575" s="2790" t="s">
        <v>221</v>
      </c>
    </row>
    <row r="576" spans="2:10" ht="18" hidden="1" customHeight="1" outlineLevel="2" x14ac:dyDescent="0.2">
      <c r="B576" s="2844" t="s">
        <v>271</v>
      </c>
      <c r="C576" s="2848"/>
      <c r="D576" s="2781"/>
      <c r="E576" s="2781"/>
      <c r="F576" s="2781"/>
      <c r="G576" s="2781"/>
      <c r="H576" s="2781"/>
      <c r="I576" s="2781"/>
      <c r="J576" s="2794"/>
    </row>
    <row r="577" spans="2:10" ht="18" hidden="1" customHeight="1" outlineLevel="2" x14ac:dyDescent="0.2">
      <c r="B577" s="2845" t="s">
        <v>1520</v>
      </c>
      <c r="C577" s="2846" t="s">
        <v>409</v>
      </c>
      <c r="D577" s="2772" t="s">
        <v>199</v>
      </c>
      <c r="E577" s="2770" t="s">
        <v>205</v>
      </c>
      <c r="F577" s="2792" t="s">
        <v>205</v>
      </c>
      <c r="G577" s="2790" t="s">
        <v>205</v>
      </c>
      <c r="H577" s="2795" t="s">
        <v>199</v>
      </c>
      <c r="I577" s="2796" t="s">
        <v>199</v>
      </c>
      <c r="J577" s="2772" t="s">
        <v>199</v>
      </c>
    </row>
    <row r="578" spans="2:10" ht="18" hidden="1" customHeight="1" outlineLevel="2" x14ac:dyDescent="0.2">
      <c r="B578" s="2845" t="s">
        <v>1521</v>
      </c>
      <c r="C578" s="2847" t="s">
        <v>409</v>
      </c>
      <c r="D578" s="2772" t="s">
        <v>221</v>
      </c>
      <c r="E578" s="2770" t="s">
        <v>205</v>
      </c>
      <c r="F578" s="2792" t="s">
        <v>205</v>
      </c>
      <c r="G578" s="2790" t="s">
        <v>205</v>
      </c>
      <c r="H578" s="2795" t="s">
        <v>221</v>
      </c>
      <c r="I578" s="2796" t="s">
        <v>221</v>
      </c>
      <c r="J578" s="2772" t="s">
        <v>221</v>
      </c>
    </row>
    <row r="579" spans="2:10" ht="18" hidden="1" customHeight="1" outlineLevel="2" x14ac:dyDescent="0.2">
      <c r="B579" s="2845" t="s">
        <v>1522</v>
      </c>
      <c r="C579" s="2848"/>
      <c r="D579" s="2769" t="s">
        <v>205</v>
      </c>
      <c r="E579" s="2770" t="s">
        <v>205</v>
      </c>
      <c r="F579" s="2768" t="s">
        <v>205</v>
      </c>
      <c r="G579" s="2769" t="s">
        <v>205</v>
      </c>
      <c r="H579" s="2771" t="s">
        <v>205</v>
      </c>
      <c r="I579" s="2768" t="s">
        <v>205</v>
      </c>
      <c r="J579" s="2769" t="s">
        <v>205</v>
      </c>
    </row>
    <row r="580" spans="2:10" ht="18" hidden="1" customHeight="1" outlineLevel="2" x14ac:dyDescent="0.2">
      <c r="B580" s="2849" t="s">
        <v>205</v>
      </c>
      <c r="C580" s="2850" t="s">
        <v>205</v>
      </c>
      <c r="D580" s="2772" t="s">
        <v>205</v>
      </c>
      <c r="E580" s="2770" t="s">
        <v>205</v>
      </c>
      <c r="F580" s="2768" t="s">
        <v>205</v>
      </c>
      <c r="G580" s="2769" t="s">
        <v>205</v>
      </c>
      <c r="H580" s="2795" t="s">
        <v>205</v>
      </c>
      <c r="I580" s="2773" t="s">
        <v>205</v>
      </c>
      <c r="J580" s="2774" t="s">
        <v>205</v>
      </c>
    </row>
    <row r="581" spans="2:10" ht="18" hidden="1" customHeight="1" outlineLevel="2" x14ac:dyDescent="0.2">
      <c r="B581" s="2842" t="s">
        <v>1523</v>
      </c>
      <c r="C581" s="2843"/>
      <c r="D581" s="2790" t="s">
        <v>199</v>
      </c>
      <c r="E581" s="2791" t="s">
        <v>205</v>
      </c>
      <c r="F581" s="2792" t="s">
        <v>205</v>
      </c>
      <c r="G581" s="2790" t="s">
        <v>205</v>
      </c>
      <c r="H581" s="2793" t="s">
        <v>199</v>
      </c>
      <c r="I581" s="2792" t="s">
        <v>199</v>
      </c>
      <c r="J581" s="2790" t="s">
        <v>199</v>
      </c>
    </row>
    <row r="582" spans="2:10" ht="18" hidden="1" customHeight="1" outlineLevel="2" x14ac:dyDescent="0.2">
      <c r="B582" s="2844" t="s">
        <v>271</v>
      </c>
      <c r="C582" s="2848"/>
      <c r="D582" s="2781"/>
      <c r="E582" s="2781"/>
      <c r="F582" s="2781"/>
      <c r="G582" s="2781"/>
      <c r="H582" s="2781"/>
      <c r="I582" s="2781"/>
      <c r="J582" s="2794"/>
    </row>
    <row r="583" spans="2:10" ht="18" hidden="1" customHeight="1" outlineLevel="2" x14ac:dyDescent="0.2">
      <c r="B583" s="2845" t="s">
        <v>1524</v>
      </c>
      <c r="C583" s="2850" t="s">
        <v>409</v>
      </c>
      <c r="D583" s="2772" t="s">
        <v>221</v>
      </c>
      <c r="E583" s="2770" t="s">
        <v>205</v>
      </c>
      <c r="F583" s="2792" t="s">
        <v>205</v>
      </c>
      <c r="G583" s="2790" t="s">
        <v>205</v>
      </c>
      <c r="H583" s="2795" t="s">
        <v>221</v>
      </c>
      <c r="I583" s="2796" t="s">
        <v>221</v>
      </c>
      <c r="J583" s="2772" t="s">
        <v>221</v>
      </c>
    </row>
    <row r="584" spans="2:10" ht="18" hidden="1" customHeight="1" outlineLevel="2" x14ac:dyDescent="0.2">
      <c r="B584" s="2845" t="s">
        <v>1525</v>
      </c>
      <c r="C584" s="2843"/>
      <c r="D584" s="2769" t="s">
        <v>205</v>
      </c>
      <c r="E584" s="2770" t="s">
        <v>205</v>
      </c>
      <c r="F584" s="2768" t="s">
        <v>205</v>
      </c>
      <c r="G584" s="2769" t="s">
        <v>205</v>
      </c>
      <c r="H584" s="2771" t="s">
        <v>205</v>
      </c>
      <c r="I584" s="2768" t="s">
        <v>205</v>
      </c>
      <c r="J584" s="2769" t="s">
        <v>205</v>
      </c>
    </row>
    <row r="585" spans="2:10" ht="18" hidden="1" customHeight="1" outlineLevel="2" x14ac:dyDescent="0.2">
      <c r="B585" s="2858" t="s">
        <v>1410</v>
      </c>
      <c r="C585" s="2850" t="s">
        <v>205</v>
      </c>
      <c r="D585" s="2772" t="s">
        <v>205</v>
      </c>
      <c r="E585" s="2770" t="s">
        <v>205</v>
      </c>
      <c r="F585" s="2768" t="s">
        <v>205</v>
      </c>
      <c r="G585" s="2769" t="s">
        <v>205</v>
      </c>
      <c r="H585" s="2795" t="s">
        <v>205</v>
      </c>
      <c r="I585" s="2773" t="s">
        <v>205</v>
      </c>
      <c r="J585" s="2774" t="s">
        <v>205</v>
      </c>
    </row>
    <row r="586" spans="2:10" ht="18" hidden="1" customHeight="1" outlineLevel="1" collapsed="1" x14ac:dyDescent="0.2">
      <c r="B586" s="2851" t="s">
        <v>1580</v>
      </c>
      <c r="C586" s="2852"/>
      <c r="D586" s="2823"/>
      <c r="E586" s="2824"/>
      <c r="F586" s="2825"/>
      <c r="G586" s="2826"/>
      <c r="H586" s="2834" t="s">
        <v>221</v>
      </c>
      <c r="I586" s="2830" t="s">
        <v>221</v>
      </c>
      <c r="J586" s="2831" t="s">
        <v>221</v>
      </c>
    </row>
    <row r="587" spans="2:10" ht="18" hidden="1" customHeight="1" outlineLevel="2" x14ac:dyDescent="0.2">
      <c r="B587" s="2842" t="s">
        <v>1519</v>
      </c>
      <c r="C587" s="2843"/>
      <c r="D587" s="2790" t="s">
        <v>199</v>
      </c>
      <c r="E587" s="2791" t="s">
        <v>205</v>
      </c>
      <c r="F587" s="2792" t="s">
        <v>205</v>
      </c>
      <c r="G587" s="2790" t="s">
        <v>205</v>
      </c>
      <c r="H587" s="2793" t="s">
        <v>221</v>
      </c>
      <c r="I587" s="2792" t="s">
        <v>221</v>
      </c>
      <c r="J587" s="2790" t="s">
        <v>221</v>
      </c>
    </row>
    <row r="588" spans="2:10" ht="18" hidden="1" customHeight="1" outlineLevel="2" x14ac:dyDescent="0.2">
      <c r="B588" s="2844" t="s">
        <v>271</v>
      </c>
      <c r="C588" s="2848"/>
      <c r="D588" s="2781"/>
      <c r="E588" s="2781"/>
      <c r="F588" s="2781"/>
      <c r="G588" s="2781"/>
      <c r="H588" s="2781"/>
      <c r="I588" s="2781"/>
      <c r="J588" s="2794"/>
    </row>
    <row r="589" spans="2:10" ht="18" hidden="1" customHeight="1" outlineLevel="2" x14ac:dyDescent="0.2">
      <c r="B589" s="2845" t="s">
        <v>1520</v>
      </c>
      <c r="C589" s="2846" t="s">
        <v>409</v>
      </c>
      <c r="D589" s="2772" t="s">
        <v>199</v>
      </c>
      <c r="E589" s="2770" t="s">
        <v>205</v>
      </c>
      <c r="F589" s="2792" t="s">
        <v>205</v>
      </c>
      <c r="G589" s="2790" t="s">
        <v>205</v>
      </c>
      <c r="H589" s="2795" t="s">
        <v>199</v>
      </c>
      <c r="I589" s="2796" t="s">
        <v>199</v>
      </c>
      <c r="J589" s="2772" t="s">
        <v>199</v>
      </c>
    </row>
    <row r="590" spans="2:10" ht="18" hidden="1" customHeight="1" outlineLevel="2" x14ac:dyDescent="0.2">
      <c r="B590" s="2845" t="s">
        <v>1521</v>
      </c>
      <c r="C590" s="2847" t="s">
        <v>409</v>
      </c>
      <c r="D590" s="2772" t="s">
        <v>221</v>
      </c>
      <c r="E590" s="2770" t="s">
        <v>205</v>
      </c>
      <c r="F590" s="2792" t="s">
        <v>205</v>
      </c>
      <c r="G590" s="2790" t="s">
        <v>205</v>
      </c>
      <c r="H590" s="2795" t="s">
        <v>221</v>
      </c>
      <c r="I590" s="2796" t="s">
        <v>221</v>
      </c>
      <c r="J590" s="2772" t="s">
        <v>221</v>
      </c>
    </row>
    <row r="591" spans="2:10" ht="18" hidden="1" customHeight="1" outlineLevel="2" x14ac:dyDescent="0.2">
      <c r="B591" s="2845" t="s">
        <v>1522</v>
      </c>
      <c r="C591" s="2848"/>
      <c r="D591" s="2769" t="s">
        <v>205</v>
      </c>
      <c r="E591" s="2770" t="s">
        <v>205</v>
      </c>
      <c r="F591" s="2768" t="s">
        <v>205</v>
      </c>
      <c r="G591" s="2769" t="s">
        <v>205</v>
      </c>
      <c r="H591" s="2771" t="s">
        <v>205</v>
      </c>
      <c r="I591" s="2768" t="s">
        <v>205</v>
      </c>
      <c r="J591" s="2769" t="s">
        <v>205</v>
      </c>
    </row>
    <row r="592" spans="2:10" ht="18" hidden="1" customHeight="1" outlineLevel="2" x14ac:dyDescent="0.2">
      <c r="B592" s="2849" t="s">
        <v>205</v>
      </c>
      <c r="C592" s="2850" t="s">
        <v>205</v>
      </c>
      <c r="D592" s="2772" t="s">
        <v>205</v>
      </c>
      <c r="E592" s="2770" t="s">
        <v>205</v>
      </c>
      <c r="F592" s="2768" t="s">
        <v>205</v>
      </c>
      <c r="G592" s="2769" t="s">
        <v>205</v>
      </c>
      <c r="H592" s="2795" t="s">
        <v>205</v>
      </c>
      <c r="I592" s="2773" t="s">
        <v>205</v>
      </c>
      <c r="J592" s="2774" t="s">
        <v>205</v>
      </c>
    </row>
    <row r="593" spans="2:10" ht="18" hidden="1" customHeight="1" outlineLevel="2" x14ac:dyDescent="0.2">
      <c r="B593" s="2842" t="s">
        <v>1523</v>
      </c>
      <c r="C593" s="2843"/>
      <c r="D593" s="2790" t="s">
        <v>199</v>
      </c>
      <c r="E593" s="2791" t="s">
        <v>205</v>
      </c>
      <c r="F593" s="2792" t="s">
        <v>205</v>
      </c>
      <c r="G593" s="2790" t="s">
        <v>205</v>
      </c>
      <c r="H593" s="2793" t="s">
        <v>199</v>
      </c>
      <c r="I593" s="2792" t="s">
        <v>199</v>
      </c>
      <c r="J593" s="2790" t="s">
        <v>199</v>
      </c>
    </row>
    <row r="594" spans="2:10" ht="18" hidden="1" customHeight="1" outlineLevel="2" x14ac:dyDescent="0.2">
      <c r="B594" s="2844" t="s">
        <v>271</v>
      </c>
      <c r="C594" s="2848"/>
      <c r="D594" s="2781"/>
      <c r="E594" s="2781"/>
      <c r="F594" s="2781"/>
      <c r="G594" s="2781"/>
      <c r="H594" s="2781"/>
      <c r="I594" s="2781"/>
      <c r="J594" s="2794"/>
    </row>
    <row r="595" spans="2:10" ht="18" hidden="1" customHeight="1" outlineLevel="2" x14ac:dyDescent="0.2">
      <c r="B595" s="2845" t="s">
        <v>1524</v>
      </c>
      <c r="C595" s="2850" t="s">
        <v>409</v>
      </c>
      <c r="D595" s="2772" t="s">
        <v>221</v>
      </c>
      <c r="E595" s="2770" t="s">
        <v>205</v>
      </c>
      <c r="F595" s="2792" t="s">
        <v>205</v>
      </c>
      <c r="G595" s="2790" t="s">
        <v>205</v>
      </c>
      <c r="H595" s="2795" t="s">
        <v>221</v>
      </c>
      <c r="I595" s="2796" t="s">
        <v>221</v>
      </c>
      <c r="J595" s="2772" t="s">
        <v>221</v>
      </c>
    </row>
    <row r="596" spans="2:10" ht="18" hidden="1" customHeight="1" outlineLevel="2" x14ac:dyDescent="0.2">
      <c r="B596" s="2845" t="s">
        <v>1525</v>
      </c>
      <c r="C596" s="2843"/>
      <c r="D596" s="2769" t="s">
        <v>205</v>
      </c>
      <c r="E596" s="2770" t="s">
        <v>205</v>
      </c>
      <c r="F596" s="2768" t="s">
        <v>205</v>
      </c>
      <c r="G596" s="2769" t="s">
        <v>205</v>
      </c>
      <c r="H596" s="2771" t="s">
        <v>205</v>
      </c>
      <c r="I596" s="2768" t="s">
        <v>205</v>
      </c>
      <c r="J596" s="2769" t="s">
        <v>205</v>
      </c>
    </row>
    <row r="597" spans="2:10" ht="18" hidden="1" customHeight="1" outlineLevel="2" x14ac:dyDescent="0.2">
      <c r="B597" s="2849" t="s">
        <v>205</v>
      </c>
      <c r="C597" s="2850" t="s">
        <v>205</v>
      </c>
      <c r="D597" s="2772" t="s">
        <v>205</v>
      </c>
      <c r="E597" s="2770" t="s">
        <v>205</v>
      </c>
      <c r="F597" s="2768" t="s">
        <v>205</v>
      </c>
      <c r="G597" s="2769" t="s">
        <v>205</v>
      </c>
      <c r="H597" s="2795" t="s">
        <v>205</v>
      </c>
      <c r="I597" s="2773" t="s">
        <v>205</v>
      </c>
      <c r="J597" s="2774" t="s">
        <v>205</v>
      </c>
    </row>
    <row r="598" spans="2:10" ht="18" hidden="1" customHeight="1" outlineLevel="1" collapsed="1" x14ac:dyDescent="0.2">
      <c r="B598" s="2851" t="s">
        <v>1581</v>
      </c>
      <c r="C598" s="2852"/>
      <c r="D598" s="2823"/>
      <c r="E598" s="2824"/>
      <c r="F598" s="2825"/>
      <c r="G598" s="2826"/>
      <c r="H598" s="2834" t="s">
        <v>221</v>
      </c>
      <c r="I598" s="2830" t="s">
        <v>221</v>
      </c>
      <c r="J598" s="2831" t="s">
        <v>221</v>
      </c>
    </row>
    <row r="599" spans="2:10" ht="18" hidden="1" customHeight="1" outlineLevel="2" x14ac:dyDescent="0.2">
      <c r="B599" s="2842" t="s">
        <v>1519</v>
      </c>
      <c r="C599" s="2843"/>
      <c r="D599" s="2790" t="s">
        <v>199</v>
      </c>
      <c r="E599" s="2791" t="s">
        <v>205</v>
      </c>
      <c r="F599" s="2792" t="s">
        <v>205</v>
      </c>
      <c r="G599" s="2790" t="s">
        <v>205</v>
      </c>
      <c r="H599" s="2793" t="s">
        <v>221</v>
      </c>
      <c r="I599" s="2792" t="s">
        <v>221</v>
      </c>
      <c r="J599" s="2790" t="s">
        <v>221</v>
      </c>
    </row>
    <row r="600" spans="2:10" ht="18" hidden="1" customHeight="1" outlineLevel="2" x14ac:dyDescent="0.2">
      <c r="B600" s="2844" t="s">
        <v>271</v>
      </c>
      <c r="C600" s="2848"/>
      <c r="D600" s="2781"/>
      <c r="E600" s="2781"/>
      <c r="F600" s="2781"/>
      <c r="G600" s="2781"/>
      <c r="H600" s="2781"/>
      <c r="I600" s="2781"/>
      <c r="J600" s="2794"/>
    </row>
    <row r="601" spans="2:10" ht="18" hidden="1" customHeight="1" outlineLevel="2" x14ac:dyDescent="0.2">
      <c r="B601" s="2845" t="s">
        <v>1520</v>
      </c>
      <c r="C601" s="2846" t="s">
        <v>409</v>
      </c>
      <c r="D601" s="2772" t="s">
        <v>199</v>
      </c>
      <c r="E601" s="2770" t="s">
        <v>205</v>
      </c>
      <c r="F601" s="2792" t="s">
        <v>205</v>
      </c>
      <c r="G601" s="2790" t="s">
        <v>205</v>
      </c>
      <c r="H601" s="2795" t="s">
        <v>199</v>
      </c>
      <c r="I601" s="2796" t="s">
        <v>199</v>
      </c>
      <c r="J601" s="2772" t="s">
        <v>199</v>
      </c>
    </row>
    <row r="602" spans="2:10" ht="18" hidden="1" customHeight="1" outlineLevel="2" x14ac:dyDescent="0.2">
      <c r="B602" s="2845" t="s">
        <v>1521</v>
      </c>
      <c r="C602" s="2847" t="s">
        <v>409</v>
      </c>
      <c r="D602" s="2772" t="s">
        <v>221</v>
      </c>
      <c r="E602" s="2770" t="s">
        <v>205</v>
      </c>
      <c r="F602" s="2792" t="s">
        <v>205</v>
      </c>
      <c r="G602" s="2790" t="s">
        <v>205</v>
      </c>
      <c r="H602" s="2795" t="s">
        <v>221</v>
      </c>
      <c r="I602" s="2796" t="s">
        <v>221</v>
      </c>
      <c r="J602" s="2772" t="s">
        <v>221</v>
      </c>
    </row>
    <row r="603" spans="2:10" ht="18" hidden="1" customHeight="1" outlineLevel="2" x14ac:dyDescent="0.2">
      <c r="B603" s="2845" t="s">
        <v>1522</v>
      </c>
      <c r="C603" s="2848"/>
      <c r="D603" s="2769" t="s">
        <v>205</v>
      </c>
      <c r="E603" s="2770" t="s">
        <v>205</v>
      </c>
      <c r="F603" s="2768" t="s">
        <v>205</v>
      </c>
      <c r="G603" s="2769" t="s">
        <v>205</v>
      </c>
      <c r="H603" s="2771" t="s">
        <v>205</v>
      </c>
      <c r="I603" s="2768" t="s">
        <v>205</v>
      </c>
      <c r="J603" s="2769" t="s">
        <v>205</v>
      </c>
    </row>
    <row r="604" spans="2:10" ht="18" hidden="1" customHeight="1" outlineLevel="2" x14ac:dyDescent="0.2">
      <c r="B604" s="2849" t="s">
        <v>205</v>
      </c>
      <c r="C604" s="2850" t="s">
        <v>205</v>
      </c>
      <c r="D604" s="2772" t="s">
        <v>205</v>
      </c>
      <c r="E604" s="2770" t="s">
        <v>205</v>
      </c>
      <c r="F604" s="2768" t="s">
        <v>205</v>
      </c>
      <c r="G604" s="2769" t="s">
        <v>205</v>
      </c>
      <c r="H604" s="2795" t="s">
        <v>205</v>
      </c>
      <c r="I604" s="2773" t="s">
        <v>205</v>
      </c>
      <c r="J604" s="2774" t="s">
        <v>205</v>
      </c>
    </row>
    <row r="605" spans="2:10" ht="18" hidden="1" customHeight="1" outlineLevel="2" x14ac:dyDescent="0.2">
      <c r="B605" s="2842" t="s">
        <v>1523</v>
      </c>
      <c r="C605" s="2843"/>
      <c r="D605" s="2790" t="s">
        <v>199</v>
      </c>
      <c r="E605" s="2791" t="s">
        <v>205</v>
      </c>
      <c r="F605" s="2792" t="s">
        <v>205</v>
      </c>
      <c r="G605" s="2790" t="s">
        <v>205</v>
      </c>
      <c r="H605" s="2793" t="s">
        <v>199</v>
      </c>
      <c r="I605" s="2792" t="s">
        <v>199</v>
      </c>
      <c r="J605" s="2790" t="s">
        <v>199</v>
      </c>
    </row>
    <row r="606" spans="2:10" ht="18" hidden="1" customHeight="1" outlineLevel="2" x14ac:dyDescent="0.2">
      <c r="B606" s="2844" t="s">
        <v>271</v>
      </c>
      <c r="C606" s="2848"/>
      <c r="D606" s="2781"/>
      <c r="E606" s="2781"/>
      <c r="F606" s="2781"/>
      <c r="G606" s="2781"/>
      <c r="H606" s="2781"/>
      <c r="I606" s="2781"/>
      <c r="J606" s="2794"/>
    </row>
    <row r="607" spans="2:10" ht="18" hidden="1" customHeight="1" outlineLevel="2" x14ac:dyDescent="0.2">
      <c r="B607" s="2845" t="s">
        <v>1524</v>
      </c>
      <c r="C607" s="2850" t="s">
        <v>409</v>
      </c>
      <c r="D607" s="2772" t="s">
        <v>221</v>
      </c>
      <c r="E607" s="2770" t="s">
        <v>205</v>
      </c>
      <c r="F607" s="2792" t="s">
        <v>205</v>
      </c>
      <c r="G607" s="2790" t="s">
        <v>205</v>
      </c>
      <c r="H607" s="2795" t="s">
        <v>221</v>
      </c>
      <c r="I607" s="2796" t="s">
        <v>221</v>
      </c>
      <c r="J607" s="2772" t="s">
        <v>221</v>
      </c>
    </row>
    <row r="608" spans="2:10" ht="18" hidden="1" customHeight="1" outlineLevel="2" x14ac:dyDescent="0.2">
      <c r="B608" s="2845" t="s">
        <v>1525</v>
      </c>
      <c r="C608" s="2843"/>
      <c r="D608" s="2769" t="s">
        <v>205</v>
      </c>
      <c r="E608" s="2770" t="s">
        <v>205</v>
      </c>
      <c r="F608" s="2768" t="s">
        <v>205</v>
      </c>
      <c r="G608" s="2769" t="s">
        <v>205</v>
      </c>
      <c r="H608" s="2771" t="s">
        <v>205</v>
      </c>
      <c r="I608" s="2768" t="s">
        <v>205</v>
      </c>
      <c r="J608" s="2769" t="s">
        <v>205</v>
      </c>
    </row>
    <row r="609" spans="2:10" ht="18" hidden="1" customHeight="1" outlineLevel="2" x14ac:dyDescent="0.2">
      <c r="B609" s="2849" t="s">
        <v>205</v>
      </c>
      <c r="C609" s="2850" t="s">
        <v>205</v>
      </c>
      <c r="D609" s="2772" t="s">
        <v>205</v>
      </c>
      <c r="E609" s="2770" t="s">
        <v>205</v>
      </c>
      <c r="F609" s="2768" t="s">
        <v>205</v>
      </c>
      <c r="G609" s="2769" t="s">
        <v>205</v>
      </c>
      <c r="H609" s="2795" t="s">
        <v>205</v>
      </c>
      <c r="I609" s="2773" t="s">
        <v>205</v>
      </c>
      <c r="J609" s="2774" t="s">
        <v>205</v>
      </c>
    </row>
    <row r="610" spans="2:10" ht="18" hidden="1" customHeight="1" outlineLevel="1" collapsed="1" x14ac:dyDescent="0.2">
      <c r="B610" s="2851" t="s">
        <v>1582</v>
      </c>
      <c r="C610" s="2852"/>
      <c r="D610" s="2823"/>
      <c r="E610" s="2824"/>
      <c r="F610" s="2825"/>
      <c r="G610" s="2826"/>
      <c r="H610" s="2834" t="s">
        <v>221</v>
      </c>
      <c r="I610" s="2830" t="s">
        <v>221</v>
      </c>
      <c r="J610" s="2831" t="s">
        <v>221</v>
      </c>
    </row>
    <row r="611" spans="2:10" ht="18" hidden="1" customHeight="1" outlineLevel="2" x14ac:dyDescent="0.2">
      <c r="B611" s="2842" t="s">
        <v>1519</v>
      </c>
      <c r="C611" s="2843"/>
      <c r="D611" s="2790" t="s">
        <v>199</v>
      </c>
      <c r="E611" s="2791" t="s">
        <v>205</v>
      </c>
      <c r="F611" s="2792" t="s">
        <v>205</v>
      </c>
      <c r="G611" s="2790" t="s">
        <v>205</v>
      </c>
      <c r="H611" s="2793" t="s">
        <v>221</v>
      </c>
      <c r="I611" s="2792" t="s">
        <v>221</v>
      </c>
      <c r="J611" s="2790" t="s">
        <v>221</v>
      </c>
    </row>
    <row r="612" spans="2:10" ht="18" hidden="1" customHeight="1" outlineLevel="2" x14ac:dyDescent="0.2">
      <c r="B612" s="2844" t="s">
        <v>271</v>
      </c>
      <c r="C612" s="2848"/>
      <c r="D612" s="2781"/>
      <c r="E612" s="2781"/>
      <c r="F612" s="2781"/>
      <c r="G612" s="2781"/>
      <c r="H612" s="2781"/>
      <c r="I612" s="2781"/>
      <c r="J612" s="2794"/>
    </row>
    <row r="613" spans="2:10" ht="18" hidden="1" customHeight="1" outlineLevel="2" x14ac:dyDescent="0.2">
      <c r="B613" s="2845" t="s">
        <v>1520</v>
      </c>
      <c r="C613" s="2846" t="s">
        <v>409</v>
      </c>
      <c r="D613" s="2772" t="s">
        <v>199</v>
      </c>
      <c r="E613" s="2770" t="s">
        <v>205</v>
      </c>
      <c r="F613" s="2792" t="s">
        <v>205</v>
      </c>
      <c r="G613" s="2790" t="s">
        <v>205</v>
      </c>
      <c r="H613" s="2795" t="s">
        <v>199</v>
      </c>
      <c r="I613" s="2796" t="s">
        <v>199</v>
      </c>
      <c r="J613" s="2772" t="s">
        <v>199</v>
      </c>
    </row>
    <row r="614" spans="2:10" ht="18" hidden="1" customHeight="1" outlineLevel="2" x14ac:dyDescent="0.2">
      <c r="B614" s="2845" t="s">
        <v>1521</v>
      </c>
      <c r="C614" s="2847" t="s">
        <v>409</v>
      </c>
      <c r="D614" s="2772" t="s">
        <v>221</v>
      </c>
      <c r="E614" s="2770" t="s">
        <v>205</v>
      </c>
      <c r="F614" s="2792" t="s">
        <v>205</v>
      </c>
      <c r="G614" s="2790" t="s">
        <v>205</v>
      </c>
      <c r="H614" s="2795" t="s">
        <v>221</v>
      </c>
      <c r="I614" s="2796" t="s">
        <v>221</v>
      </c>
      <c r="J614" s="2772" t="s">
        <v>221</v>
      </c>
    </row>
    <row r="615" spans="2:10" ht="18" hidden="1" customHeight="1" outlineLevel="2" x14ac:dyDescent="0.2">
      <c r="B615" s="2845" t="s">
        <v>1522</v>
      </c>
      <c r="C615" s="2848"/>
      <c r="D615" s="2769" t="s">
        <v>205</v>
      </c>
      <c r="E615" s="2770" t="s">
        <v>205</v>
      </c>
      <c r="F615" s="2768" t="s">
        <v>205</v>
      </c>
      <c r="G615" s="2769" t="s">
        <v>205</v>
      </c>
      <c r="H615" s="2771" t="s">
        <v>205</v>
      </c>
      <c r="I615" s="2768" t="s">
        <v>205</v>
      </c>
      <c r="J615" s="2769" t="s">
        <v>205</v>
      </c>
    </row>
    <row r="616" spans="2:10" ht="18" hidden="1" customHeight="1" outlineLevel="2" x14ac:dyDescent="0.2">
      <c r="B616" s="2849" t="s">
        <v>205</v>
      </c>
      <c r="C616" s="2850" t="s">
        <v>205</v>
      </c>
      <c r="D616" s="2772" t="s">
        <v>205</v>
      </c>
      <c r="E616" s="2770" t="s">
        <v>205</v>
      </c>
      <c r="F616" s="2768" t="s">
        <v>205</v>
      </c>
      <c r="G616" s="2769" t="s">
        <v>205</v>
      </c>
      <c r="H616" s="2795" t="s">
        <v>205</v>
      </c>
      <c r="I616" s="2773" t="s">
        <v>205</v>
      </c>
      <c r="J616" s="2774" t="s">
        <v>205</v>
      </c>
    </row>
    <row r="617" spans="2:10" ht="18" hidden="1" customHeight="1" outlineLevel="2" x14ac:dyDescent="0.2">
      <c r="B617" s="2842" t="s">
        <v>1523</v>
      </c>
      <c r="C617" s="2843"/>
      <c r="D617" s="2790" t="s">
        <v>199</v>
      </c>
      <c r="E617" s="2791" t="s">
        <v>205</v>
      </c>
      <c r="F617" s="2792" t="s">
        <v>205</v>
      </c>
      <c r="G617" s="2790" t="s">
        <v>205</v>
      </c>
      <c r="H617" s="2793" t="s">
        <v>199</v>
      </c>
      <c r="I617" s="2792" t="s">
        <v>199</v>
      </c>
      <c r="J617" s="2790" t="s">
        <v>199</v>
      </c>
    </row>
    <row r="618" spans="2:10" ht="18" hidden="1" customHeight="1" outlineLevel="2" x14ac:dyDescent="0.2">
      <c r="B618" s="2844" t="s">
        <v>271</v>
      </c>
      <c r="C618" s="2848"/>
      <c r="D618" s="2781"/>
      <c r="E618" s="2781"/>
      <c r="F618" s="2781"/>
      <c r="G618" s="2781"/>
      <c r="H618" s="2781"/>
      <c r="I618" s="2781"/>
      <c r="J618" s="2794"/>
    </row>
    <row r="619" spans="2:10" ht="18" hidden="1" customHeight="1" outlineLevel="2" x14ac:dyDescent="0.2">
      <c r="B619" s="2845" t="s">
        <v>1524</v>
      </c>
      <c r="C619" s="2850" t="s">
        <v>409</v>
      </c>
      <c r="D619" s="2772" t="s">
        <v>221</v>
      </c>
      <c r="E619" s="2770" t="s">
        <v>205</v>
      </c>
      <c r="F619" s="2792" t="s">
        <v>205</v>
      </c>
      <c r="G619" s="2790" t="s">
        <v>205</v>
      </c>
      <c r="H619" s="2795" t="s">
        <v>221</v>
      </c>
      <c r="I619" s="2796" t="s">
        <v>221</v>
      </c>
      <c r="J619" s="2772" t="s">
        <v>221</v>
      </c>
    </row>
    <row r="620" spans="2:10" ht="18" hidden="1" customHeight="1" outlineLevel="2" x14ac:dyDescent="0.2">
      <c r="B620" s="2845" t="s">
        <v>1525</v>
      </c>
      <c r="C620" s="2843"/>
      <c r="D620" s="2769" t="s">
        <v>205</v>
      </c>
      <c r="E620" s="2770" t="s">
        <v>205</v>
      </c>
      <c r="F620" s="2768" t="s">
        <v>205</v>
      </c>
      <c r="G620" s="2769" t="s">
        <v>205</v>
      </c>
      <c r="H620" s="2771" t="s">
        <v>205</v>
      </c>
      <c r="I620" s="2768" t="s">
        <v>205</v>
      </c>
      <c r="J620" s="2769" t="s">
        <v>205</v>
      </c>
    </row>
    <row r="621" spans="2:10" ht="18" hidden="1" customHeight="1" outlineLevel="2" x14ac:dyDescent="0.2">
      <c r="B621" s="2849" t="s">
        <v>205</v>
      </c>
      <c r="C621" s="2850" t="s">
        <v>205</v>
      </c>
      <c r="D621" s="2772" t="s">
        <v>205</v>
      </c>
      <c r="E621" s="2770" t="s">
        <v>205</v>
      </c>
      <c r="F621" s="2768" t="s">
        <v>205</v>
      </c>
      <c r="G621" s="2769" t="s">
        <v>205</v>
      </c>
      <c r="H621" s="2795" t="s">
        <v>205</v>
      </c>
      <c r="I621" s="2773" t="s">
        <v>205</v>
      </c>
      <c r="J621" s="2774" t="s">
        <v>205</v>
      </c>
    </row>
    <row r="622" spans="2:10" ht="18" hidden="1" customHeight="1" outlineLevel="1" collapsed="1" thickBot="1" x14ac:dyDescent="0.25">
      <c r="B622" s="2851" t="s">
        <v>1583</v>
      </c>
      <c r="C622" s="2852"/>
      <c r="D622" s="2823"/>
      <c r="E622" s="2824"/>
      <c r="F622" s="2825"/>
      <c r="G622" s="2826"/>
      <c r="H622" s="2834" t="s">
        <v>199</v>
      </c>
      <c r="I622" s="2830" t="s">
        <v>199</v>
      </c>
      <c r="J622" s="2831" t="s">
        <v>199</v>
      </c>
    </row>
    <row r="623" spans="2:10" ht="18" hidden="1" customHeight="1" outlineLevel="2" x14ac:dyDescent="0.2">
      <c r="B623" s="2842" t="s">
        <v>1519</v>
      </c>
      <c r="C623" s="2843"/>
      <c r="D623" s="2805" t="s">
        <v>199</v>
      </c>
      <c r="E623" s="2835" t="s">
        <v>205</v>
      </c>
      <c r="F623" s="2813" t="s">
        <v>205</v>
      </c>
      <c r="G623" s="2805" t="s">
        <v>205</v>
      </c>
      <c r="H623" s="2806" t="s">
        <v>199</v>
      </c>
      <c r="I623" s="2768" t="s">
        <v>199</v>
      </c>
      <c r="J623" s="2769" t="s">
        <v>199</v>
      </c>
    </row>
    <row r="624" spans="2:10" ht="18" hidden="1" customHeight="1" outlineLevel="2" x14ac:dyDescent="0.2">
      <c r="B624" s="2844" t="s">
        <v>271</v>
      </c>
      <c r="C624" s="2848"/>
      <c r="D624" s="2781"/>
      <c r="E624" s="2781"/>
      <c r="F624" s="2781"/>
      <c r="G624" s="2781"/>
      <c r="H624" s="2781"/>
      <c r="I624" s="2781"/>
      <c r="J624" s="2794"/>
    </row>
    <row r="625" spans="2:10" ht="18" hidden="1" customHeight="1" outlineLevel="2" x14ac:dyDescent="0.2">
      <c r="B625" s="2845" t="s">
        <v>1520</v>
      </c>
      <c r="C625" s="2846" t="s">
        <v>409</v>
      </c>
      <c r="D625" s="2808" t="s">
        <v>199</v>
      </c>
      <c r="E625" s="2770" t="s">
        <v>205</v>
      </c>
      <c r="F625" s="2813" t="s">
        <v>205</v>
      </c>
      <c r="G625" s="2805" t="s">
        <v>205</v>
      </c>
      <c r="H625" s="2809" t="s">
        <v>199</v>
      </c>
      <c r="I625" s="2810" t="s">
        <v>199</v>
      </c>
      <c r="J625" s="2811" t="s">
        <v>199</v>
      </c>
    </row>
    <row r="626" spans="2:10" ht="18" hidden="1" customHeight="1" outlineLevel="2" x14ac:dyDescent="0.2">
      <c r="B626" s="2845" t="s">
        <v>1521</v>
      </c>
      <c r="C626" s="2847" t="s">
        <v>409</v>
      </c>
      <c r="D626" s="2808" t="s">
        <v>199</v>
      </c>
      <c r="E626" s="2770" t="s">
        <v>205</v>
      </c>
      <c r="F626" s="2813" t="s">
        <v>205</v>
      </c>
      <c r="G626" s="2805" t="s">
        <v>205</v>
      </c>
      <c r="H626" s="2809" t="s">
        <v>199</v>
      </c>
      <c r="I626" s="2810" t="s">
        <v>199</v>
      </c>
      <c r="J626" s="2811" t="s">
        <v>199</v>
      </c>
    </row>
    <row r="627" spans="2:10" ht="18" hidden="1" customHeight="1" outlineLevel="2" x14ac:dyDescent="0.2">
      <c r="B627" s="2845" t="s">
        <v>1522</v>
      </c>
      <c r="C627" s="2848"/>
      <c r="D627" s="2769" t="s">
        <v>205</v>
      </c>
      <c r="E627" s="2770" t="s">
        <v>205</v>
      </c>
      <c r="F627" s="2768" t="s">
        <v>205</v>
      </c>
      <c r="G627" s="2769" t="s">
        <v>205</v>
      </c>
      <c r="H627" s="2771" t="s">
        <v>205</v>
      </c>
      <c r="I627" s="2768" t="s">
        <v>205</v>
      </c>
      <c r="J627" s="2769" t="s">
        <v>205</v>
      </c>
    </row>
    <row r="628" spans="2:10" ht="18" hidden="1" customHeight="1" outlineLevel="2" x14ac:dyDescent="0.2">
      <c r="B628" s="2849" t="s">
        <v>205</v>
      </c>
      <c r="C628" s="2850" t="s">
        <v>205</v>
      </c>
      <c r="D628" s="2772" t="s">
        <v>205</v>
      </c>
      <c r="E628" s="2770" t="s">
        <v>205</v>
      </c>
      <c r="F628" s="2768" t="s">
        <v>205</v>
      </c>
      <c r="G628" s="2769" t="s">
        <v>205</v>
      </c>
      <c r="H628" s="2809" t="s">
        <v>205</v>
      </c>
      <c r="I628" s="2773" t="s">
        <v>205</v>
      </c>
      <c r="J628" s="2774" t="s">
        <v>205</v>
      </c>
    </row>
    <row r="629" spans="2:10" ht="18" hidden="1" customHeight="1" outlineLevel="2" x14ac:dyDescent="0.2">
      <c r="B629" s="2842" t="s">
        <v>1523</v>
      </c>
      <c r="C629" s="2843"/>
      <c r="D629" s="2812" t="s">
        <v>199</v>
      </c>
      <c r="E629" s="2770" t="s">
        <v>205</v>
      </c>
      <c r="F629" s="2813" t="s">
        <v>205</v>
      </c>
      <c r="G629" s="2805" t="s">
        <v>205</v>
      </c>
      <c r="H629" s="2806" t="s">
        <v>199</v>
      </c>
      <c r="I629" s="2768" t="s">
        <v>199</v>
      </c>
      <c r="J629" s="2769" t="s">
        <v>199</v>
      </c>
    </row>
    <row r="630" spans="2:10" ht="18" hidden="1" customHeight="1" outlineLevel="2" x14ac:dyDescent="0.2">
      <c r="B630" s="2844" t="s">
        <v>271</v>
      </c>
      <c r="C630" s="2848"/>
      <c r="D630" s="2781"/>
      <c r="E630" s="2781"/>
      <c r="F630" s="2781"/>
      <c r="G630" s="2781"/>
      <c r="H630" s="2781"/>
      <c r="I630" s="2781"/>
      <c r="J630" s="2794"/>
    </row>
    <row r="631" spans="2:10" ht="18" hidden="1" customHeight="1" outlineLevel="2" x14ac:dyDescent="0.2">
      <c r="B631" s="2845" t="s">
        <v>1524</v>
      </c>
      <c r="C631" s="2850" t="s">
        <v>409</v>
      </c>
      <c r="D631" s="2772" t="s">
        <v>199</v>
      </c>
      <c r="E631" s="2770" t="s">
        <v>205</v>
      </c>
      <c r="F631" s="2768" t="s">
        <v>205</v>
      </c>
      <c r="G631" s="2769" t="s">
        <v>205</v>
      </c>
      <c r="H631" s="2780" t="s">
        <v>199</v>
      </c>
      <c r="I631" s="2773" t="s">
        <v>199</v>
      </c>
      <c r="J631" s="2774" t="s">
        <v>199</v>
      </c>
    </row>
    <row r="632" spans="2:10" ht="18" hidden="1" customHeight="1" outlineLevel="2" x14ac:dyDescent="0.2">
      <c r="B632" s="2845" t="s">
        <v>1525</v>
      </c>
      <c r="C632" s="2843"/>
      <c r="D632" s="2769" t="s">
        <v>205</v>
      </c>
      <c r="E632" s="2770" t="s">
        <v>205</v>
      </c>
      <c r="F632" s="2768" t="s">
        <v>205</v>
      </c>
      <c r="G632" s="2769" t="s">
        <v>205</v>
      </c>
      <c r="H632" s="2771" t="s">
        <v>205</v>
      </c>
      <c r="I632" s="2768" t="s">
        <v>205</v>
      </c>
      <c r="J632" s="2769" t="s">
        <v>205</v>
      </c>
    </row>
    <row r="633" spans="2:10" ht="18" hidden="1" customHeight="1" outlineLevel="2" thickBot="1" x14ac:dyDescent="0.25">
      <c r="B633" s="2849" t="s">
        <v>205</v>
      </c>
      <c r="C633" s="2850" t="s">
        <v>205</v>
      </c>
      <c r="D633" s="2772" t="s">
        <v>205</v>
      </c>
      <c r="E633" s="2770" t="s">
        <v>205</v>
      </c>
      <c r="F633" s="2768" t="s">
        <v>205</v>
      </c>
      <c r="G633" s="2769" t="s">
        <v>205</v>
      </c>
      <c r="H633" s="2809" t="s">
        <v>205</v>
      </c>
      <c r="I633" s="2773" t="s">
        <v>205</v>
      </c>
      <c r="J633" s="2774" t="s">
        <v>205</v>
      </c>
    </row>
    <row r="634" spans="2:10" ht="18" customHeight="1" x14ac:dyDescent="0.2">
      <c r="B634" s="1439" t="s">
        <v>1584</v>
      </c>
      <c r="C634" s="2854"/>
      <c r="D634" s="2817"/>
      <c r="E634" s="2818"/>
      <c r="F634" s="2788"/>
      <c r="G634" s="2784"/>
      <c r="H634" s="2833" t="s">
        <v>199</v>
      </c>
      <c r="I634" s="2828" t="s">
        <v>199</v>
      </c>
      <c r="J634" s="2789" t="s">
        <v>199</v>
      </c>
    </row>
    <row r="635" spans="2:10" ht="18" customHeight="1" collapsed="1" thickBot="1" x14ac:dyDescent="0.25">
      <c r="B635" s="912" t="s">
        <v>1585</v>
      </c>
      <c r="C635" s="2841"/>
      <c r="D635" s="2823"/>
      <c r="E635" s="2824"/>
      <c r="F635" s="2825"/>
      <c r="G635" s="2826"/>
      <c r="H635" s="2834" t="s">
        <v>199</v>
      </c>
      <c r="I635" s="2830" t="s">
        <v>199</v>
      </c>
      <c r="J635" s="2831" t="s">
        <v>199</v>
      </c>
    </row>
    <row r="636" spans="2:10" ht="18" hidden="1" customHeight="1" outlineLevel="1" x14ac:dyDescent="0.2">
      <c r="B636" s="2842" t="s">
        <v>1519</v>
      </c>
      <c r="C636" s="2843"/>
      <c r="D636" s="2805" t="s">
        <v>199</v>
      </c>
      <c r="E636" s="2835" t="s">
        <v>205</v>
      </c>
      <c r="F636" s="2813" t="s">
        <v>205</v>
      </c>
      <c r="G636" s="2805" t="s">
        <v>205</v>
      </c>
      <c r="H636" s="2806" t="s">
        <v>199</v>
      </c>
      <c r="I636" s="2768" t="s">
        <v>199</v>
      </c>
      <c r="J636" s="2769" t="s">
        <v>199</v>
      </c>
    </row>
    <row r="637" spans="2:10" ht="18" hidden="1" customHeight="1" outlineLevel="1" x14ac:dyDescent="0.2">
      <c r="B637" s="2844" t="s">
        <v>271</v>
      </c>
      <c r="C637" s="2848"/>
      <c r="D637" s="2781"/>
      <c r="E637" s="2781"/>
      <c r="F637" s="2781"/>
      <c r="G637" s="2781"/>
      <c r="H637" s="2781"/>
      <c r="I637" s="2781"/>
      <c r="J637" s="2794"/>
    </row>
    <row r="638" spans="2:10" ht="18" hidden="1" customHeight="1" outlineLevel="1" x14ac:dyDescent="0.2">
      <c r="B638" s="2845" t="s">
        <v>1520</v>
      </c>
      <c r="C638" s="2846" t="s">
        <v>409</v>
      </c>
      <c r="D638" s="2808" t="s">
        <v>199</v>
      </c>
      <c r="E638" s="2770" t="s">
        <v>205</v>
      </c>
      <c r="F638" s="2813" t="s">
        <v>205</v>
      </c>
      <c r="G638" s="2805" t="s">
        <v>205</v>
      </c>
      <c r="H638" s="2809" t="s">
        <v>199</v>
      </c>
      <c r="I638" s="2810" t="s">
        <v>199</v>
      </c>
      <c r="J638" s="2811" t="s">
        <v>199</v>
      </c>
    </row>
    <row r="639" spans="2:10" ht="18" hidden="1" customHeight="1" outlineLevel="1" x14ac:dyDescent="0.2">
      <c r="B639" s="2845" t="s">
        <v>1521</v>
      </c>
      <c r="C639" s="2847" t="s">
        <v>409</v>
      </c>
      <c r="D639" s="2808" t="s">
        <v>199</v>
      </c>
      <c r="E639" s="2770" t="s">
        <v>205</v>
      </c>
      <c r="F639" s="2813" t="s">
        <v>205</v>
      </c>
      <c r="G639" s="2805" t="s">
        <v>205</v>
      </c>
      <c r="H639" s="2809" t="s">
        <v>199</v>
      </c>
      <c r="I639" s="2810" t="s">
        <v>199</v>
      </c>
      <c r="J639" s="2811" t="s">
        <v>199</v>
      </c>
    </row>
    <row r="640" spans="2:10" ht="18" hidden="1" customHeight="1" outlineLevel="1" x14ac:dyDescent="0.2">
      <c r="B640" s="2845" t="s">
        <v>1522</v>
      </c>
      <c r="C640" s="2848"/>
      <c r="D640" s="2769" t="s">
        <v>205</v>
      </c>
      <c r="E640" s="2770" t="s">
        <v>205</v>
      </c>
      <c r="F640" s="2768" t="s">
        <v>205</v>
      </c>
      <c r="G640" s="2769" t="s">
        <v>205</v>
      </c>
      <c r="H640" s="2771" t="s">
        <v>205</v>
      </c>
      <c r="I640" s="2768" t="s">
        <v>205</v>
      </c>
      <c r="J640" s="2769" t="s">
        <v>205</v>
      </c>
    </row>
    <row r="641" spans="2:10" ht="18" hidden="1" customHeight="1" outlineLevel="1" x14ac:dyDescent="0.2">
      <c r="B641" s="2849" t="s">
        <v>205</v>
      </c>
      <c r="C641" s="2850" t="s">
        <v>205</v>
      </c>
      <c r="D641" s="2772" t="s">
        <v>205</v>
      </c>
      <c r="E641" s="2770" t="s">
        <v>205</v>
      </c>
      <c r="F641" s="2768" t="s">
        <v>205</v>
      </c>
      <c r="G641" s="2769" t="s">
        <v>205</v>
      </c>
      <c r="H641" s="2809" t="s">
        <v>205</v>
      </c>
      <c r="I641" s="2773" t="s">
        <v>205</v>
      </c>
      <c r="J641" s="2774" t="s">
        <v>205</v>
      </c>
    </row>
    <row r="642" spans="2:10" ht="18" hidden="1" customHeight="1" outlineLevel="1" x14ac:dyDescent="0.2">
      <c r="B642" s="2842" t="s">
        <v>1523</v>
      </c>
      <c r="C642" s="2843"/>
      <c r="D642" s="2812" t="s">
        <v>199</v>
      </c>
      <c r="E642" s="2770" t="s">
        <v>205</v>
      </c>
      <c r="F642" s="2813" t="s">
        <v>205</v>
      </c>
      <c r="G642" s="2805" t="s">
        <v>205</v>
      </c>
      <c r="H642" s="2806" t="s">
        <v>199</v>
      </c>
      <c r="I642" s="2768" t="s">
        <v>199</v>
      </c>
      <c r="J642" s="2769" t="s">
        <v>199</v>
      </c>
    </row>
    <row r="643" spans="2:10" ht="18" hidden="1" customHeight="1" outlineLevel="1" x14ac:dyDescent="0.2">
      <c r="B643" s="2844" t="s">
        <v>271</v>
      </c>
      <c r="C643" s="2848"/>
      <c r="D643" s="2781"/>
      <c r="E643" s="2781"/>
      <c r="F643" s="2781"/>
      <c r="G643" s="2781"/>
      <c r="H643" s="2781"/>
      <c r="I643" s="2781"/>
      <c r="J643" s="2794"/>
    </row>
    <row r="644" spans="2:10" ht="18" hidden="1" customHeight="1" outlineLevel="1" x14ac:dyDescent="0.2">
      <c r="B644" s="2845" t="s">
        <v>1524</v>
      </c>
      <c r="C644" s="2850" t="s">
        <v>409</v>
      </c>
      <c r="D644" s="2772" t="s">
        <v>199</v>
      </c>
      <c r="E644" s="2770" t="s">
        <v>205</v>
      </c>
      <c r="F644" s="2768" t="s">
        <v>205</v>
      </c>
      <c r="G644" s="2769" t="s">
        <v>205</v>
      </c>
      <c r="H644" s="2780" t="s">
        <v>199</v>
      </c>
      <c r="I644" s="2773" t="s">
        <v>199</v>
      </c>
      <c r="J644" s="2774" t="s">
        <v>199</v>
      </c>
    </row>
    <row r="645" spans="2:10" ht="18" hidden="1" customHeight="1" outlineLevel="1" x14ac:dyDescent="0.2">
      <c r="B645" s="2845" t="s">
        <v>1525</v>
      </c>
      <c r="C645" s="2843"/>
      <c r="D645" s="2769" t="s">
        <v>205</v>
      </c>
      <c r="E645" s="2770" t="s">
        <v>205</v>
      </c>
      <c r="F645" s="2768" t="s">
        <v>205</v>
      </c>
      <c r="G645" s="2769" t="s">
        <v>205</v>
      </c>
      <c r="H645" s="2771" t="s">
        <v>205</v>
      </c>
      <c r="I645" s="2768" t="s">
        <v>205</v>
      </c>
      <c r="J645" s="2769" t="s">
        <v>205</v>
      </c>
    </row>
    <row r="646" spans="2:10" ht="18" hidden="1" customHeight="1" outlineLevel="1" x14ac:dyDescent="0.2">
      <c r="B646" s="2849" t="s">
        <v>205</v>
      </c>
      <c r="C646" s="2850" t="s">
        <v>205</v>
      </c>
      <c r="D646" s="2772" t="s">
        <v>205</v>
      </c>
      <c r="E646" s="2770" t="s">
        <v>205</v>
      </c>
      <c r="F646" s="2768" t="s">
        <v>205</v>
      </c>
      <c r="G646" s="2769" t="s">
        <v>205</v>
      </c>
      <c r="H646" s="2809" t="s">
        <v>205</v>
      </c>
      <c r="I646" s="2773" t="s">
        <v>205</v>
      </c>
      <c r="J646" s="2774" t="s">
        <v>205</v>
      </c>
    </row>
    <row r="647" spans="2:10" ht="18" hidden="1" customHeight="1" outlineLevel="1" x14ac:dyDescent="0.2">
      <c r="B647" s="2844" t="s">
        <v>271</v>
      </c>
      <c r="C647" s="2848"/>
      <c r="D647" s="2781"/>
      <c r="E647" s="2781"/>
      <c r="F647" s="2781"/>
      <c r="G647" s="2781"/>
      <c r="H647" s="2781"/>
      <c r="I647" s="2781"/>
      <c r="J647" s="2794"/>
    </row>
    <row r="648" spans="2:10" ht="18" hidden="1" customHeight="1" outlineLevel="1" collapsed="1" x14ac:dyDescent="0.2">
      <c r="B648" s="2842" t="s">
        <v>1586</v>
      </c>
      <c r="C648" s="2843"/>
      <c r="D648" s="2823"/>
      <c r="E648" s="2824"/>
      <c r="F648" s="2825"/>
      <c r="G648" s="2826"/>
      <c r="H648" s="2834" t="s">
        <v>199</v>
      </c>
      <c r="I648" s="2830" t="s">
        <v>199</v>
      </c>
      <c r="J648" s="2831" t="s">
        <v>199</v>
      </c>
    </row>
    <row r="649" spans="2:10" ht="18" hidden="1" customHeight="1" outlineLevel="2" x14ac:dyDescent="0.2">
      <c r="B649" s="2842" t="s">
        <v>1519</v>
      </c>
      <c r="C649" s="2843"/>
      <c r="D649" s="2805" t="s">
        <v>199</v>
      </c>
      <c r="E649" s="2835" t="s">
        <v>205</v>
      </c>
      <c r="F649" s="2813" t="s">
        <v>205</v>
      </c>
      <c r="G649" s="2805" t="s">
        <v>205</v>
      </c>
      <c r="H649" s="2806" t="s">
        <v>199</v>
      </c>
      <c r="I649" s="2768" t="s">
        <v>199</v>
      </c>
      <c r="J649" s="2769" t="s">
        <v>199</v>
      </c>
    </row>
    <row r="650" spans="2:10" ht="18" hidden="1" customHeight="1" outlineLevel="2" x14ac:dyDescent="0.2">
      <c r="B650" s="2844" t="s">
        <v>271</v>
      </c>
      <c r="C650" s="2848"/>
      <c r="D650" s="2781"/>
      <c r="E650" s="2781"/>
      <c r="F650" s="2781"/>
      <c r="G650" s="2781"/>
      <c r="H650" s="2781"/>
      <c r="I650" s="2781"/>
      <c r="J650" s="2794"/>
    </row>
    <row r="651" spans="2:10" ht="18" hidden="1" customHeight="1" outlineLevel="2" x14ac:dyDescent="0.2">
      <c r="B651" s="2845" t="s">
        <v>1520</v>
      </c>
      <c r="C651" s="2846" t="s">
        <v>409</v>
      </c>
      <c r="D651" s="2808" t="s">
        <v>199</v>
      </c>
      <c r="E651" s="2770" t="s">
        <v>205</v>
      </c>
      <c r="F651" s="2813" t="s">
        <v>205</v>
      </c>
      <c r="G651" s="2805" t="s">
        <v>205</v>
      </c>
      <c r="H651" s="2809" t="s">
        <v>199</v>
      </c>
      <c r="I651" s="2810" t="s">
        <v>199</v>
      </c>
      <c r="J651" s="2811" t="s">
        <v>199</v>
      </c>
    </row>
    <row r="652" spans="2:10" ht="18" hidden="1" customHeight="1" outlineLevel="2" x14ac:dyDescent="0.2">
      <c r="B652" s="2845" t="s">
        <v>1521</v>
      </c>
      <c r="C652" s="2847" t="s">
        <v>409</v>
      </c>
      <c r="D652" s="2808" t="s">
        <v>199</v>
      </c>
      <c r="E652" s="2770" t="s">
        <v>205</v>
      </c>
      <c r="F652" s="2813" t="s">
        <v>205</v>
      </c>
      <c r="G652" s="2805" t="s">
        <v>205</v>
      </c>
      <c r="H652" s="2809" t="s">
        <v>199</v>
      </c>
      <c r="I652" s="2810" t="s">
        <v>199</v>
      </c>
      <c r="J652" s="2811" t="s">
        <v>199</v>
      </c>
    </row>
    <row r="653" spans="2:10" ht="18" hidden="1" customHeight="1" outlineLevel="2" x14ac:dyDescent="0.2">
      <c r="B653" s="2845" t="s">
        <v>1522</v>
      </c>
      <c r="C653" s="2848"/>
      <c r="D653" s="2769" t="s">
        <v>205</v>
      </c>
      <c r="E653" s="2770" t="s">
        <v>205</v>
      </c>
      <c r="F653" s="2768" t="s">
        <v>205</v>
      </c>
      <c r="G653" s="2769" t="s">
        <v>205</v>
      </c>
      <c r="H653" s="2771" t="s">
        <v>205</v>
      </c>
      <c r="I653" s="2768" t="s">
        <v>205</v>
      </c>
      <c r="J653" s="2769" t="s">
        <v>205</v>
      </c>
    </row>
    <row r="654" spans="2:10" ht="18" hidden="1" customHeight="1" outlineLevel="2" x14ac:dyDescent="0.2">
      <c r="B654" s="2849" t="s">
        <v>205</v>
      </c>
      <c r="C654" s="2850" t="s">
        <v>205</v>
      </c>
      <c r="D654" s="2772" t="s">
        <v>205</v>
      </c>
      <c r="E654" s="2770" t="s">
        <v>205</v>
      </c>
      <c r="F654" s="2768" t="s">
        <v>205</v>
      </c>
      <c r="G654" s="2769" t="s">
        <v>205</v>
      </c>
      <c r="H654" s="2809" t="s">
        <v>205</v>
      </c>
      <c r="I654" s="2773" t="s">
        <v>205</v>
      </c>
      <c r="J654" s="2774" t="s">
        <v>205</v>
      </c>
    </row>
    <row r="655" spans="2:10" ht="18" hidden="1" customHeight="1" outlineLevel="2" x14ac:dyDescent="0.2">
      <c r="B655" s="2842" t="s">
        <v>1523</v>
      </c>
      <c r="C655" s="2843"/>
      <c r="D655" s="2812" t="s">
        <v>199</v>
      </c>
      <c r="E655" s="2770" t="s">
        <v>205</v>
      </c>
      <c r="F655" s="2813" t="s">
        <v>205</v>
      </c>
      <c r="G655" s="2805" t="s">
        <v>205</v>
      </c>
      <c r="H655" s="2806" t="s">
        <v>199</v>
      </c>
      <c r="I655" s="2768" t="s">
        <v>199</v>
      </c>
      <c r="J655" s="2769" t="s">
        <v>199</v>
      </c>
    </row>
    <row r="656" spans="2:10" ht="18" hidden="1" customHeight="1" outlineLevel="2" x14ac:dyDescent="0.2">
      <c r="B656" s="2844" t="s">
        <v>271</v>
      </c>
      <c r="C656" s="2848"/>
      <c r="D656" s="2781"/>
      <c r="E656" s="2781"/>
      <c r="F656" s="2781"/>
      <c r="G656" s="2781"/>
      <c r="H656" s="2781"/>
      <c r="I656" s="2781"/>
      <c r="J656" s="2794"/>
    </row>
    <row r="657" spans="2:10" ht="18" hidden="1" customHeight="1" outlineLevel="2" x14ac:dyDescent="0.2">
      <c r="B657" s="2845" t="s">
        <v>1524</v>
      </c>
      <c r="C657" s="2850" t="s">
        <v>409</v>
      </c>
      <c r="D657" s="2772" t="s">
        <v>199</v>
      </c>
      <c r="E657" s="2770" t="s">
        <v>205</v>
      </c>
      <c r="F657" s="2768" t="s">
        <v>205</v>
      </c>
      <c r="G657" s="2769" t="s">
        <v>205</v>
      </c>
      <c r="H657" s="2780" t="s">
        <v>199</v>
      </c>
      <c r="I657" s="2773" t="s">
        <v>199</v>
      </c>
      <c r="J657" s="2774" t="s">
        <v>199</v>
      </c>
    </row>
    <row r="658" spans="2:10" ht="18" hidden="1" customHeight="1" outlineLevel="2" x14ac:dyDescent="0.2">
      <c r="B658" s="2845" t="s">
        <v>1525</v>
      </c>
      <c r="C658" s="2843"/>
      <c r="D658" s="2769" t="s">
        <v>205</v>
      </c>
      <c r="E658" s="2770" t="s">
        <v>205</v>
      </c>
      <c r="F658" s="2768" t="s">
        <v>205</v>
      </c>
      <c r="G658" s="2769" t="s">
        <v>205</v>
      </c>
      <c r="H658" s="2771" t="s">
        <v>205</v>
      </c>
      <c r="I658" s="2768" t="s">
        <v>205</v>
      </c>
      <c r="J658" s="2769" t="s">
        <v>205</v>
      </c>
    </row>
    <row r="659" spans="2:10" ht="18" hidden="1" customHeight="1" outlineLevel="2" x14ac:dyDescent="0.2">
      <c r="B659" s="2849" t="s">
        <v>205</v>
      </c>
      <c r="C659" s="2850" t="s">
        <v>205</v>
      </c>
      <c r="D659" s="2772" t="s">
        <v>205</v>
      </c>
      <c r="E659" s="2770" t="s">
        <v>205</v>
      </c>
      <c r="F659" s="2768" t="s">
        <v>205</v>
      </c>
      <c r="G659" s="2769" t="s">
        <v>205</v>
      </c>
      <c r="H659" s="2809" t="s">
        <v>205</v>
      </c>
      <c r="I659" s="2773" t="s">
        <v>205</v>
      </c>
      <c r="J659" s="2774" t="s">
        <v>205</v>
      </c>
    </row>
    <row r="660" spans="2:10" ht="18" hidden="1" customHeight="1" outlineLevel="1" collapsed="1" x14ac:dyDescent="0.2">
      <c r="B660" s="2851" t="s">
        <v>1587</v>
      </c>
      <c r="C660" s="2852"/>
      <c r="D660" s="2823"/>
      <c r="E660" s="2824"/>
      <c r="F660" s="2825"/>
      <c r="G660" s="2826"/>
      <c r="H660" s="2834" t="s">
        <v>199</v>
      </c>
      <c r="I660" s="2830" t="s">
        <v>199</v>
      </c>
      <c r="J660" s="2831" t="s">
        <v>199</v>
      </c>
    </row>
    <row r="661" spans="2:10" ht="18" hidden="1" customHeight="1" outlineLevel="2" x14ac:dyDescent="0.2">
      <c r="B661" s="2842" t="s">
        <v>1519</v>
      </c>
      <c r="C661" s="2843"/>
      <c r="D661" s="2805" t="s">
        <v>199</v>
      </c>
      <c r="E661" s="2835" t="s">
        <v>205</v>
      </c>
      <c r="F661" s="2813" t="s">
        <v>205</v>
      </c>
      <c r="G661" s="2805" t="s">
        <v>205</v>
      </c>
      <c r="H661" s="2806" t="s">
        <v>199</v>
      </c>
      <c r="I661" s="2768" t="s">
        <v>199</v>
      </c>
      <c r="J661" s="2769" t="s">
        <v>199</v>
      </c>
    </row>
    <row r="662" spans="2:10" ht="18" hidden="1" customHeight="1" outlineLevel="2" x14ac:dyDescent="0.2">
      <c r="B662" s="2844" t="s">
        <v>271</v>
      </c>
      <c r="C662" s="2848"/>
      <c r="D662" s="2781"/>
      <c r="E662" s="2781"/>
      <c r="F662" s="2781"/>
      <c r="G662" s="2781"/>
      <c r="H662" s="2781"/>
      <c r="I662" s="2781"/>
      <c r="J662" s="2794"/>
    </row>
    <row r="663" spans="2:10" ht="18" hidden="1" customHeight="1" outlineLevel="2" x14ac:dyDescent="0.2">
      <c r="B663" s="2845" t="s">
        <v>1520</v>
      </c>
      <c r="C663" s="2846" t="s">
        <v>409</v>
      </c>
      <c r="D663" s="2808" t="s">
        <v>199</v>
      </c>
      <c r="E663" s="2770" t="s">
        <v>205</v>
      </c>
      <c r="F663" s="2813" t="s">
        <v>205</v>
      </c>
      <c r="G663" s="2805" t="s">
        <v>205</v>
      </c>
      <c r="H663" s="2809" t="s">
        <v>199</v>
      </c>
      <c r="I663" s="2810" t="s">
        <v>199</v>
      </c>
      <c r="J663" s="2811" t="s">
        <v>199</v>
      </c>
    </row>
    <row r="664" spans="2:10" ht="18" hidden="1" customHeight="1" outlineLevel="2" x14ac:dyDescent="0.2">
      <c r="B664" s="2845" t="s">
        <v>1521</v>
      </c>
      <c r="C664" s="2847" t="s">
        <v>409</v>
      </c>
      <c r="D664" s="2808" t="s">
        <v>199</v>
      </c>
      <c r="E664" s="2770" t="s">
        <v>205</v>
      </c>
      <c r="F664" s="2813" t="s">
        <v>205</v>
      </c>
      <c r="G664" s="2805" t="s">
        <v>205</v>
      </c>
      <c r="H664" s="2809" t="s">
        <v>199</v>
      </c>
      <c r="I664" s="2810" t="s">
        <v>199</v>
      </c>
      <c r="J664" s="2811" t="s">
        <v>199</v>
      </c>
    </row>
    <row r="665" spans="2:10" ht="18" hidden="1" customHeight="1" outlineLevel="2" x14ac:dyDescent="0.2">
      <c r="B665" s="2845" t="s">
        <v>1522</v>
      </c>
      <c r="C665" s="2848"/>
      <c r="D665" s="2769" t="s">
        <v>205</v>
      </c>
      <c r="E665" s="2770" t="s">
        <v>205</v>
      </c>
      <c r="F665" s="2768" t="s">
        <v>205</v>
      </c>
      <c r="G665" s="2769" t="s">
        <v>205</v>
      </c>
      <c r="H665" s="2771" t="s">
        <v>205</v>
      </c>
      <c r="I665" s="2768" t="s">
        <v>205</v>
      </c>
      <c r="J665" s="2769" t="s">
        <v>205</v>
      </c>
    </row>
    <row r="666" spans="2:10" ht="18" hidden="1" customHeight="1" outlineLevel="2" x14ac:dyDescent="0.2">
      <c r="B666" s="2849" t="s">
        <v>205</v>
      </c>
      <c r="C666" s="2850" t="s">
        <v>205</v>
      </c>
      <c r="D666" s="2772" t="s">
        <v>205</v>
      </c>
      <c r="E666" s="2770" t="s">
        <v>205</v>
      </c>
      <c r="F666" s="2768" t="s">
        <v>205</v>
      </c>
      <c r="G666" s="2769" t="s">
        <v>205</v>
      </c>
      <c r="H666" s="2809" t="s">
        <v>205</v>
      </c>
      <c r="I666" s="2773" t="s">
        <v>205</v>
      </c>
      <c r="J666" s="2774" t="s">
        <v>205</v>
      </c>
    </row>
    <row r="667" spans="2:10" ht="18" hidden="1" customHeight="1" outlineLevel="2" x14ac:dyDescent="0.2">
      <c r="B667" s="2842" t="s">
        <v>1523</v>
      </c>
      <c r="C667" s="2843"/>
      <c r="D667" s="2812" t="s">
        <v>199</v>
      </c>
      <c r="E667" s="2770" t="s">
        <v>205</v>
      </c>
      <c r="F667" s="2813" t="s">
        <v>205</v>
      </c>
      <c r="G667" s="2805" t="s">
        <v>205</v>
      </c>
      <c r="H667" s="2806" t="s">
        <v>199</v>
      </c>
      <c r="I667" s="2768" t="s">
        <v>199</v>
      </c>
      <c r="J667" s="2769" t="s">
        <v>199</v>
      </c>
    </row>
    <row r="668" spans="2:10" ht="18" hidden="1" customHeight="1" outlineLevel="2" x14ac:dyDescent="0.2">
      <c r="B668" s="2844" t="s">
        <v>271</v>
      </c>
      <c r="C668" s="2848"/>
      <c r="D668" s="2781"/>
      <c r="E668" s="2781"/>
      <c r="F668" s="2781"/>
      <c r="G668" s="2781"/>
      <c r="H668" s="2781"/>
      <c r="I668" s="2781"/>
      <c r="J668" s="2794"/>
    </row>
    <row r="669" spans="2:10" ht="18" hidden="1" customHeight="1" outlineLevel="2" x14ac:dyDescent="0.2">
      <c r="B669" s="2845" t="s">
        <v>1524</v>
      </c>
      <c r="C669" s="2850" t="s">
        <v>409</v>
      </c>
      <c r="D669" s="2772" t="s">
        <v>199</v>
      </c>
      <c r="E669" s="2770" t="s">
        <v>205</v>
      </c>
      <c r="F669" s="2768" t="s">
        <v>205</v>
      </c>
      <c r="G669" s="2769" t="s">
        <v>205</v>
      </c>
      <c r="H669" s="2780" t="s">
        <v>199</v>
      </c>
      <c r="I669" s="2773" t="s">
        <v>199</v>
      </c>
      <c r="J669" s="2774" t="s">
        <v>199</v>
      </c>
    </row>
    <row r="670" spans="2:10" ht="18" hidden="1" customHeight="1" outlineLevel="2" x14ac:dyDescent="0.2">
      <c r="B670" s="2845" t="s">
        <v>1525</v>
      </c>
      <c r="C670" s="2843"/>
      <c r="D670" s="2769" t="s">
        <v>205</v>
      </c>
      <c r="E670" s="2770" t="s">
        <v>205</v>
      </c>
      <c r="F670" s="2768" t="s">
        <v>205</v>
      </c>
      <c r="G670" s="2769" t="s">
        <v>205</v>
      </c>
      <c r="H670" s="2771" t="s">
        <v>205</v>
      </c>
      <c r="I670" s="2768" t="s">
        <v>205</v>
      </c>
      <c r="J670" s="2769" t="s">
        <v>205</v>
      </c>
    </row>
    <row r="671" spans="2:10" ht="18" hidden="1" customHeight="1" outlineLevel="2" x14ac:dyDescent="0.2">
      <c r="B671" s="2849" t="s">
        <v>205</v>
      </c>
      <c r="C671" s="2850" t="s">
        <v>205</v>
      </c>
      <c r="D671" s="2772" t="s">
        <v>205</v>
      </c>
      <c r="E671" s="2770" t="s">
        <v>205</v>
      </c>
      <c r="F671" s="2768" t="s">
        <v>205</v>
      </c>
      <c r="G671" s="2769" t="s">
        <v>205</v>
      </c>
      <c r="H671" s="2809" t="s">
        <v>205</v>
      </c>
      <c r="I671" s="2773" t="s">
        <v>205</v>
      </c>
      <c r="J671" s="2774" t="s">
        <v>205</v>
      </c>
    </row>
    <row r="672" spans="2:10" ht="18" hidden="1" customHeight="1" outlineLevel="1" collapsed="1" x14ac:dyDescent="0.2">
      <c r="B672" s="2851" t="s">
        <v>1588</v>
      </c>
      <c r="C672" s="2852"/>
      <c r="D672" s="2823"/>
      <c r="E672" s="2824"/>
      <c r="F672" s="2825"/>
      <c r="G672" s="2826"/>
      <c r="H672" s="2834" t="s">
        <v>199</v>
      </c>
      <c r="I672" s="2830" t="s">
        <v>199</v>
      </c>
      <c r="J672" s="2831" t="s">
        <v>199</v>
      </c>
    </row>
    <row r="673" spans="2:10" ht="18" hidden="1" customHeight="1" outlineLevel="2" x14ac:dyDescent="0.2">
      <c r="B673" s="2842" t="s">
        <v>1519</v>
      </c>
      <c r="C673" s="2843"/>
      <c r="D673" s="2805" t="s">
        <v>199</v>
      </c>
      <c r="E673" s="2835" t="s">
        <v>205</v>
      </c>
      <c r="F673" s="2813" t="s">
        <v>205</v>
      </c>
      <c r="G673" s="2805" t="s">
        <v>205</v>
      </c>
      <c r="H673" s="2806" t="s">
        <v>199</v>
      </c>
      <c r="I673" s="2768" t="s">
        <v>199</v>
      </c>
      <c r="J673" s="2769" t="s">
        <v>199</v>
      </c>
    </row>
    <row r="674" spans="2:10" ht="18" hidden="1" customHeight="1" outlineLevel="2" x14ac:dyDescent="0.2">
      <c r="B674" s="2844" t="s">
        <v>271</v>
      </c>
      <c r="C674" s="2848"/>
      <c r="D674" s="2781"/>
      <c r="E674" s="2781"/>
      <c r="F674" s="2781"/>
      <c r="G674" s="2781"/>
      <c r="H674" s="2781"/>
      <c r="I674" s="2781"/>
      <c r="J674" s="2794"/>
    </row>
    <row r="675" spans="2:10" ht="18" hidden="1" customHeight="1" outlineLevel="2" x14ac:dyDescent="0.2">
      <c r="B675" s="2845" t="s">
        <v>1520</v>
      </c>
      <c r="C675" s="2846" t="s">
        <v>409</v>
      </c>
      <c r="D675" s="2808" t="s">
        <v>199</v>
      </c>
      <c r="E675" s="2770" t="s">
        <v>205</v>
      </c>
      <c r="F675" s="2813" t="s">
        <v>205</v>
      </c>
      <c r="G675" s="2805" t="s">
        <v>205</v>
      </c>
      <c r="H675" s="2809" t="s">
        <v>199</v>
      </c>
      <c r="I675" s="2810" t="s">
        <v>199</v>
      </c>
      <c r="J675" s="2811" t="s">
        <v>199</v>
      </c>
    </row>
    <row r="676" spans="2:10" ht="18" hidden="1" customHeight="1" outlineLevel="2" x14ac:dyDescent="0.2">
      <c r="B676" s="2845" t="s">
        <v>1521</v>
      </c>
      <c r="C676" s="2847" t="s">
        <v>409</v>
      </c>
      <c r="D676" s="2808" t="s">
        <v>199</v>
      </c>
      <c r="E676" s="2770" t="s">
        <v>205</v>
      </c>
      <c r="F676" s="2813" t="s">
        <v>205</v>
      </c>
      <c r="G676" s="2805" t="s">
        <v>205</v>
      </c>
      <c r="H676" s="2809" t="s">
        <v>199</v>
      </c>
      <c r="I676" s="2810" t="s">
        <v>199</v>
      </c>
      <c r="J676" s="2811" t="s">
        <v>199</v>
      </c>
    </row>
    <row r="677" spans="2:10" ht="18" hidden="1" customHeight="1" outlineLevel="2" x14ac:dyDescent="0.2">
      <c r="B677" s="2845" t="s">
        <v>1522</v>
      </c>
      <c r="C677" s="2848"/>
      <c r="D677" s="2769" t="s">
        <v>205</v>
      </c>
      <c r="E677" s="2770" t="s">
        <v>205</v>
      </c>
      <c r="F677" s="2768" t="s">
        <v>205</v>
      </c>
      <c r="G677" s="2769" t="s">
        <v>205</v>
      </c>
      <c r="H677" s="2771" t="s">
        <v>205</v>
      </c>
      <c r="I677" s="2768" t="s">
        <v>205</v>
      </c>
      <c r="J677" s="2769" t="s">
        <v>205</v>
      </c>
    </row>
    <row r="678" spans="2:10" ht="18" hidden="1" customHeight="1" outlineLevel="2" x14ac:dyDescent="0.2">
      <c r="B678" s="2849" t="s">
        <v>205</v>
      </c>
      <c r="C678" s="2850" t="s">
        <v>205</v>
      </c>
      <c r="D678" s="2772" t="s">
        <v>205</v>
      </c>
      <c r="E678" s="2770" t="s">
        <v>205</v>
      </c>
      <c r="F678" s="2768" t="s">
        <v>205</v>
      </c>
      <c r="G678" s="2769" t="s">
        <v>205</v>
      </c>
      <c r="H678" s="2809" t="s">
        <v>205</v>
      </c>
      <c r="I678" s="2773" t="s">
        <v>205</v>
      </c>
      <c r="J678" s="2774" t="s">
        <v>205</v>
      </c>
    </row>
    <row r="679" spans="2:10" ht="18" hidden="1" customHeight="1" outlineLevel="2" x14ac:dyDescent="0.2">
      <c r="B679" s="2842" t="s">
        <v>1523</v>
      </c>
      <c r="C679" s="2843"/>
      <c r="D679" s="2812" t="s">
        <v>199</v>
      </c>
      <c r="E679" s="2770" t="s">
        <v>205</v>
      </c>
      <c r="F679" s="2813" t="s">
        <v>205</v>
      </c>
      <c r="G679" s="2805" t="s">
        <v>205</v>
      </c>
      <c r="H679" s="2806" t="s">
        <v>199</v>
      </c>
      <c r="I679" s="2768" t="s">
        <v>199</v>
      </c>
      <c r="J679" s="2769" t="s">
        <v>199</v>
      </c>
    </row>
    <row r="680" spans="2:10" ht="18" hidden="1" customHeight="1" outlineLevel="2" x14ac:dyDescent="0.2">
      <c r="B680" s="2844" t="s">
        <v>271</v>
      </c>
      <c r="C680" s="2848"/>
      <c r="D680" s="2781"/>
      <c r="E680" s="2781"/>
      <c r="F680" s="2781"/>
      <c r="G680" s="2781"/>
      <c r="H680" s="2781"/>
      <c r="I680" s="2781"/>
      <c r="J680" s="2794"/>
    </row>
    <row r="681" spans="2:10" ht="18" hidden="1" customHeight="1" outlineLevel="2" x14ac:dyDescent="0.2">
      <c r="B681" s="2845" t="s">
        <v>1524</v>
      </c>
      <c r="C681" s="2850" t="s">
        <v>409</v>
      </c>
      <c r="D681" s="2772" t="s">
        <v>199</v>
      </c>
      <c r="E681" s="2770" t="s">
        <v>205</v>
      </c>
      <c r="F681" s="2768" t="s">
        <v>205</v>
      </c>
      <c r="G681" s="2769" t="s">
        <v>205</v>
      </c>
      <c r="H681" s="2780" t="s">
        <v>199</v>
      </c>
      <c r="I681" s="2773" t="s">
        <v>199</v>
      </c>
      <c r="J681" s="2774" t="s">
        <v>199</v>
      </c>
    </row>
    <row r="682" spans="2:10" ht="18" hidden="1" customHeight="1" outlineLevel="2" x14ac:dyDescent="0.2">
      <c r="B682" s="2845" t="s">
        <v>1525</v>
      </c>
      <c r="C682" s="2843"/>
      <c r="D682" s="2769" t="s">
        <v>205</v>
      </c>
      <c r="E682" s="2770" t="s">
        <v>205</v>
      </c>
      <c r="F682" s="2768" t="s">
        <v>205</v>
      </c>
      <c r="G682" s="2769" t="s">
        <v>205</v>
      </c>
      <c r="H682" s="2771" t="s">
        <v>205</v>
      </c>
      <c r="I682" s="2768" t="s">
        <v>205</v>
      </c>
      <c r="J682" s="2769" t="s">
        <v>205</v>
      </c>
    </row>
    <row r="683" spans="2:10" ht="18" hidden="1" customHeight="1" outlineLevel="2" x14ac:dyDescent="0.2">
      <c r="B683" s="2849" t="s">
        <v>205</v>
      </c>
      <c r="C683" s="2850" t="s">
        <v>205</v>
      </c>
      <c r="D683" s="2772" t="s">
        <v>205</v>
      </c>
      <c r="E683" s="2770" t="s">
        <v>205</v>
      </c>
      <c r="F683" s="2768" t="s">
        <v>205</v>
      </c>
      <c r="G683" s="2769" t="s">
        <v>205</v>
      </c>
      <c r="H683" s="2809" t="s">
        <v>205</v>
      </c>
      <c r="I683" s="2773" t="s">
        <v>205</v>
      </c>
      <c r="J683" s="2774" t="s">
        <v>205</v>
      </c>
    </row>
    <row r="684" spans="2:10" ht="18" hidden="1" customHeight="1" outlineLevel="1" collapsed="1" x14ac:dyDescent="0.2">
      <c r="B684" s="2851" t="s">
        <v>1589</v>
      </c>
      <c r="C684" s="2852"/>
      <c r="D684" s="2823"/>
      <c r="E684" s="2824"/>
      <c r="F684" s="2825"/>
      <c r="G684" s="2826"/>
      <c r="H684" s="2834" t="s">
        <v>199</v>
      </c>
      <c r="I684" s="2830" t="s">
        <v>199</v>
      </c>
      <c r="J684" s="2831" t="s">
        <v>199</v>
      </c>
    </row>
    <row r="685" spans="2:10" ht="18" hidden="1" customHeight="1" outlineLevel="2" x14ac:dyDescent="0.2">
      <c r="B685" s="2842" t="s">
        <v>1519</v>
      </c>
      <c r="C685" s="2843"/>
      <c r="D685" s="2805" t="s">
        <v>199</v>
      </c>
      <c r="E685" s="2835" t="s">
        <v>205</v>
      </c>
      <c r="F685" s="2813" t="s">
        <v>205</v>
      </c>
      <c r="G685" s="2805" t="s">
        <v>205</v>
      </c>
      <c r="H685" s="2806" t="s">
        <v>199</v>
      </c>
      <c r="I685" s="2768" t="s">
        <v>199</v>
      </c>
      <c r="J685" s="2769" t="s">
        <v>199</v>
      </c>
    </row>
    <row r="686" spans="2:10" ht="18" hidden="1" customHeight="1" outlineLevel="2" x14ac:dyDescent="0.2">
      <c r="B686" s="2844" t="s">
        <v>271</v>
      </c>
      <c r="C686" s="2848"/>
      <c r="D686" s="2781"/>
      <c r="E686" s="2781"/>
      <c r="F686" s="2781"/>
      <c r="G686" s="2781"/>
      <c r="H686" s="2781"/>
      <c r="I686" s="2781"/>
      <c r="J686" s="2794"/>
    </row>
    <row r="687" spans="2:10" ht="18" hidden="1" customHeight="1" outlineLevel="2" x14ac:dyDescent="0.2">
      <c r="B687" s="2845" t="s">
        <v>1520</v>
      </c>
      <c r="C687" s="2846" t="s">
        <v>409</v>
      </c>
      <c r="D687" s="2808" t="s">
        <v>199</v>
      </c>
      <c r="E687" s="2770" t="s">
        <v>205</v>
      </c>
      <c r="F687" s="2813" t="s">
        <v>205</v>
      </c>
      <c r="G687" s="2805" t="s">
        <v>205</v>
      </c>
      <c r="H687" s="2809" t="s">
        <v>199</v>
      </c>
      <c r="I687" s="2810" t="s">
        <v>199</v>
      </c>
      <c r="J687" s="2811" t="s">
        <v>199</v>
      </c>
    </row>
    <row r="688" spans="2:10" ht="18" hidden="1" customHeight="1" outlineLevel="2" x14ac:dyDescent="0.2">
      <c r="B688" s="2845" t="s">
        <v>1521</v>
      </c>
      <c r="C688" s="2847" t="s">
        <v>409</v>
      </c>
      <c r="D688" s="2808" t="s">
        <v>199</v>
      </c>
      <c r="E688" s="2770" t="s">
        <v>205</v>
      </c>
      <c r="F688" s="2813" t="s">
        <v>205</v>
      </c>
      <c r="G688" s="2805" t="s">
        <v>205</v>
      </c>
      <c r="H688" s="2809" t="s">
        <v>199</v>
      </c>
      <c r="I688" s="2810" t="s">
        <v>199</v>
      </c>
      <c r="J688" s="2811" t="s">
        <v>199</v>
      </c>
    </row>
    <row r="689" spans="2:10" ht="18" hidden="1" customHeight="1" outlineLevel="2" x14ac:dyDescent="0.2">
      <c r="B689" s="2845" t="s">
        <v>1522</v>
      </c>
      <c r="C689" s="2848"/>
      <c r="D689" s="2769" t="s">
        <v>205</v>
      </c>
      <c r="E689" s="2770" t="s">
        <v>205</v>
      </c>
      <c r="F689" s="2768" t="s">
        <v>205</v>
      </c>
      <c r="G689" s="2769" t="s">
        <v>205</v>
      </c>
      <c r="H689" s="2771" t="s">
        <v>205</v>
      </c>
      <c r="I689" s="2768" t="s">
        <v>205</v>
      </c>
      <c r="J689" s="2769" t="s">
        <v>205</v>
      </c>
    </row>
    <row r="690" spans="2:10" ht="18" hidden="1" customHeight="1" outlineLevel="2" x14ac:dyDescent="0.2">
      <c r="B690" s="2849" t="s">
        <v>205</v>
      </c>
      <c r="C690" s="2850" t="s">
        <v>205</v>
      </c>
      <c r="D690" s="2772" t="s">
        <v>205</v>
      </c>
      <c r="E690" s="2770" t="s">
        <v>205</v>
      </c>
      <c r="F690" s="2768" t="s">
        <v>205</v>
      </c>
      <c r="G690" s="2769" t="s">
        <v>205</v>
      </c>
      <c r="H690" s="2809" t="s">
        <v>205</v>
      </c>
      <c r="I690" s="2773" t="s">
        <v>205</v>
      </c>
      <c r="J690" s="2774" t="s">
        <v>205</v>
      </c>
    </row>
    <row r="691" spans="2:10" ht="18" hidden="1" customHeight="1" outlineLevel="2" x14ac:dyDescent="0.2">
      <c r="B691" s="2842" t="s">
        <v>1523</v>
      </c>
      <c r="C691" s="2843"/>
      <c r="D691" s="2812" t="s">
        <v>199</v>
      </c>
      <c r="E691" s="2770" t="s">
        <v>205</v>
      </c>
      <c r="F691" s="2813" t="s">
        <v>205</v>
      </c>
      <c r="G691" s="2805" t="s">
        <v>205</v>
      </c>
      <c r="H691" s="2806" t="s">
        <v>199</v>
      </c>
      <c r="I691" s="2768" t="s">
        <v>199</v>
      </c>
      <c r="J691" s="2769" t="s">
        <v>199</v>
      </c>
    </row>
    <row r="692" spans="2:10" ht="18" hidden="1" customHeight="1" outlineLevel="2" x14ac:dyDescent="0.2">
      <c r="B692" s="2844" t="s">
        <v>271</v>
      </c>
      <c r="C692" s="2848"/>
      <c r="D692" s="2781"/>
      <c r="E692" s="2781"/>
      <c r="F692" s="2781"/>
      <c r="G692" s="2781"/>
      <c r="H692" s="2781"/>
      <c r="I692" s="2781"/>
      <c r="J692" s="2794"/>
    </row>
    <row r="693" spans="2:10" ht="18" hidden="1" customHeight="1" outlineLevel="2" x14ac:dyDescent="0.2">
      <c r="B693" s="2845" t="s">
        <v>1524</v>
      </c>
      <c r="C693" s="2850" t="s">
        <v>409</v>
      </c>
      <c r="D693" s="2772" t="s">
        <v>199</v>
      </c>
      <c r="E693" s="2770" t="s">
        <v>205</v>
      </c>
      <c r="F693" s="2768" t="s">
        <v>205</v>
      </c>
      <c r="G693" s="2769" t="s">
        <v>205</v>
      </c>
      <c r="H693" s="2780" t="s">
        <v>199</v>
      </c>
      <c r="I693" s="2773" t="s">
        <v>199</v>
      </c>
      <c r="J693" s="2774" t="s">
        <v>199</v>
      </c>
    </row>
    <row r="694" spans="2:10" ht="18" hidden="1" customHeight="1" outlineLevel="2" x14ac:dyDescent="0.2">
      <c r="B694" s="2845" t="s">
        <v>1525</v>
      </c>
      <c r="C694" s="2843"/>
      <c r="D694" s="2769" t="s">
        <v>205</v>
      </c>
      <c r="E694" s="2770" t="s">
        <v>205</v>
      </c>
      <c r="F694" s="2768" t="s">
        <v>205</v>
      </c>
      <c r="G694" s="2769" t="s">
        <v>205</v>
      </c>
      <c r="H694" s="2771" t="s">
        <v>205</v>
      </c>
      <c r="I694" s="2768" t="s">
        <v>205</v>
      </c>
      <c r="J694" s="2769" t="s">
        <v>205</v>
      </c>
    </row>
    <row r="695" spans="2:10" ht="18" hidden="1" customHeight="1" outlineLevel="2" x14ac:dyDescent="0.2">
      <c r="B695" s="2849" t="s">
        <v>205</v>
      </c>
      <c r="C695" s="2850" t="s">
        <v>205</v>
      </c>
      <c r="D695" s="2772" t="s">
        <v>205</v>
      </c>
      <c r="E695" s="2770" t="s">
        <v>205</v>
      </c>
      <c r="F695" s="2768" t="s">
        <v>205</v>
      </c>
      <c r="G695" s="2769" t="s">
        <v>205</v>
      </c>
      <c r="H695" s="2809" t="s">
        <v>205</v>
      </c>
      <c r="I695" s="2773" t="s">
        <v>205</v>
      </c>
      <c r="J695" s="2774" t="s">
        <v>205</v>
      </c>
    </row>
    <row r="696" spans="2:10" ht="18" hidden="1" customHeight="1" outlineLevel="1" collapsed="1" thickBot="1" x14ac:dyDescent="0.25">
      <c r="B696" s="2851" t="s">
        <v>1590</v>
      </c>
      <c r="C696" s="2852"/>
      <c r="D696" s="2823"/>
      <c r="E696" s="2824"/>
      <c r="F696" s="2825"/>
      <c r="G696" s="2826"/>
      <c r="H696" s="2834" t="s">
        <v>199</v>
      </c>
      <c r="I696" s="2830" t="s">
        <v>199</v>
      </c>
      <c r="J696" s="2831" t="s">
        <v>199</v>
      </c>
    </row>
    <row r="697" spans="2:10" ht="18" hidden="1" customHeight="1" outlineLevel="2" x14ac:dyDescent="0.2">
      <c r="B697" s="2842" t="s">
        <v>1519</v>
      </c>
      <c r="C697" s="2843"/>
      <c r="D697" s="2805" t="s">
        <v>199</v>
      </c>
      <c r="E697" s="2835" t="s">
        <v>205</v>
      </c>
      <c r="F697" s="2813" t="s">
        <v>205</v>
      </c>
      <c r="G697" s="2805" t="s">
        <v>205</v>
      </c>
      <c r="H697" s="2806" t="s">
        <v>199</v>
      </c>
      <c r="I697" s="2768" t="s">
        <v>199</v>
      </c>
      <c r="J697" s="2769" t="s">
        <v>199</v>
      </c>
    </row>
    <row r="698" spans="2:10" ht="18" hidden="1" customHeight="1" outlineLevel="2" x14ac:dyDescent="0.2">
      <c r="B698" s="2844" t="s">
        <v>271</v>
      </c>
      <c r="C698" s="2848"/>
      <c r="D698" s="2781"/>
      <c r="E698" s="2781"/>
      <c r="F698" s="2781"/>
      <c r="G698" s="2781"/>
      <c r="H698" s="2781"/>
      <c r="I698" s="2781"/>
      <c r="J698" s="2794"/>
    </row>
    <row r="699" spans="2:10" ht="18" hidden="1" customHeight="1" outlineLevel="2" x14ac:dyDescent="0.2">
      <c r="B699" s="2845" t="s">
        <v>1520</v>
      </c>
      <c r="C699" s="2846" t="s">
        <v>409</v>
      </c>
      <c r="D699" s="2808" t="s">
        <v>199</v>
      </c>
      <c r="E699" s="2770" t="s">
        <v>205</v>
      </c>
      <c r="F699" s="2813" t="s">
        <v>205</v>
      </c>
      <c r="G699" s="2805" t="s">
        <v>205</v>
      </c>
      <c r="H699" s="2809" t="s">
        <v>199</v>
      </c>
      <c r="I699" s="2810" t="s">
        <v>199</v>
      </c>
      <c r="J699" s="2811" t="s">
        <v>199</v>
      </c>
    </row>
    <row r="700" spans="2:10" ht="18" hidden="1" customHeight="1" outlineLevel="2" x14ac:dyDescent="0.2">
      <c r="B700" s="2845" t="s">
        <v>1521</v>
      </c>
      <c r="C700" s="2847" t="s">
        <v>409</v>
      </c>
      <c r="D700" s="2808" t="s">
        <v>199</v>
      </c>
      <c r="E700" s="2770" t="s">
        <v>205</v>
      </c>
      <c r="F700" s="2813" t="s">
        <v>205</v>
      </c>
      <c r="G700" s="2805" t="s">
        <v>205</v>
      </c>
      <c r="H700" s="2809" t="s">
        <v>199</v>
      </c>
      <c r="I700" s="2810" t="s">
        <v>199</v>
      </c>
      <c r="J700" s="2811" t="s">
        <v>199</v>
      </c>
    </row>
    <row r="701" spans="2:10" ht="18" hidden="1" customHeight="1" outlineLevel="2" x14ac:dyDescent="0.2">
      <c r="B701" s="2845" t="s">
        <v>1522</v>
      </c>
      <c r="C701" s="2848"/>
      <c r="D701" s="2769" t="s">
        <v>205</v>
      </c>
      <c r="E701" s="2770" t="s">
        <v>205</v>
      </c>
      <c r="F701" s="2768" t="s">
        <v>205</v>
      </c>
      <c r="G701" s="2769" t="s">
        <v>205</v>
      </c>
      <c r="H701" s="2771" t="s">
        <v>205</v>
      </c>
      <c r="I701" s="2768" t="s">
        <v>205</v>
      </c>
      <c r="J701" s="2769" t="s">
        <v>205</v>
      </c>
    </row>
    <row r="702" spans="2:10" ht="18" hidden="1" customHeight="1" outlineLevel="2" x14ac:dyDescent="0.2">
      <c r="B702" s="2849" t="s">
        <v>205</v>
      </c>
      <c r="C702" s="2850" t="s">
        <v>205</v>
      </c>
      <c r="D702" s="2772" t="s">
        <v>205</v>
      </c>
      <c r="E702" s="2770" t="s">
        <v>205</v>
      </c>
      <c r="F702" s="2768" t="s">
        <v>205</v>
      </c>
      <c r="G702" s="2769" t="s">
        <v>205</v>
      </c>
      <c r="H702" s="2809" t="s">
        <v>205</v>
      </c>
      <c r="I702" s="2773" t="s">
        <v>205</v>
      </c>
      <c r="J702" s="2774" t="s">
        <v>205</v>
      </c>
    </row>
    <row r="703" spans="2:10" ht="18" hidden="1" customHeight="1" outlineLevel="2" x14ac:dyDescent="0.2">
      <c r="B703" s="2842" t="s">
        <v>1523</v>
      </c>
      <c r="C703" s="2843"/>
      <c r="D703" s="2812" t="s">
        <v>199</v>
      </c>
      <c r="E703" s="2770" t="s">
        <v>205</v>
      </c>
      <c r="F703" s="2813" t="s">
        <v>205</v>
      </c>
      <c r="G703" s="2805" t="s">
        <v>205</v>
      </c>
      <c r="H703" s="2806" t="s">
        <v>199</v>
      </c>
      <c r="I703" s="2768" t="s">
        <v>199</v>
      </c>
      <c r="J703" s="2769" t="s">
        <v>199</v>
      </c>
    </row>
    <row r="704" spans="2:10" ht="18" hidden="1" customHeight="1" outlineLevel="2" x14ac:dyDescent="0.2">
      <c r="B704" s="2844" t="s">
        <v>271</v>
      </c>
      <c r="C704" s="2848"/>
      <c r="D704" s="2781"/>
      <c r="E704" s="2781"/>
      <c r="F704" s="2781"/>
      <c r="G704" s="2781"/>
      <c r="H704" s="2781"/>
      <c r="I704" s="2781"/>
      <c r="J704" s="2794"/>
    </row>
    <row r="705" spans="2:10" ht="18" hidden="1" customHeight="1" outlineLevel="2" x14ac:dyDescent="0.2">
      <c r="B705" s="2845" t="s">
        <v>1524</v>
      </c>
      <c r="C705" s="2850" t="s">
        <v>409</v>
      </c>
      <c r="D705" s="2772" t="s">
        <v>199</v>
      </c>
      <c r="E705" s="2770" t="s">
        <v>205</v>
      </c>
      <c r="F705" s="2768" t="s">
        <v>205</v>
      </c>
      <c r="G705" s="2769" t="s">
        <v>205</v>
      </c>
      <c r="H705" s="2780" t="s">
        <v>199</v>
      </c>
      <c r="I705" s="2773" t="s">
        <v>199</v>
      </c>
      <c r="J705" s="2774" t="s">
        <v>199</v>
      </c>
    </row>
    <row r="706" spans="2:10" ht="18" hidden="1" customHeight="1" outlineLevel="2" x14ac:dyDescent="0.2">
      <c r="B706" s="2845" t="s">
        <v>1525</v>
      </c>
      <c r="C706" s="2843"/>
      <c r="D706" s="2769" t="s">
        <v>205</v>
      </c>
      <c r="E706" s="2770" t="s">
        <v>205</v>
      </c>
      <c r="F706" s="2768" t="s">
        <v>205</v>
      </c>
      <c r="G706" s="2769" t="s">
        <v>205</v>
      </c>
      <c r="H706" s="2771" t="s">
        <v>205</v>
      </c>
      <c r="I706" s="2768" t="s">
        <v>205</v>
      </c>
      <c r="J706" s="2769" t="s">
        <v>205</v>
      </c>
    </row>
    <row r="707" spans="2:10" ht="18" hidden="1" customHeight="1" outlineLevel="2" thickBot="1" x14ac:dyDescent="0.25">
      <c r="B707" s="2849" t="s">
        <v>205</v>
      </c>
      <c r="C707" s="2850" t="s">
        <v>205</v>
      </c>
      <c r="D707" s="2772" t="s">
        <v>205</v>
      </c>
      <c r="E707" s="2770" t="s">
        <v>205</v>
      </c>
      <c r="F707" s="2768" t="s">
        <v>205</v>
      </c>
      <c r="G707" s="2769" t="s">
        <v>205</v>
      </c>
      <c r="H707" s="2809" t="s">
        <v>205</v>
      </c>
      <c r="I707" s="2773" t="s">
        <v>205</v>
      </c>
      <c r="J707" s="2774" t="s">
        <v>205</v>
      </c>
    </row>
    <row r="708" spans="2:10" ht="18" customHeight="1" collapsed="1" thickBot="1" x14ac:dyDescent="0.25">
      <c r="B708" s="1439" t="s">
        <v>1591</v>
      </c>
      <c r="C708" s="2855"/>
      <c r="D708" s="2819"/>
      <c r="E708" s="2820"/>
      <c r="F708" s="2827"/>
      <c r="G708" s="2819"/>
      <c r="H708" s="2833" t="s">
        <v>199</v>
      </c>
      <c r="I708" s="2828" t="s">
        <v>199</v>
      </c>
      <c r="J708" s="2829" t="s">
        <v>199</v>
      </c>
    </row>
    <row r="709" spans="2:10" ht="18" hidden="1" customHeight="1" outlineLevel="1" x14ac:dyDescent="0.2">
      <c r="B709" s="2849" t="s">
        <v>205</v>
      </c>
      <c r="C709" s="2841"/>
      <c r="D709" s="2802"/>
      <c r="E709" s="2803"/>
      <c r="F709" s="2804"/>
      <c r="G709" s="2802"/>
      <c r="H709" s="2834" t="s">
        <v>199</v>
      </c>
      <c r="I709" s="2830" t="s">
        <v>199</v>
      </c>
      <c r="J709" s="2831" t="s">
        <v>199</v>
      </c>
    </row>
    <row r="710" spans="2:10" ht="18" hidden="1" customHeight="1" outlineLevel="1" x14ac:dyDescent="0.2">
      <c r="B710" s="2842" t="s">
        <v>1519</v>
      </c>
      <c r="C710" s="2856"/>
      <c r="D710" s="2790" t="s">
        <v>199</v>
      </c>
      <c r="E710" s="2791" t="s">
        <v>205</v>
      </c>
      <c r="F710" s="2792" t="s">
        <v>205</v>
      </c>
      <c r="G710" s="2790" t="s">
        <v>205</v>
      </c>
      <c r="H710" s="2793" t="s">
        <v>199</v>
      </c>
      <c r="I710" s="2792" t="s">
        <v>199</v>
      </c>
      <c r="J710" s="2790" t="s">
        <v>199</v>
      </c>
    </row>
    <row r="711" spans="2:10" ht="18" hidden="1" customHeight="1" outlineLevel="1" x14ac:dyDescent="0.2">
      <c r="B711" s="2844" t="s">
        <v>271</v>
      </c>
      <c r="C711" s="2848"/>
      <c r="D711" s="2781"/>
      <c r="E711" s="2781"/>
      <c r="F711" s="2781"/>
      <c r="G711" s="2781"/>
      <c r="H711" s="2781"/>
      <c r="I711" s="2781"/>
      <c r="J711" s="2794"/>
    </row>
    <row r="712" spans="2:10" ht="18" hidden="1" customHeight="1" outlineLevel="1" x14ac:dyDescent="0.2">
      <c r="B712" s="2845" t="s">
        <v>1520</v>
      </c>
      <c r="C712" s="2850" t="s">
        <v>409</v>
      </c>
      <c r="D712" s="2772" t="s">
        <v>199</v>
      </c>
      <c r="E712" s="2770" t="s">
        <v>205</v>
      </c>
      <c r="F712" s="2792" t="s">
        <v>205</v>
      </c>
      <c r="G712" s="2790" t="s">
        <v>205</v>
      </c>
      <c r="H712" s="2795" t="s">
        <v>199</v>
      </c>
      <c r="I712" s="2796" t="s">
        <v>199</v>
      </c>
      <c r="J712" s="2772" t="s">
        <v>199</v>
      </c>
    </row>
    <row r="713" spans="2:10" ht="18" hidden="1" customHeight="1" outlineLevel="1" x14ac:dyDescent="0.2">
      <c r="B713" s="2845" t="s">
        <v>1521</v>
      </c>
      <c r="C713" s="2850" t="s">
        <v>409</v>
      </c>
      <c r="D713" s="2772" t="s">
        <v>199</v>
      </c>
      <c r="E713" s="2770" t="s">
        <v>205</v>
      </c>
      <c r="F713" s="2792" t="s">
        <v>205</v>
      </c>
      <c r="G713" s="2790" t="s">
        <v>205</v>
      </c>
      <c r="H713" s="2795" t="s">
        <v>199</v>
      </c>
      <c r="I713" s="2796" t="s">
        <v>199</v>
      </c>
      <c r="J713" s="2772" t="s">
        <v>199</v>
      </c>
    </row>
    <row r="714" spans="2:10" ht="18" hidden="1" customHeight="1" outlineLevel="1" x14ac:dyDescent="0.2">
      <c r="B714" s="2845" t="s">
        <v>1522</v>
      </c>
      <c r="C714" s="2848"/>
      <c r="D714" s="2769" t="s">
        <v>205</v>
      </c>
      <c r="E714" s="2770" t="s">
        <v>205</v>
      </c>
      <c r="F714" s="2768" t="s">
        <v>205</v>
      </c>
      <c r="G714" s="2769" t="s">
        <v>205</v>
      </c>
      <c r="H714" s="2771" t="s">
        <v>205</v>
      </c>
      <c r="I714" s="2768" t="s">
        <v>205</v>
      </c>
      <c r="J714" s="2769" t="s">
        <v>205</v>
      </c>
    </row>
    <row r="715" spans="2:10" ht="18" hidden="1" customHeight="1" outlineLevel="1" x14ac:dyDescent="0.2">
      <c r="B715" s="2849" t="s">
        <v>205</v>
      </c>
      <c r="C715" s="2850" t="s">
        <v>205</v>
      </c>
      <c r="D715" s="2772" t="s">
        <v>205</v>
      </c>
      <c r="E715" s="2770" t="s">
        <v>205</v>
      </c>
      <c r="F715" s="2768" t="s">
        <v>205</v>
      </c>
      <c r="G715" s="2769" t="s">
        <v>205</v>
      </c>
      <c r="H715" s="2795" t="s">
        <v>205</v>
      </c>
      <c r="I715" s="2773" t="s">
        <v>205</v>
      </c>
      <c r="J715" s="2774" t="s">
        <v>205</v>
      </c>
    </row>
    <row r="716" spans="2:10" ht="18" hidden="1" customHeight="1" outlineLevel="1" x14ac:dyDescent="0.2">
      <c r="B716" s="2842" t="s">
        <v>1523</v>
      </c>
      <c r="C716" s="2856"/>
      <c r="D716" s="2790" t="s">
        <v>199</v>
      </c>
      <c r="E716" s="2791" t="s">
        <v>205</v>
      </c>
      <c r="F716" s="2792" t="s">
        <v>205</v>
      </c>
      <c r="G716" s="2790" t="s">
        <v>205</v>
      </c>
      <c r="H716" s="2793" t="s">
        <v>199</v>
      </c>
      <c r="I716" s="2792" t="s">
        <v>199</v>
      </c>
      <c r="J716" s="2790" t="s">
        <v>199</v>
      </c>
    </row>
    <row r="717" spans="2:10" ht="18" hidden="1" customHeight="1" outlineLevel="1" x14ac:dyDescent="0.2">
      <c r="B717" s="2844" t="s">
        <v>271</v>
      </c>
      <c r="C717" s="2848"/>
      <c r="D717" s="2781"/>
      <c r="E717" s="2781"/>
      <c r="F717" s="2781"/>
      <c r="G717" s="2781"/>
      <c r="H717" s="2781"/>
      <c r="I717" s="2781"/>
      <c r="J717" s="2794"/>
    </row>
    <row r="718" spans="2:10" ht="18" hidden="1" customHeight="1" outlineLevel="1" x14ac:dyDescent="0.2">
      <c r="B718" s="2845" t="s">
        <v>1524</v>
      </c>
      <c r="C718" s="2850" t="s">
        <v>409</v>
      </c>
      <c r="D718" s="2772" t="s">
        <v>199</v>
      </c>
      <c r="E718" s="2770" t="s">
        <v>205</v>
      </c>
      <c r="F718" s="2792" t="s">
        <v>205</v>
      </c>
      <c r="G718" s="2790" t="s">
        <v>205</v>
      </c>
      <c r="H718" s="2795" t="s">
        <v>199</v>
      </c>
      <c r="I718" s="2796" t="s">
        <v>199</v>
      </c>
      <c r="J718" s="2772" t="s">
        <v>199</v>
      </c>
    </row>
    <row r="719" spans="2:10" ht="18" hidden="1" customHeight="1" outlineLevel="1" x14ac:dyDescent="0.2">
      <c r="B719" s="2845" t="s">
        <v>1525</v>
      </c>
      <c r="C719" s="2848"/>
      <c r="D719" s="2769" t="s">
        <v>205</v>
      </c>
      <c r="E719" s="2770" t="s">
        <v>205</v>
      </c>
      <c r="F719" s="2768" t="s">
        <v>205</v>
      </c>
      <c r="G719" s="2769" t="s">
        <v>205</v>
      </c>
      <c r="H719" s="2771" t="s">
        <v>205</v>
      </c>
      <c r="I719" s="2768" t="s">
        <v>205</v>
      </c>
      <c r="J719" s="2769" t="s">
        <v>205</v>
      </c>
    </row>
    <row r="720" spans="2:10" ht="18" hidden="1" customHeight="1" outlineLevel="1" thickBot="1" x14ac:dyDescent="0.25">
      <c r="B720" s="2849" t="s">
        <v>205</v>
      </c>
      <c r="C720" s="2850" t="s">
        <v>205</v>
      </c>
      <c r="D720" s="2772" t="s">
        <v>205</v>
      </c>
      <c r="E720" s="2770" t="s">
        <v>205</v>
      </c>
      <c r="F720" s="2768" t="s">
        <v>205</v>
      </c>
      <c r="G720" s="2769" t="s">
        <v>205</v>
      </c>
      <c r="H720" s="2795" t="s">
        <v>205</v>
      </c>
      <c r="I720" s="2773" t="s">
        <v>205</v>
      </c>
      <c r="J720" s="2774"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503" t="s">
        <v>1592</v>
      </c>
      <c r="C736" s="4504"/>
      <c r="D736" s="4504"/>
      <c r="E736" s="4504"/>
      <c r="F736" s="4504"/>
      <c r="G736" s="4504"/>
      <c r="H736" s="4504"/>
      <c r="I736" s="4504"/>
      <c r="J736" s="4505"/>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2460</v>
      </c>
      <c r="J1" s="2"/>
    </row>
    <row r="2" spans="2:10" ht="17.25" x14ac:dyDescent="0.2">
      <c r="B2" s="920" t="s">
        <v>1594</v>
      </c>
      <c r="C2" s="899"/>
      <c r="D2" s="899"/>
      <c r="E2" s="899"/>
      <c r="F2" s="899"/>
      <c r="H2" s="226"/>
      <c r="I2" s="14" t="s">
        <v>2461</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60"/>
      <c r="H5" s="226"/>
      <c r="I5" s="226"/>
      <c r="J5" s="2"/>
    </row>
    <row r="6" spans="2:10" ht="13.5" thickBot="1" x14ac:dyDescent="0.25">
      <c r="B6" s="2465"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3" t="s">
        <v>1604</v>
      </c>
      <c r="C10" s="3576">
        <f>IF(SUM(C11,C20,C28,C37,C46,C55)=0,"NO",SUM(C11,C20,C28,C37,C46,C55))</f>
        <v>657069.02644625667</v>
      </c>
      <c r="D10" s="3577">
        <f>IF(SUM(D11,D20,D28,D37,D46,D55)=0,"NO",SUM(D11,D20,D28,D37,D46,D55))</f>
        <v>52516.573227659705</v>
      </c>
      <c r="E10" s="3592">
        <f t="shared" ref="E10:E12" si="0">IF(SUM(C10)=0,"NA",G10/C10*1000/(44/28))</f>
        <v>1.7064907279511329E-3</v>
      </c>
      <c r="F10" s="3593">
        <f t="shared" ref="F10:F11" si="1">IF(SUM(D10)=0,"NA",H10/D10*1000/(44/28))</f>
        <v>7.4999999999999997E-3</v>
      </c>
      <c r="G10" s="4464">
        <f>IF(SUM(G11,G20,G28,G37,G46,G55)=0,"NO",SUM(G11,G20,G28,G37,G46,G55))</f>
        <v>1.7620148876855088</v>
      </c>
      <c r="H10" s="4465">
        <f>IF(SUM(H11,H20,H28,H37,H46,H55)=0,"NO",SUM(H11,H20,H28,H37,H46,H55))</f>
        <v>0.61894532732598939</v>
      </c>
      <c r="I10" s="4466">
        <f t="shared" ref="I10:I11" si="2">IF(SUM(G10:H10)=0,"NO",SUM(G10:H10))</f>
        <v>2.3809602150114983</v>
      </c>
    </row>
    <row r="11" spans="2:10" ht="18" customHeight="1" x14ac:dyDescent="0.2">
      <c r="B11" s="2863" t="s">
        <v>1605</v>
      </c>
      <c r="C11" s="3578">
        <f>IF(SUM(C12:C13)=0,"NO",SUM(C12:C13))</f>
        <v>134669.63188141078</v>
      </c>
      <c r="D11" s="3579">
        <f>IF(SUM(D12:D13)=0,"NO",SUM(D12:D13))</f>
        <v>24663.868104375531</v>
      </c>
      <c r="E11" s="3594">
        <f t="shared" si="0"/>
        <v>2.5997975323865706E-3</v>
      </c>
      <c r="F11" s="3595">
        <f t="shared" si="1"/>
        <v>7.4999999999999997E-3</v>
      </c>
      <c r="G11" s="4467">
        <f>IF(SUM(G12:G13)=0,"NO",SUM(G12:G13))</f>
        <v>0.5501787918828136</v>
      </c>
      <c r="H11" s="4468">
        <f>IF(SUM(H12:H13)=0,"NO",SUM(H12:H13))</f>
        <v>0.29068130265871162</v>
      </c>
      <c r="I11" s="4469">
        <f t="shared" si="2"/>
        <v>0.84086009454152522</v>
      </c>
    </row>
    <row r="12" spans="2:10" ht="18" customHeight="1" x14ac:dyDescent="0.2">
      <c r="B12" s="917" t="s">
        <v>1606</v>
      </c>
      <c r="C12" s="3580">
        <f>Table4.A!E11</f>
        <v>125759.55107417901</v>
      </c>
      <c r="D12" s="3581">
        <f>H12/F12*1000/(44/28)</f>
        <v>7450.3375240587038</v>
      </c>
      <c r="E12" s="3596">
        <f t="shared" si="0"/>
        <v>5.4662285033559206E-4</v>
      </c>
      <c r="F12" s="3597">
        <v>7.4999999999999997E-3</v>
      </c>
      <c r="G12" s="4470">
        <v>0.10802478384514488</v>
      </c>
      <c r="H12" s="4471">
        <v>8.7807549390691866E-2</v>
      </c>
      <c r="I12" s="4472">
        <f>IF(SUM(G12:H12)=0,"NO",SUM(G12:H12))</f>
        <v>0.19583233323583676</v>
      </c>
    </row>
    <row r="13" spans="2:10" ht="18" customHeight="1" x14ac:dyDescent="0.2">
      <c r="B13" s="917" t="s">
        <v>1607</v>
      </c>
      <c r="C13" s="3582">
        <f>IF(SUM(C15:C19)=0,"NO",SUM(C15:C19))</f>
        <v>8910.0808072317632</v>
      </c>
      <c r="D13" s="3583">
        <f>IF(SUM(D15:D19)=0,"NO",SUM(D15:D19))</f>
        <v>17213.530580316827</v>
      </c>
      <c r="E13" s="3599">
        <f>IF(SUM(C13)=0,"NA",G13/C13*1000/(44/28))</f>
        <v>3.1578920379626195E-2</v>
      </c>
      <c r="F13" s="3598">
        <f>IF(SUM(D13)=0,"NA",H13/D13*1000/(44/28))</f>
        <v>7.5000000000000006E-3</v>
      </c>
      <c r="G13" s="4473">
        <f>IF(SUM(G15:G19)=0,"NO",SUM(G15:G19))</f>
        <v>0.44215400803766869</v>
      </c>
      <c r="H13" s="4474">
        <f>IF(SUM(H15:H19)=0,"NO",SUM(H15:H19))</f>
        <v>0.20287375326801976</v>
      </c>
      <c r="I13" s="4472">
        <f>IF(SUM(G13:H13)=0,"NO",SUM(G13:H13))</f>
        <v>0.64502776130568851</v>
      </c>
    </row>
    <row r="14" spans="2:10" ht="18" customHeight="1" x14ac:dyDescent="0.2">
      <c r="B14" s="1487" t="s">
        <v>498</v>
      </c>
      <c r="C14" s="4339"/>
      <c r="D14" s="4340"/>
      <c r="E14" s="4341"/>
      <c r="F14" s="4341"/>
      <c r="G14" s="4475"/>
      <c r="H14" s="4475"/>
      <c r="I14" s="4476"/>
    </row>
    <row r="15" spans="2:10" ht="18" customHeight="1" x14ac:dyDescent="0.2">
      <c r="B15" s="518" t="s">
        <v>1608</v>
      </c>
      <c r="C15" s="3584">
        <f>Table4.A!E17</f>
        <v>53.222123059748569</v>
      </c>
      <c r="D15" s="3581">
        <f>H15/F15*1000/(44/28)</f>
        <v>90.799690230307448</v>
      </c>
      <c r="E15" s="3599">
        <f>IF(SUM(C15)=0,"NA",G15/C15*1000/(44/28))</f>
        <v>3.878711078086098E-2</v>
      </c>
      <c r="F15" s="3597">
        <v>7.4999999999999997E-3</v>
      </c>
      <c r="G15" s="4477">
        <v>3.2439508877459885E-3</v>
      </c>
      <c r="H15" s="4478">
        <v>1.0701392062857661E-3</v>
      </c>
      <c r="I15" s="4472">
        <f>IF(SUM(G15:H15)=0,"NO",SUM(G15:H15))</f>
        <v>4.3140900940317542E-3</v>
      </c>
    </row>
    <row r="16" spans="2:10" ht="18" customHeight="1" x14ac:dyDescent="0.2">
      <c r="B16" s="518" t="s">
        <v>1609</v>
      </c>
      <c r="C16" s="3584">
        <f>Table4.A!E19</f>
        <v>8810.081463606055</v>
      </c>
      <c r="D16" s="3581">
        <f>H16/F16*1000/(44/28)</f>
        <v>16954.692588562495</v>
      </c>
      <c r="E16" s="3599">
        <f t="shared" ref="E16:E21" si="3">IF(SUM(C16)=0,"NA",G16/C16*1000/(44/28))</f>
        <v>3.1277573013566706E-2</v>
      </c>
      <c r="F16" s="3597">
        <v>7.4999999999999997E-3</v>
      </c>
      <c r="G16" s="4477">
        <v>0.43301966122392843</v>
      </c>
      <c r="H16" s="4478">
        <v>0.19982316265091513</v>
      </c>
      <c r="I16" s="4472">
        <f t="shared" ref="I16:I21" si="4">IF(SUM(G16:H16)=0,"NO",SUM(G16:H16))</f>
        <v>0.63284282387484359</v>
      </c>
    </row>
    <row r="17" spans="2:9" ht="18" customHeight="1" x14ac:dyDescent="0.2">
      <c r="B17" s="518" t="s">
        <v>1610</v>
      </c>
      <c r="C17" s="3584" t="s">
        <v>199</v>
      </c>
      <c r="D17" s="3585" t="s">
        <v>199</v>
      </c>
      <c r="E17" s="3599" t="str">
        <f t="shared" si="3"/>
        <v>NA</v>
      </c>
      <c r="F17" s="3598" t="str">
        <f t="shared" ref="F17:F21" si="5">IF(SUM(D17)=0,"NA",H17/D17*1000/(44/28))</f>
        <v>NA</v>
      </c>
      <c r="G17" s="4477" t="s">
        <v>199</v>
      </c>
      <c r="H17" s="4478" t="s">
        <v>199</v>
      </c>
      <c r="I17" s="4472" t="str">
        <f t="shared" si="4"/>
        <v>NO</v>
      </c>
    </row>
    <row r="18" spans="2:9" ht="18" customHeight="1" x14ac:dyDescent="0.2">
      <c r="B18" s="518" t="s">
        <v>1611</v>
      </c>
      <c r="C18" s="3584">
        <f>Table4.A!E25</f>
        <v>46.777220565960263</v>
      </c>
      <c r="D18" s="3581">
        <f>H18/F18*1000/(44/28)</f>
        <v>168.03830152402514</v>
      </c>
      <c r="E18" s="3599">
        <f t="shared" si="3"/>
        <v>8.0133743000006447E-2</v>
      </c>
      <c r="F18" s="3597">
        <v>7.4999999999999997E-3</v>
      </c>
      <c r="G18" s="4477">
        <v>5.8903959259942905E-3</v>
      </c>
      <c r="H18" s="4478">
        <v>1.9804514108188675E-3</v>
      </c>
      <c r="I18" s="4472">
        <f t="shared" si="4"/>
        <v>7.8708473368131575E-3</v>
      </c>
    </row>
    <row r="19" spans="2:9" ht="18" customHeight="1" thickBot="1" x14ac:dyDescent="0.25">
      <c r="B19" s="519" t="s">
        <v>1612</v>
      </c>
      <c r="C19" s="3586" t="s">
        <v>199</v>
      </c>
      <c r="D19" s="3587" t="s">
        <v>199</v>
      </c>
      <c r="E19" s="3600" t="str">
        <f t="shared" si="3"/>
        <v>NA</v>
      </c>
      <c r="F19" s="3601" t="str">
        <f t="shared" si="5"/>
        <v>NA</v>
      </c>
      <c r="G19" s="4479" t="s">
        <v>199</v>
      </c>
      <c r="H19" s="4480" t="s">
        <v>199</v>
      </c>
      <c r="I19" s="4481" t="str">
        <f t="shared" si="4"/>
        <v>NO</v>
      </c>
    </row>
    <row r="20" spans="2:9" ht="18" customHeight="1" x14ac:dyDescent="0.2">
      <c r="B20" s="532" t="s">
        <v>1613</v>
      </c>
      <c r="C20" s="3588">
        <f>C21</f>
        <v>2263.3690656582626</v>
      </c>
      <c r="D20" s="3589">
        <f>D21</f>
        <v>3515.6210616836524</v>
      </c>
      <c r="E20" s="3602">
        <f t="shared" si="3"/>
        <v>3.2395556821888882E-2</v>
      </c>
      <c r="F20" s="3603">
        <f t="shared" si="5"/>
        <v>7.4999999999999997E-3</v>
      </c>
      <c r="G20" s="4482">
        <f>G21</f>
        <v>0.11522201613283081</v>
      </c>
      <c r="H20" s="4483">
        <f>H21</f>
        <v>4.1434105369843044E-2</v>
      </c>
      <c r="I20" s="4484">
        <f t="shared" si="4"/>
        <v>0.15665612150267386</v>
      </c>
    </row>
    <row r="21" spans="2:9" ht="18" customHeight="1" x14ac:dyDescent="0.2">
      <c r="B21" s="917" t="s">
        <v>1614</v>
      </c>
      <c r="C21" s="3582">
        <f>IF(SUM(C23:C27)=0,"NO",SUM(C23:C27))</f>
        <v>2263.3690656582626</v>
      </c>
      <c r="D21" s="3583">
        <f>IF(SUM(D23:D27)=0,"NO",SUM(D23:D27))</f>
        <v>3515.6210616836524</v>
      </c>
      <c r="E21" s="3599">
        <f t="shared" si="3"/>
        <v>3.2395556821888882E-2</v>
      </c>
      <c r="F21" s="3598">
        <f t="shared" si="5"/>
        <v>7.4999999999999997E-3</v>
      </c>
      <c r="G21" s="4473">
        <f>IF(SUM(G23:G27)=0,"NO",SUM(G23:G27))</f>
        <v>0.11522201613283081</v>
      </c>
      <c r="H21" s="4474">
        <f>IF(SUM(H23:H27)=0,"NO",SUM(H23:H27))</f>
        <v>4.1434105369843044E-2</v>
      </c>
      <c r="I21" s="4472">
        <f t="shared" si="4"/>
        <v>0.15665612150267386</v>
      </c>
    </row>
    <row r="22" spans="2:9" ht="18" customHeight="1" x14ac:dyDescent="0.2">
      <c r="B22" s="1487" t="s">
        <v>498</v>
      </c>
      <c r="C22" s="4339"/>
      <c r="D22" s="4340"/>
      <c r="E22" s="4341"/>
      <c r="F22" s="4341"/>
      <c r="G22" s="4475"/>
      <c r="H22" s="4475"/>
      <c r="I22" s="4476"/>
    </row>
    <row r="23" spans="2:9" ht="18" customHeight="1" x14ac:dyDescent="0.2">
      <c r="B23" s="518" t="s">
        <v>1615</v>
      </c>
      <c r="C23" s="3584">
        <f>Table4.B!E14</f>
        <v>2263.3690656582626</v>
      </c>
      <c r="D23" s="3581">
        <f>H23/F23*1000/(44/28)</f>
        <v>3515.6210616836524</v>
      </c>
      <c r="E23" s="3599">
        <f>IF(SUM(C23)=0,"NA",G23/C23*1000/(44/28))</f>
        <v>3.2395556821888882E-2</v>
      </c>
      <c r="F23" s="3597">
        <v>7.4999999999999997E-3</v>
      </c>
      <c r="G23" s="4477">
        <v>0.11522201613283081</v>
      </c>
      <c r="H23" s="4478">
        <v>4.1434105369843044E-2</v>
      </c>
      <c r="I23" s="4472">
        <f>IF(SUM(G23:H23)=0,"NO",SUM(G23:H23))</f>
        <v>0.15665612150267386</v>
      </c>
    </row>
    <row r="24" spans="2:9" s="4303" customFormat="1" ht="18" customHeight="1" x14ac:dyDescent="0.2">
      <c r="B24" s="518" t="s">
        <v>1616</v>
      </c>
      <c r="C24" s="3584" t="s">
        <v>274</v>
      </c>
      <c r="D24" s="3585" t="s">
        <v>274</v>
      </c>
      <c r="E24" s="3599" t="str">
        <f t="shared" ref="E24:E29" si="6">IF(SUM(C24)=0,"NA",G24/C24*1000/(44/28))</f>
        <v>NA</v>
      </c>
      <c r="F24" s="3598" t="str">
        <f t="shared" ref="F24:F28" si="7">IF(SUM(D24)=0,"NA",H24/D24*1000/(44/28))</f>
        <v>NA</v>
      </c>
      <c r="G24" s="4477" t="s">
        <v>274</v>
      </c>
      <c r="H24" s="4478" t="s">
        <v>274</v>
      </c>
      <c r="I24" s="4472" t="str">
        <f t="shared" ref="I24:I62" si="8">IF(SUM(G24:H24)=0,"NO",SUM(G24:H24))</f>
        <v>NO</v>
      </c>
    </row>
    <row r="25" spans="2:9" ht="18" customHeight="1" x14ac:dyDescent="0.2">
      <c r="B25" s="518" t="s">
        <v>1617</v>
      </c>
      <c r="C25" s="3584" t="s">
        <v>199</v>
      </c>
      <c r="D25" s="3585" t="s">
        <v>199</v>
      </c>
      <c r="E25" s="3599" t="str">
        <f t="shared" si="6"/>
        <v>NA</v>
      </c>
      <c r="F25" s="3598" t="str">
        <f t="shared" si="7"/>
        <v>NA</v>
      </c>
      <c r="G25" s="4477" t="s">
        <v>199</v>
      </c>
      <c r="H25" s="4478" t="s">
        <v>199</v>
      </c>
      <c r="I25" s="4472" t="str">
        <f t="shared" si="8"/>
        <v>NO</v>
      </c>
    </row>
    <row r="26" spans="2:9" ht="18" customHeight="1" x14ac:dyDescent="0.2">
      <c r="B26" s="518" t="s">
        <v>1618</v>
      </c>
      <c r="C26" s="3584" t="s">
        <v>199</v>
      </c>
      <c r="D26" s="3585" t="s">
        <v>199</v>
      </c>
      <c r="E26" s="3599" t="str">
        <f t="shared" si="6"/>
        <v>NA</v>
      </c>
      <c r="F26" s="3598" t="str">
        <f t="shared" si="7"/>
        <v>NA</v>
      </c>
      <c r="G26" s="4477" t="s">
        <v>199</v>
      </c>
      <c r="H26" s="4478" t="s">
        <v>199</v>
      </c>
      <c r="I26" s="4472" t="str">
        <f t="shared" si="8"/>
        <v>NO</v>
      </c>
    </row>
    <row r="27" spans="2:9" ht="18" customHeight="1" thickBot="1" x14ac:dyDescent="0.25">
      <c r="B27" s="519" t="s">
        <v>1619</v>
      </c>
      <c r="C27" s="3586" t="s">
        <v>199</v>
      </c>
      <c r="D27" s="3587" t="s">
        <v>199</v>
      </c>
      <c r="E27" s="3600" t="str">
        <f t="shared" si="6"/>
        <v>NA</v>
      </c>
      <c r="F27" s="3601" t="str">
        <f t="shared" si="7"/>
        <v>NA</v>
      </c>
      <c r="G27" s="4479" t="s">
        <v>199</v>
      </c>
      <c r="H27" s="4480" t="s">
        <v>199</v>
      </c>
      <c r="I27" s="4481" t="str">
        <f t="shared" si="8"/>
        <v>NO</v>
      </c>
    </row>
    <row r="28" spans="2:9" ht="18" customHeight="1" x14ac:dyDescent="0.2">
      <c r="B28" s="532" t="s">
        <v>1620</v>
      </c>
      <c r="C28" s="3578">
        <f>IF(SUM(C29:C30)=0,"NO",SUM(C29:C30))</f>
        <v>518689.59176457772</v>
      </c>
      <c r="D28" s="3579">
        <f>IF(SUM(D29:D30)=0,"NO",SUM(D29:D30))</f>
        <v>23597.586958408767</v>
      </c>
      <c r="E28" s="3594">
        <f t="shared" si="6"/>
        <v>1.3145764966186685E-3</v>
      </c>
      <c r="F28" s="3595">
        <f t="shared" si="7"/>
        <v>7.4999999999999997E-3</v>
      </c>
      <c r="G28" s="4467">
        <f>IF(SUM(G29:G30)=0,"NO",SUM(G29:G30))</f>
        <v>1.0714898014455581</v>
      </c>
      <c r="H28" s="4468">
        <f>IF(SUM(H29:H30)=0,"NO",SUM(H29:H30))</f>
        <v>0.27811441772410328</v>
      </c>
      <c r="I28" s="4484">
        <f t="shared" si="8"/>
        <v>1.3496042191696613</v>
      </c>
    </row>
    <row r="29" spans="2:9" ht="18" customHeight="1" x14ac:dyDescent="0.2">
      <c r="B29" s="917" t="s">
        <v>1621</v>
      </c>
      <c r="C29" s="3580">
        <f>Table4.C!E11</f>
        <v>505318.52984209597</v>
      </c>
      <c r="D29" s="3581">
        <f>H29/F29*1000/(44/28)</f>
        <v>13467.071022916956</v>
      </c>
      <c r="E29" s="3596">
        <f t="shared" si="6"/>
        <v>6.4970319356784921E-4</v>
      </c>
      <c r="F29" s="3597">
        <v>7.4999999999999997E-3</v>
      </c>
      <c r="G29" s="4470">
        <v>0.51591109838308902</v>
      </c>
      <c r="H29" s="4471">
        <v>0.15871905134152126</v>
      </c>
      <c r="I29" s="4472">
        <f t="shared" si="8"/>
        <v>0.67463014972461033</v>
      </c>
    </row>
    <row r="30" spans="2:9" ht="18" customHeight="1" x14ac:dyDescent="0.2">
      <c r="B30" s="917" t="s">
        <v>1622</v>
      </c>
      <c r="C30" s="3582">
        <f>IF(SUM(C32:C36)=0,"NO",SUM(C32:C36))</f>
        <v>13371.061922481729</v>
      </c>
      <c r="D30" s="3583">
        <f>IF(SUM(D32:D36)=0,"NO",SUM(D32:D36))</f>
        <v>10130.515935491811</v>
      </c>
      <c r="E30" s="3599">
        <f>IF(SUM(C30)=0,"NA",G30/C30*1000/(44/28))</f>
        <v>2.6441436425672107E-2</v>
      </c>
      <c r="F30" s="3598">
        <f>IF(SUM(D30)=0,"NA",H30/D30*1000/(44/28))</f>
        <v>7.4999999999999997E-3</v>
      </c>
      <c r="G30" s="4473">
        <f>IF(SUM(G32:G36)=0,"NO",SUM(G32:G36))</f>
        <v>0.55557870306246904</v>
      </c>
      <c r="H30" s="4474">
        <f>IF(SUM(H32:H36)=0,"NO",SUM(H32:H36))</f>
        <v>0.11939536638258205</v>
      </c>
      <c r="I30" s="4472">
        <f t="shared" si="8"/>
        <v>0.67497406944505112</v>
      </c>
    </row>
    <row r="31" spans="2:9" ht="18" customHeight="1" x14ac:dyDescent="0.2">
      <c r="B31" s="1487" t="s">
        <v>498</v>
      </c>
      <c r="C31" s="4339"/>
      <c r="D31" s="4340"/>
      <c r="E31" s="4341"/>
      <c r="F31" s="4341"/>
      <c r="G31" s="4475"/>
      <c r="H31" s="4475"/>
      <c r="I31" s="4476"/>
    </row>
    <row r="32" spans="2:9" ht="18" customHeight="1" x14ac:dyDescent="0.2">
      <c r="B32" s="518" t="s">
        <v>1623</v>
      </c>
      <c r="C32" s="3584">
        <f>Table4.C!E16</f>
        <v>13371.061922481729</v>
      </c>
      <c r="D32" s="3581">
        <f>H32/F32*1000/(44/28)</f>
        <v>10130.515935491811</v>
      </c>
      <c r="E32" s="3599">
        <f>IF(SUM(C32)=0,"NA",G32/C32*1000/(44/28))</f>
        <v>2.6441436425672107E-2</v>
      </c>
      <c r="F32" s="3597">
        <v>7.4999999999999997E-3</v>
      </c>
      <c r="G32" s="4477">
        <v>0.55557870306246904</v>
      </c>
      <c r="H32" s="4478">
        <v>0.11939536638258205</v>
      </c>
      <c r="I32" s="4472">
        <f t="shared" si="8"/>
        <v>0.67497406944505112</v>
      </c>
    </row>
    <row r="33" spans="2:9" s="4303" customFormat="1" ht="18" customHeight="1" x14ac:dyDescent="0.2">
      <c r="B33" s="518" t="s">
        <v>1624</v>
      </c>
      <c r="C33" s="3584" t="s">
        <v>274</v>
      </c>
      <c r="D33" s="3585" t="s">
        <v>274</v>
      </c>
      <c r="E33" s="3599" t="str">
        <f t="shared" ref="E33:E38" si="9">IF(SUM(C33)=0,"NA",G33/C33*1000/(44/28))</f>
        <v>NA</v>
      </c>
      <c r="F33" s="3598" t="str">
        <f t="shared" ref="F33:F38" si="10">IF(SUM(D33)=0,"NA",H33/D33*1000/(44/28))</f>
        <v>NA</v>
      </c>
      <c r="G33" s="4477" t="s">
        <v>274</v>
      </c>
      <c r="H33" s="4478" t="s">
        <v>274</v>
      </c>
      <c r="I33" s="4472" t="str">
        <f t="shared" si="8"/>
        <v>NO</v>
      </c>
    </row>
    <row r="34" spans="2:9" ht="18" customHeight="1" x14ac:dyDescent="0.2">
      <c r="B34" s="518" t="s">
        <v>1625</v>
      </c>
      <c r="C34" s="3584" t="s">
        <v>199</v>
      </c>
      <c r="D34" s="3585" t="s">
        <v>199</v>
      </c>
      <c r="E34" s="3599" t="str">
        <f t="shared" si="9"/>
        <v>NA</v>
      </c>
      <c r="F34" s="3598" t="str">
        <f t="shared" si="10"/>
        <v>NA</v>
      </c>
      <c r="G34" s="4477" t="s">
        <v>199</v>
      </c>
      <c r="H34" s="4478" t="s">
        <v>199</v>
      </c>
      <c r="I34" s="4472" t="str">
        <f t="shared" si="8"/>
        <v>NO</v>
      </c>
    </row>
    <row r="35" spans="2:9" ht="18" customHeight="1" x14ac:dyDescent="0.2">
      <c r="B35" s="518" t="s">
        <v>1626</v>
      </c>
      <c r="C35" s="3584" t="s">
        <v>199</v>
      </c>
      <c r="D35" s="3585" t="s">
        <v>199</v>
      </c>
      <c r="E35" s="3599" t="str">
        <f t="shared" si="9"/>
        <v>NA</v>
      </c>
      <c r="F35" s="3598" t="str">
        <f t="shared" si="10"/>
        <v>NA</v>
      </c>
      <c r="G35" s="4477" t="s">
        <v>199</v>
      </c>
      <c r="H35" s="4478" t="s">
        <v>199</v>
      </c>
      <c r="I35" s="4472" t="str">
        <f t="shared" si="8"/>
        <v>NO</v>
      </c>
    </row>
    <row r="36" spans="2:9" ht="18" customHeight="1" thickBot="1" x14ac:dyDescent="0.25">
      <c r="B36" s="519" t="s">
        <v>1627</v>
      </c>
      <c r="C36" s="3586" t="s">
        <v>199</v>
      </c>
      <c r="D36" s="3587" t="s">
        <v>199</v>
      </c>
      <c r="E36" s="3600" t="str">
        <f t="shared" si="9"/>
        <v>NA</v>
      </c>
      <c r="F36" s="3601" t="str">
        <f t="shared" si="10"/>
        <v>NA</v>
      </c>
      <c r="G36" s="4479" t="s">
        <v>199</v>
      </c>
      <c r="H36" s="4480" t="s">
        <v>199</v>
      </c>
      <c r="I36" s="4481" t="str">
        <f t="shared" si="8"/>
        <v>NO</v>
      </c>
    </row>
    <row r="37" spans="2:9" ht="18" customHeight="1" x14ac:dyDescent="0.2">
      <c r="B37" s="532" t="s">
        <v>1628</v>
      </c>
      <c r="C37" s="3578" t="str">
        <f>IF(SUM(C38:C39)=0,"NO",SUM(C38:C39))</f>
        <v>NO</v>
      </c>
      <c r="D37" s="3579" t="str">
        <f>IF(SUM(D38:D39)=0,"NO",SUM(D38:D39))</f>
        <v>NO</v>
      </c>
      <c r="E37" s="3594" t="str">
        <f t="shared" si="9"/>
        <v>NA</v>
      </c>
      <c r="F37" s="3595" t="str">
        <f t="shared" si="10"/>
        <v>NA</v>
      </c>
      <c r="G37" s="4467" t="str">
        <f>IF(SUM(G38:G39)=0,"NO",SUM(G38:G39))</f>
        <v>NO</v>
      </c>
      <c r="H37" s="4468" t="str">
        <f>IF(SUM(H38:H39)=0,"NO",SUM(H38:H39))</f>
        <v>NO</v>
      </c>
      <c r="I37" s="4469" t="str">
        <f t="shared" si="8"/>
        <v>NO</v>
      </c>
    </row>
    <row r="38" spans="2:9" ht="18" customHeight="1" x14ac:dyDescent="0.2">
      <c r="B38" s="917" t="s">
        <v>1629</v>
      </c>
      <c r="C38" s="3580" t="s">
        <v>199</v>
      </c>
      <c r="D38" s="3581" t="s">
        <v>199</v>
      </c>
      <c r="E38" s="3596" t="str">
        <f t="shared" si="9"/>
        <v>NA</v>
      </c>
      <c r="F38" s="3597" t="str">
        <f t="shared" si="10"/>
        <v>NA</v>
      </c>
      <c r="G38" s="4470" t="s">
        <v>199</v>
      </c>
      <c r="H38" s="4471" t="s">
        <v>199</v>
      </c>
      <c r="I38" s="4472" t="str">
        <f t="shared" si="8"/>
        <v>NO</v>
      </c>
    </row>
    <row r="39" spans="2:9" ht="18" customHeight="1" x14ac:dyDescent="0.2">
      <c r="B39" s="917" t="s">
        <v>1630</v>
      </c>
      <c r="C39" s="3582" t="str">
        <f>IF(SUM(C41:C45)=0,"NO",SUM(C41:C45))</f>
        <v>NO</v>
      </c>
      <c r="D39" s="3583" t="str">
        <f>IF(SUM(D41:D45)=0,"NO",SUM(D41:D45))</f>
        <v>NO</v>
      </c>
      <c r="E39" s="3599" t="str">
        <f>IF(SUM(C39)=0,"NA",G39/C39*1000/(44/28))</f>
        <v>NA</v>
      </c>
      <c r="F39" s="3598" t="str">
        <f>IF(SUM(D39)=0,"NA",H39/D39*1000/(44/28))</f>
        <v>NA</v>
      </c>
      <c r="G39" s="4473" t="str">
        <f>IF(SUM(G41:G45)=0,"NO",SUM(G41:G45))</f>
        <v>NO</v>
      </c>
      <c r="H39" s="4474" t="str">
        <f>IF(SUM(H41:H45)=0,"NO",SUM(H41:H45))</f>
        <v>NO</v>
      </c>
      <c r="I39" s="4472" t="str">
        <f t="shared" si="8"/>
        <v>NO</v>
      </c>
    </row>
    <row r="40" spans="2:9" ht="18" customHeight="1" x14ac:dyDescent="0.2">
      <c r="B40" s="1487" t="s">
        <v>498</v>
      </c>
      <c r="C40" s="4339"/>
      <c r="D40" s="4340"/>
      <c r="E40" s="4341"/>
      <c r="F40" s="4341"/>
      <c r="G40" s="4475"/>
      <c r="H40" s="4475"/>
      <c r="I40" s="4476"/>
    </row>
    <row r="41" spans="2:9" ht="18" customHeight="1" x14ac:dyDescent="0.2">
      <c r="B41" s="518" t="s">
        <v>1631</v>
      </c>
      <c r="C41" s="3584" t="s">
        <v>199</v>
      </c>
      <c r="D41" s="3585" t="s">
        <v>199</v>
      </c>
      <c r="E41" s="3599" t="str">
        <f>IF(SUM(C41)=0,"NA",G41/C41*1000/(44/28))</f>
        <v>NA</v>
      </c>
      <c r="F41" s="3598" t="str">
        <f>IF(SUM(D41)=0,"NA",H41/D41*1000/(44/28))</f>
        <v>NA</v>
      </c>
      <c r="G41" s="4477" t="s">
        <v>199</v>
      </c>
      <c r="H41" s="4478" t="s">
        <v>199</v>
      </c>
      <c r="I41" s="4472" t="str">
        <f t="shared" si="8"/>
        <v>NO</v>
      </c>
    </row>
    <row r="42" spans="2:9" ht="18" customHeight="1" x14ac:dyDescent="0.2">
      <c r="B42" s="518" t="s">
        <v>1632</v>
      </c>
      <c r="C42" s="3584" t="s">
        <v>199</v>
      </c>
      <c r="D42" s="3585" t="s">
        <v>199</v>
      </c>
      <c r="E42" s="3599" t="str">
        <f t="shared" ref="E42:E47" si="11">IF(SUM(C42)=0,"NA",G42/C42*1000/(44/28))</f>
        <v>NA</v>
      </c>
      <c r="F42" s="3598" t="str">
        <f t="shared" ref="F42:F46" si="12">IF(SUM(D42)=0,"NA",H42/D42*1000/(44/28))</f>
        <v>NA</v>
      </c>
      <c r="G42" s="4477" t="s">
        <v>199</v>
      </c>
      <c r="H42" s="4478" t="s">
        <v>199</v>
      </c>
      <c r="I42" s="4472" t="str">
        <f t="shared" si="8"/>
        <v>NO</v>
      </c>
    </row>
    <row r="43" spans="2:9" ht="18" customHeight="1" x14ac:dyDescent="0.2">
      <c r="B43" s="518" t="s">
        <v>1633</v>
      </c>
      <c r="C43" s="3584" t="s">
        <v>199</v>
      </c>
      <c r="D43" s="3585" t="s">
        <v>199</v>
      </c>
      <c r="E43" s="3599" t="str">
        <f t="shared" si="11"/>
        <v>NA</v>
      </c>
      <c r="F43" s="3598" t="str">
        <f t="shared" si="12"/>
        <v>NA</v>
      </c>
      <c r="G43" s="4477" t="s">
        <v>199</v>
      </c>
      <c r="H43" s="4478" t="s">
        <v>199</v>
      </c>
      <c r="I43" s="4472" t="str">
        <f t="shared" si="8"/>
        <v>NO</v>
      </c>
    </row>
    <row r="44" spans="2:9" ht="18" customHeight="1" x14ac:dyDescent="0.2">
      <c r="B44" s="518" t="s">
        <v>1634</v>
      </c>
      <c r="C44" s="3584" t="s">
        <v>199</v>
      </c>
      <c r="D44" s="3585" t="s">
        <v>199</v>
      </c>
      <c r="E44" s="3599" t="str">
        <f t="shared" si="11"/>
        <v>NA</v>
      </c>
      <c r="F44" s="3598" t="str">
        <f t="shared" si="12"/>
        <v>NA</v>
      </c>
      <c r="G44" s="4477" t="s">
        <v>199</v>
      </c>
      <c r="H44" s="4478" t="s">
        <v>199</v>
      </c>
      <c r="I44" s="4472" t="str">
        <f t="shared" si="8"/>
        <v>NO</v>
      </c>
    </row>
    <row r="45" spans="2:9" ht="18" customHeight="1" thickBot="1" x14ac:dyDescent="0.25">
      <c r="B45" s="519" t="s">
        <v>1635</v>
      </c>
      <c r="C45" s="3586" t="s">
        <v>199</v>
      </c>
      <c r="D45" s="3587" t="s">
        <v>199</v>
      </c>
      <c r="E45" s="3600" t="str">
        <f t="shared" si="11"/>
        <v>NA</v>
      </c>
      <c r="F45" s="3601" t="str">
        <f t="shared" si="12"/>
        <v>NA</v>
      </c>
      <c r="G45" s="4479" t="s">
        <v>199</v>
      </c>
      <c r="H45" s="4480" t="s">
        <v>199</v>
      </c>
      <c r="I45" s="4481" t="str">
        <f t="shared" si="8"/>
        <v>NO</v>
      </c>
    </row>
    <row r="46" spans="2:9" ht="18" customHeight="1" x14ac:dyDescent="0.2">
      <c r="B46" s="918" t="s">
        <v>1636</v>
      </c>
      <c r="C46" s="3578">
        <f>IF(SUM(C47:C48)=0,"NO",SUM(C47:C48))</f>
        <v>1446.4337346099055</v>
      </c>
      <c r="D46" s="3579">
        <f>IF(SUM(D47:D48)=0,"NO",SUM(D47:D48))</f>
        <v>739.49710319175847</v>
      </c>
      <c r="E46" s="3594">
        <f t="shared" si="11"/>
        <v>1.1053515048266797E-2</v>
      </c>
      <c r="F46" s="3595">
        <f t="shared" si="12"/>
        <v>7.4999999999999989E-3</v>
      </c>
      <c r="G46" s="4467">
        <f>IF(SUM(G47:G48)=0,"NO",SUM(G47:G48))</f>
        <v>2.5124278224306382E-2</v>
      </c>
      <c r="H46" s="4468">
        <f>IF(SUM(H47:H48)=0,"NO",SUM(H47:H48))</f>
        <v>8.7155015733314366E-3</v>
      </c>
      <c r="I46" s="4469">
        <f t="shared" si="8"/>
        <v>3.3839779797637817E-2</v>
      </c>
    </row>
    <row r="47" spans="2:9" ht="18" customHeight="1" x14ac:dyDescent="0.2">
      <c r="B47" s="917" t="s">
        <v>1637</v>
      </c>
      <c r="C47" s="3580">
        <f>Table4.E!E11</f>
        <v>1063.3746094830001</v>
      </c>
      <c r="D47" s="3581">
        <f>H47/F47*1000/(44/28)</f>
        <v>31.424522341938882</v>
      </c>
      <c r="E47" s="3596">
        <f t="shared" si="11"/>
        <v>4.071589282334985E-4</v>
      </c>
      <c r="F47" s="3597">
        <v>7.4999999999999997E-3</v>
      </c>
      <c r="G47" s="4470">
        <v>6.803695899122781E-4</v>
      </c>
      <c r="H47" s="4471">
        <v>3.7036044188713682E-4</v>
      </c>
      <c r="I47" s="4472">
        <f t="shared" si="8"/>
        <v>1.0507300317994148E-3</v>
      </c>
    </row>
    <row r="48" spans="2:9" ht="18" customHeight="1" x14ac:dyDescent="0.2">
      <c r="B48" s="917" t="s">
        <v>1638</v>
      </c>
      <c r="C48" s="3582">
        <f>IF(SUM(C50:C54)=0,"NO",SUM(C50:C54))</f>
        <v>383.05912512690549</v>
      </c>
      <c r="D48" s="3583">
        <f>IF(SUM(D50:D54)=0,"NO",SUM(D50:D54))</f>
        <v>708.07258084981959</v>
      </c>
      <c r="E48" s="3599">
        <f>IF(SUM(C48)=0,"NA",G48/C48*1000/(44/28))</f>
        <v>4.0607868512126319E-2</v>
      </c>
      <c r="F48" s="3598">
        <f>IF(SUM(D48)=0,"NA",H48/D48*1000/(44/28))</f>
        <v>7.4999999999999989E-3</v>
      </c>
      <c r="G48" s="4473">
        <f>IF(SUM(G50:G54)=0,"NO",SUM(G50:G54))</f>
        <v>2.4443908634394104E-2</v>
      </c>
      <c r="H48" s="4474">
        <f>IF(SUM(H50:H54)=0,"NO",SUM(H50:H54))</f>
        <v>8.3451411314443003E-3</v>
      </c>
      <c r="I48" s="4472">
        <f t="shared" si="8"/>
        <v>3.2789049765838407E-2</v>
      </c>
    </row>
    <row r="49" spans="2:9" ht="18" customHeight="1" x14ac:dyDescent="0.2">
      <c r="B49" s="1487" t="s">
        <v>498</v>
      </c>
      <c r="C49" s="4339"/>
      <c r="D49" s="4340"/>
      <c r="E49" s="4341"/>
      <c r="F49" s="4341"/>
      <c r="G49" s="4475"/>
      <c r="H49" s="4475"/>
      <c r="I49" s="4476"/>
    </row>
    <row r="50" spans="2:9" ht="18" customHeight="1" x14ac:dyDescent="0.2">
      <c r="B50" s="518" t="s">
        <v>1639</v>
      </c>
      <c r="C50" s="3584">
        <f>Table4.E!E14</f>
        <v>383.05912512690549</v>
      </c>
      <c r="D50" s="3581">
        <f>H50/F50*1000/(44/28)</f>
        <v>708.07258084981959</v>
      </c>
      <c r="E50" s="3599">
        <f>IF(SUM(C50)=0,"NA",G50/C50*1000/(44/28))</f>
        <v>4.0607868512126319E-2</v>
      </c>
      <c r="F50" s="3597">
        <v>7.4999999999999997E-3</v>
      </c>
      <c r="G50" s="4477">
        <v>2.4443908634394104E-2</v>
      </c>
      <c r="H50" s="4478">
        <v>8.3451411314443003E-3</v>
      </c>
      <c r="I50" s="4472">
        <f t="shared" si="8"/>
        <v>3.2789049765838407E-2</v>
      </c>
    </row>
    <row r="51" spans="2:9" s="4303" customFormat="1" ht="18" customHeight="1" x14ac:dyDescent="0.2">
      <c r="B51" s="518" t="s">
        <v>1640</v>
      </c>
      <c r="C51" s="3584" t="s">
        <v>274</v>
      </c>
      <c r="D51" s="3585" t="s">
        <v>274</v>
      </c>
      <c r="E51" s="3599" t="str">
        <f t="shared" ref="E51:E56" si="13">IF(SUM(C51)=0,"NA",G51/C51*1000/(44/28))</f>
        <v>NA</v>
      </c>
      <c r="F51" s="3598" t="str">
        <f t="shared" ref="F51:F56" si="14">IF(SUM(D51)=0,"NA",H51/D51*1000/(44/28))</f>
        <v>NA</v>
      </c>
      <c r="G51" s="4477" t="s">
        <v>274</v>
      </c>
      <c r="H51" s="4478" t="s">
        <v>274</v>
      </c>
      <c r="I51" s="4472" t="s">
        <v>274</v>
      </c>
    </row>
    <row r="52" spans="2:9" s="4303" customFormat="1" ht="18" customHeight="1" x14ac:dyDescent="0.2">
      <c r="B52" s="518" t="s">
        <v>1641</v>
      </c>
      <c r="C52" s="3584" t="s">
        <v>274</v>
      </c>
      <c r="D52" s="3585" t="s">
        <v>274</v>
      </c>
      <c r="E52" s="3599" t="str">
        <f t="shared" si="13"/>
        <v>NA</v>
      </c>
      <c r="F52" s="3598" t="str">
        <f t="shared" si="14"/>
        <v>NA</v>
      </c>
      <c r="G52" s="4477" t="s">
        <v>274</v>
      </c>
      <c r="H52" s="4478" t="s">
        <v>274</v>
      </c>
      <c r="I52" s="4472" t="s">
        <v>274</v>
      </c>
    </row>
    <row r="53" spans="2:9" ht="18" customHeight="1" x14ac:dyDescent="0.2">
      <c r="B53" s="518" t="s">
        <v>1642</v>
      </c>
      <c r="C53" s="3584" t="s">
        <v>199</v>
      </c>
      <c r="D53" s="3585" t="s">
        <v>199</v>
      </c>
      <c r="E53" s="3599" t="str">
        <f t="shared" si="13"/>
        <v>NA</v>
      </c>
      <c r="F53" s="3598" t="str">
        <f t="shared" si="14"/>
        <v>NA</v>
      </c>
      <c r="G53" s="4477" t="s">
        <v>199</v>
      </c>
      <c r="H53" s="4478" t="s">
        <v>199</v>
      </c>
      <c r="I53" s="4472" t="str">
        <f t="shared" si="8"/>
        <v>NO</v>
      </c>
    </row>
    <row r="54" spans="2:9" ht="18" customHeight="1" thickBot="1" x14ac:dyDescent="0.25">
      <c r="B54" s="519" t="s">
        <v>1643</v>
      </c>
      <c r="C54" s="3586" t="s">
        <v>199</v>
      </c>
      <c r="D54" s="3587" t="s">
        <v>199</v>
      </c>
      <c r="E54" s="3600" t="str">
        <f t="shared" si="13"/>
        <v>NA</v>
      </c>
      <c r="F54" s="3601" t="str">
        <f t="shared" si="14"/>
        <v>NA</v>
      </c>
      <c r="G54" s="4479" t="s">
        <v>199</v>
      </c>
      <c r="H54" s="4480" t="s">
        <v>199</v>
      </c>
      <c r="I54" s="4481" t="str">
        <f t="shared" si="8"/>
        <v>NO</v>
      </c>
    </row>
    <row r="55" spans="2:9" ht="18" customHeight="1" x14ac:dyDescent="0.2">
      <c r="B55" s="919" t="s">
        <v>1644</v>
      </c>
      <c r="C55" s="3588" t="str">
        <f>C56</f>
        <v>NO</v>
      </c>
      <c r="D55" s="3589" t="str">
        <f>D56</f>
        <v>NO</v>
      </c>
      <c r="E55" s="3602" t="str">
        <f t="shared" si="13"/>
        <v>NA</v>
      </c>
      <c r="F55" s="3603" t="str">
        <f t="shared" si="14"/>
        <v>NA</v>
      </c>
      <c r="G55" s="4482" t="str">
        <f>G56</f>
        <v>NO</v>
      </c>
      <c r="H55" s="4483" t="str">
        <f>H56</f>
        <v>NO</v>
      </c>
      <c r="I55" s="4469" t="str">
        <f t="shared" si="8"/>
        <v>NO</v>
      </c>
    </row>
    <row r="56" spans="2:9" ht="18" customHeight="1" x14ac:dyDescent="0.2">
      <c r="B56" s="917" t="s">
        <v>1645</v>
      </c>
      <c r="C56" s="3582" t="str">
        <f>IF(SUM(C58:C62)=0,"NO",SUM(C58:C62))</f>
        <v>NO</v>
      </c>
      <c r="D56" s="3583" t="str">
        <f>IF(SUM(D58:D62)=0,"NO",SUM(D58:D62))</f>
        <v>NO</v>
      </c>
      <c r="E56" s="3599" t="str">
        <f t="shared" si="13"/>
        <v>NA</v>
      </c>
      <c r="F56" s="3598" t="str">
        <f t="shared" si="14"/>
        <v>NA</v>
      </c>
      <c r="G56" s="4473" t="str">
        <f>IF(SUM(G58:G62)=0,"NO",SUM(G58:G62))</f>
        <v>NO</v>
      </c>
      <c r="H56" s="4474" t="str">
        <f>IF(SUM(H58:H62)=0,"NO",SUM(H58:H62))</f>
        <v>NO</v>
      </c>
      <c r="I56" s="4472" t="str">
        <f t="shared" si="8"/>
        <v>NO</v>
      </c>
    </row>
    <row r="57" spans="2:9" ht="18" customHeight="1" x14ac:dyDescent="0.2">
      <c r="B57" s="1487" t="s">
        <v>498</v>
      </c>
      <c r="C57" s="4339"/>
      <c r="D57" s="4340"/>
      <c r="E57" s="4341"/>
      <c r="F57" s="4341"/>
      <c r="G57" s="4475"/>
      <c r="H57" s="4475"/>
      <c r="I57" s="4476"/>
    </row>
    <row r="58" spans="2:9" ht="18" customHeight="1" x14ac:dyDescent="0.2">
      <c r="B58" s="518" t="s">
        <v>1646</v>
      </c>
      <c r="C58" s="3584" t="s">
        <v>199</v>
      </c>
      <c r="D58" s="3585" t="s">
        <v>199</v>
      </c>
      <c r="E58" s="3599" t="str">
        <f>IF(SUM(C58)=0,"NA",G58/C58*1000/(44/28))</f>
        <v>NA</v>
      </c>
      <c r="F58" s="3598" t="str">
        <f>IF(SUM(D58)=0,"NA",H58/D58*1000/(44/28))</f>
        <v>NA</v>
      </c>
      <c r="G58" s="4477" t="s">
        <v>199</v>
      </c>
      <c r="H58" s="4478" t="s">
        <v>199</v>
      </c>
      <c r="I58" s="4472" t="str">
        <f t="shared" si="8"/>
        <v>NO</v>
      </c>
    </row>
    <row r="59" spans="2:9" ht="18" customHeight="1" x14ac:dyDescent="0.2">
      <c r="B59" s="518" t="s">
        <v>1647</v>
      </c>
      <c r="C59" s="3584" t="s">
        <v>199</v>
      </c>
      <c r="D59" s="3585" t="s">
        <v>199</v>
      </c>
      <c r="E59" s="3599" t="str">
        <f t="shared" ref="E59:E62" si="15">IF(SUM(C59)=0,"NA",G59/C59*1000/(44/28))</f>
        <v>NA</v>
      </c>
      <c r="F59" s="3598" t="str">
        <f t="shared" ref="F59:F62" si="16">IF(SUM(D59)=0,"NA",H59/D59*1000/(44/28))</f>
        <v>NA</v>
      </c>
      <c r="G59" s="4477" t="s">
        <v>199</v>
      </c>
      <c r="H59" s="4478" t="s">
        <v>199</v>
      </c>
      <c r="I59" s="4472" t="str">
        <f t="shared" si="8"/>
        <v>NO</v>
      </c>
    </row>
    <row r="60" spans="2:9" ht="18" customHeight="1" x14ac:dyDescent="0.2">
      <c r="B60" s="518" t="s">
        <v>1648</v>
      </c>
      <c r="C60" s="3584" t="s">
        <v>199</v>
      </c>
      <c r="D60" s="3585" t="s">
        <v>199</v>
      </c>
      <c r="E60" s="3599" t="str">
        <f t="shared" si="15"/>
        <v>NA</v>
      </c>
      <c r="F60" s="3598" t="str">
        <f t="shared" si="16"/>
        <v>NA</v>
      </c>
      <c r="G60" s="4477" t="s">
        <v>199</v>
      </c>
      <c r="H60" s="4478" t="s">
        <v>199</v>
      </c>
      <c r="I60" s="4472" t="str">
        <f t="shared" si="8"/>
        <v>NO</v>
      </c>
    </row>
    <row r="61" spans="2:9" ht="18" customHeight="1" x14ac:dyDescent="0.2">
      <c r="B61" s="518" t="s">
        <v>1649</v>
      </c>
      <c r="C61" s="3584" t="s">
        <v>199</v>
      </c>
      <c r="D61" s="3585" t="s">
        <v>199</v>
      </c>
      <c r="E61" s="3599" t="str">
        <f t="shared" si="15"/>
        <v>NA</v>
      </c>
      <c r="F61" s="3598" t="str">
        <f t="shared" si="16"/>
        <v>NA</v>
      </c>
      <c r="G61" s="4477" t="s">
        <v>199</v>
      </c>
      <c r="H61" s="4478" t="s">
        <v>199</v>
      </c>
      <c r="I61" s="4472" t="str">
        <f t="shared" si="8"/>
        <v>NO</v>
      </c>
    </row>
    <row r="62" spans="2:9" ht="18" customHeight="1" thickBot="1" x14ac:dyDescent="0.25">
      <c r="B62" s="519" t="s">
        <v>1650</v>
      </c>
      <c r="C62" s="3590" t="s">
        <v>199</v>
      </c>
      <c r="D62" s="3591" t="s">
        <v>199</v>
      </c>
      <c r="E62" s="3604" t="str">
        <f t="shared" si="15"/>
        <v>NA</v>
      </c>
      <c r="F62" s="3605" t="str">
        <f t="shared" si="16"/>
        <v>NA</v>
      </c>
      <c r="G62" s="4485" t="s">
        <v>199</v>
      </c>
      <c r="H62" s="4486" t="s">
        <v>199</v>
      </c>
      <c r="I62" s="4481"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94"/>
      <c r="C83" s="4495"/>
      <c r="D83" s="4495"/>
      <c r="E83" s="4495"/>
      <c r="F83" s="4495"/>
      <c r="G83" s="4495"/>
      <c r="H83" s="4495"/>
      <c r="I83" s="4496"/>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workbookViewId="0">
      <selection activeCell="F75" sqref="F75"/>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8"/>
      <c r="K1" s="14" t="s">
        <v>2460</v>
      </c>
    </row>
    <row r="2" spans="2:11" ht="16.350000000000001" customHeight="1" x14ac:dyDescent="0.25">
      <c r="B2" s="1019" t="s">
        <v>229</v>
      </c>
      <c r="J2" s="2208"/>
      <c r="K2" s="14" t="s">
        <v>2461</v>
      </c>
    </row>
    <row r="3" spans="2:11" ht="16.350000000000001" customHeight="1" x14ac:dyDescent="0.25">
      <c r="B3" s="1020" t="s">
        <v>230</v>
      </c>
      <c r="I3" s="2208"/>
      <c r="J3" s="2208"/>
      <c r="K3" s="14" t="s">
        <v>163</v>
      </c>
    </row>
    <row r="4" spans="2:11" ht="12" customHeight="1" x14ac:dyDescent="0.2">
      <c r="B4" s="2261"/>
      <c r="I4" s="2208"/>
      <c r="J4" s="2208"/>
    </row>
    <row r="5" spans="2:11" ht="12" customHeight="1" x14ac:dyDescent="0.2">
      <c r="B5" s="2571"/>
      <c r="I5" s="2208"/>
      <c r="J5" s="2208"/>
    </row>
    <row r="6" spans="2:11" ht="12" customHeight="1" thickBot="1" x14ac:dyDescent="0.25">
      <c r="B6" s="2467" t="s">
        <v>62</v>
      </c>
      <c r="I6" s="2208"/>
      <c r="J6" s="2208"/>
    </row>
    <row r="7" spans="2:11" ht="12" customHeight="1" x14ac:dyDescent="0.2">
      <c r="B7" s="1864" t="s">
        <v>164</v>
      </c>
      <c r="C7" s="177" t="s">
        <v>231</v>
      </c>
      <c r="D7" s="179"/>
      <c r="E7" s="177" t="s">
        <v>232</v>
      </c>
      <c r="F7" s="178"/>
      <c r="G7" s="179"/>
      <c r="H7" s="177" t="s">
        <v>233</v>
      </c>
      <c r="I7" s="178"/>
      <c r="J7" s="178"/>
      <c r="K7" s="2182"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6" t="s">
        <v>242</v>
      </c>
      <c r="C10" s="1938">
        <f>IF(SUM(C11:C16)=0,"NO",SUM(C11:C16))</f>
        <v>5173733.2913632384</v>
      </c>
      <c r="D10" s="3055" t="s">
        <v>97</v>
      </c>
      <c r="E10" s="615"/>
      <c r="F10" s="615"/>
      <c r="G10" s="615"/>
      <c r="H10" s="1938">
        <f>IF(SUM(H11:H15)=0,"NO",SUM(H11:H15))</f>
        <v>365433.45730423916</v>
      </c>
      <c r="I10" s="1938">
        <f t="shared" ref="I10:K10" si="0">IF(SUM(I11:I16)=0,"NO",SUM(I11:I16))</f>
        <v>82.650852150785511</v>
      </c>
      <c r="J10" s="1938">
        <f t="shared" si="0"/>
        <v>12.600964652673378</v>
      </c>
      <c r="K10" s="3064" t="str">
        <f t="shared" si="0"/>
        <v>NO</v>
      </c>
    </row>
    <row r="11" spans="2:11" ht="18" customHeight="1" x14ac:dyDescent="0.2">
      <c r="B11" s="282" t="s">
        <v>243</v>
      </c>
      <c r="C11" s="3065">
        <f>IF(SUM(C18,'Table1.A(a)s2'!C11,'Table1.A(a)s3'!C11,'Table1.A(a)s4'!C11,'Table1.A(a)s4'!C94)=0,"NO",SUM(C18,'Table1.A(a)s2'!C11,'Table1.A(a)s3'!C11,'Table1.A(a)s4'!C11,'Table1.A(a)s4'!C94))</f>
        <v>1690857.8400692698</v>
      </c>
      <c r="D11" s="3056" t="s">
        <v>244</v>
      </c>
      <c r="E11" s="1938">
        <f>IFERROR(H11*1000/$C11,"NA")</f>
        <v>68.168545647993028</v>
      </c>
      <c r="F11" s="1938">
        <f t="shared" ref="F11:G16" si="1">IFERROR(I11*1000000/$C11,"NA")</f>
        <v>12.877890731991922</v>
      </c>
      <c r="G11" s="1938">
        <f t="shared" si="1"/>
        <v>4.6056812168911669</v>
      </c>
      <c r="H11" s="1938">
        <f>IF(SUM(H18,'Table1.A(a)s2'!H11,'Table1.A(a)s3'!H11,'Table1.A(a)s4'!H11,'Table1.A(a)s4'!H94)=0,"NO",SUM(H18,'Table1.A(a)s2'!H11,'Table1.A(a)s3'!H11,'Table1.A(a)s4'!H11,'Table1.A(a)s4'!H94))</f>
        <v>115263.31985502891</v>
      </c>
      <c r="I11" s="1938">
        <f>IF(SUM(I18,'Table1.A(a)s2'!I11,'Table1.A(a)s3'!I11,'Table1.A(a)s4'!I11,'Table1.A(a)s4'!I94)=0,"NO",SUM(I18,'Table1.A(a)s2'!I11,'Table1.A(a)s3'!I11,'Table1.A(a)s4'!I11,'Table1.A(a)s4'!I94))</f>
        <v>21.774682507743929</v>
      </c>
      <c r="J11" s="1938">
        <f>IF(SUM(J18,'Table1.A(a)s2'!J11,'Table1.A(a)s3'!J11,'Table1.A(a)s4'!J11,'Table1.A(a)s4'!J94)=0,"NO",SUM(J18,'Table1.A(a)s2'!J11,'Table1.A(a)s3'!J11,'Table1.A(a)s4'!J11,'Table1.A(a)s4'!J94))</f>
        <v>7.7875521944402051</v>
      </c>
      <c r="K11" s="3044" t="str">
        <f>IF(SUM(K18,'Table1.A(a)s2'!K11,'Table1.A(a)s3'!K11,'Table1.A(a)s4'!K11,'Table1.A(a)s4'!K94)=0,"NO",SUM(K18,'Table1.A(a)s2'!K11,'Table1.A(a)s3'!K11,'Table1.A(a)s4'!K11,'Table1.A(a)s4'!K94))</f>
        <v>NO</v>
      </c>
    </row>
    <row r="12" spans="2:11" ht="18" customHeight="1" x14ac:dyDescent="0.2">
      <c r="B12" s="282" t="s">
        <v>245</v>
      </c>
      <c r="C12" s="3065">
        <f>IF(SUM(C19,'Table1.A(a)s2'!C12,'Table1.A(a)s3'!C12,'Table1.A(a)s4'!C12,'Table1.A(a)s4'!C95)=0,"NO",SUM(C19,'Table1.A(a)s2'!C12,'Table1.A(a)s3'!C12,'Table1.A(a)s4'!C12,'Table1.A(a)s4'!C95))</f>
        <v>2142894.9066331573</v>
      </c>
      <c r="D12" s="3056" t="s">
        <v>97</v>
      </c>
      <c r="E12" s="1938">
        <f t="shared" ref="E12:E16" si="2">IFERROR(H12*1000/$C12,"NA")</f>
        <v>89.691321543388753</v>
      </c>
      <c r="F12" s="1938">
        <f t="shared" si="1"/>
        <v>0.68239148203661204</v>
      </c>
      <c r="G12" s="1938">
        <f t="shared" si="1"/>
        <v>1.2888806330739895</v>
      </c>
      <c r="H12" s="1938">
        <f>IF(SUM(H19,'Table1.A(a)s2'!H12,'Table1.A(a)s3'!H12,'Table1.A(a)s4'!H12,'Table1.A(a)s4'!H95)=0,"NO",SUM(H19,'Table1.A(a)s2'!H12,'Table1.A(a)s3'!H12,'Table1.A(a)s4'!H12,'Table1.A(a)s4'!H95))</f>
        <v>192199.07610452452</v>
      </c>
      <c r="I12" s="1938">
        <f>IF(SUM(I19,'Table1.A(a)s2'!I12,'Table1.A(a)s3'!I12,'Table1.A(a)s4'!I12,'Table1.A(a)s4'!I95)=0,"NO",SUM(I19,'Table1.A(a)s2'!I12,'Table1.A(a)s3'!I12,'Table1.A(a)s4'!I12,'Table1.A(a)s4'!I95))</f>
        <v>1.4622932311861074</v>
      </c>
      <c r="J12" s="1938">
        <f>IF(SUM(J19,'Table1.A(a)s2'!J12,'Table1.A(a)s3'!J12,'Table1.A(a)s4'!J12,'Table1.A(a)s4'!J95)=0,"NO",SUM(J19,'Table1.A(a)s2'!J12,'Table1.A(a)s3'!J12,'Table1.A(a)s4'!J12,'Table1.A(a)s4'!J95))</f>
        <v>2.7619357438723715</v>
      </c>
      <c r="K12" s="3044" t="str">
        <f>IF(SUM(K19,'Table1.A(a)s2'!K12,'Table1.A(a)s3'!K12,'Table1.A(a)s4'!K12,'Table1.A(a)s4'!K95)=0,"NO",SUM(K19,'Table1.A(a)s2'!K12,'Table1.A(a)s3'!K12,'Table1.A(a)s4'!K12,'Table1.A(a)s4'!K95))</f>
        <v>NO</v>
      </c>
    </row>
    <row r="13" spans="2:11" ht="18" customHeight="1" x14ac:dyDescent="0.2">
      <c r="B13" s="282" t="s">
        <v>246</v>
      </c>
      <c r="C13" s="3065">
        <f>IF(SUM(C20,'Table1.A(a)s2'!C13,'Table1.A(a)s3'!C13,'Table1.A(a)s4'!C13,'Table1.A(a)s4'!C96)=0,"NO",SUM(C20,'Table1.A(a)s2'!C13,'Table1.A(a)s3'!C13,'Table1.A(a)s4'!C13,'Table1.A(a)s4'!C96))</f>
        <v>1113386.1983411214</v>
      </c>
      <c r="D13" s="3056" t="s">
        <v>244</v>
      </c>
      <c r="E13" s="1938">
        <f t="shared" si="2"/>
        <v>51.468019274621014</v>
      </c>
      <c r="F13" s="1938">
        <f t="shared" si="1"/>
        <v>9.1873028322602686</v>
      </c>
      <c r="G13" s="1938">
        <f t="shared" si="1"/>
        <v>0.9357361121945641</v>
      </c>
      <c r="H13" s="1938">
        <f>IF(SUM(H20,'Table1.A(a)s2'!H13,'Table1.A(a)s3'!H13,'Table1.A(a)s4'!H13,'Table1.A(a)s4'!H96)=0,"NO",SUM(H20,'Table1.A(a)s2'!H13,'Table1.A(a)s3'!H13,'Table1.A(a)s4'!H13,'Table1.A(a)s4'!H96))</f>
        <v>57303.782316317855</v>
      </c>
      <c r="I13" s="1938">
        <f>IF(SUM(I20,'Table1.A(a)s2'!I13,'Table1.A(a)s3'!I13,'Table1.A(a)s4'!I13,'Table1.A(a)s4'!I96)=0,"NO",SUM(I20,'Table1.A(a)s2'!I13,'Table1.A(a)s3'!I13,'Table1.A(a)s4'!I13,'Table1.A(a)s4'!I96))</f>
        <v>10.229016173418877</v>
      </c>
      <c r="J13" s="1938">
        <f>IF(SUM(J20,'Table1.A(a)s2'!J13,'Table1.A(a)s3'!J13,'Table1.A(a)s4'!J13,'Table1.A(a)s4'!J96)=0,"NO",SUM(J20,'Table1.A(a)s2'!J13,'Table1.A(a)s3'!J13,'Table1.A(a)s4'!J13,'Table1.A(a)s4'!J96))</f>
        <v>1.0418356726068068</v>
      </c>
      <c r="K13" s="3044" t="str">
        <f>IF(SUM(K20,'Table1.A(a)s2'!K13,'Table1.A(a)s3'!K13,'Table1.A(a)s4'!K13,'Table1.A(a)s4'!K96)=0,"NO",SUM(K20,'Table1.A(a)s2'!K13,'Table1.A(a)s3'!K13,'Table1.A(a)s4'!K13,'Table1.A(a)s4'!K96))</f>
        <v>NO</v>
      </c>
    </row>
    <row r="14" spans="2:11" ht="18" customHeight="1" x14ac:dyDescent="0.2">
      <c r="B14" s="282" t="s">
        <v>247</v>
      </c>
      <c r="C14" s="3065">
        <f>IF(SUM(C21,'Table1.A(a)s2'!C14,'Table1.A(a)s3'!C14,'Table1.A(a)s4'!C14,'Table1.A(a)s4'!C97)=0,"NO",SUM(C21,'Table1.A(a)s2'!C14,'Table1.A(a)s3'!C14,'Table1.A(a)s4'!C14,'Table1.A(a)s4'!C97))</f>
        <v>7417.449227392478</v>
      </c>
      <c r="D14" s="3056" t="s">
        <v>244</v>
      </c>
      <c r="E14" s="1938">
        <f t="shared" si="2"/>
        <v>89.960713974774748</v>
      </c>
      <c r="F14" s="1938">
        <f t="shared" si="1"/>
        <v>31.924721388789937</v>
      </c>
      <c r="G14" s="1938">
        <f t="shared" si="1"/>
        <v>0.99764754339968553</v>
      </c>
      <c r="H14" s="1938">
        <f>IF(SUM(H21,'Table1.A(a)s2'!H14,'Table1.A(a)s3'!H14,'Table1.A(a)s4'!H14,'Table1.A(a)s4'!H97)=0,"NO",SUM(H21,'Table1.A(a)s2'!H14,'Table1.A(a)s3'!H14,'Table1.A(a)s4'!H14,'Table1.A(a)s4'!H97))</f>
        <v>667.27902836786859</v>
      </c>
      <c r="I14" s="1938">
        <f>IF(SUM(I21,'Table1.A(a)s2'!I14,'Table1.A(a)s3'!I14,'Table1.A(a)s4'!I14,'Table1.A(a)s4'!I97)=0,"NO",SUM(I21,'Table1.A(a)s2'!I14,'Table1.A(a)s3'!I14,'Table1.A(a)s4'!I14,'Table1.A(a)s4'!I97))</f>
        <v>0.23680000000000004</v>
      </c>
      <c r="J14" s="1938">
        <f>IF(SUM(J21,'Table1.A(a)s2'!J14,'Table1.A(a)s3'!J14,'Table1.A(a)s4'!J14,'Table1.A(a)s4'!J97)=0,"NO",SUM(J21,'Table1.A(a)s2'!J14,'Table1.A(a)s3'!J14,'Table1.A(a)s4'!J14,'Table1.A(a)s4'!J97))</f>
        <v>7.4000000000000012E-3</v>
      </c>
      <c r="K14" s="3044" t="str">
        <f>IF(SUM(K21,'Table1.A(a)s2'!K14,'Table1.A(a)s3'!K14,'Table1.A(a)s4'!K14,'Table1.A(a)s4'!K97)=0,"NO",SUM(K21,'Table1.A(a)s2'!K14,'Table1.A(a)s3'!K14,'Table1.A(a)s4'!K14,'Table1.A(a)s4'!K97))</f>
        <v>NO</v>
      </c>
    </row>
    <row r="15" spans="2:11" ht="18" customHeight="1" x14ac:dyDescent="0.2">
      <c r="B15" s="282" t="s">
        <v>248</v>
      </c>
      <c r="C15" s="3065" t="str">
        <f>IF(SUM(C22,'Table1.A(a)s2'!C15,'Table1.A(a)s4'!C15,'Table1.A(a)s4'!C98)=0,"NO",SUM(C22,'Table1.A(a)s2'!C15,'Table1.A(a)s4'!C15,'Table1.A(a)s4'!C98))</f>
        <v>NO</v>
      </c>
      <c r="D15" s="3056" t="s">
        <v>97</v>
      </c>
      <c r="E15" s="3057"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4" t="str">
        <f>IF(SUM(K22,'Table1.A(a)s2'!K15,'Table1.A(a)s4'!K15,'Table1.A(a)s4'!K98)=0,"NO",SUM(K22,'Table1.A(a)s2'!K15,'Table1.A(a)s4'!K15,'Table1.A(a)s4'!K98))</f>
        <v>NO</v>
      </c>
    </row>
    <row r="16" spans="2:11" ht="18" customHeight="1" thickBot="1" x14ac:dyDescent="0.25">
      <c r="B16" s="282" t="s">
        <v>249</v>
      </c>
      <c r="C16" s="3065">
        <f>IF(SUM(C23,'Table1.A(a)s2'!C16,'Table1.A(a)s3'!C15,'Table1.A(a)s4'!C16,'Table1.A(a)s4'!C99)=0,"NO",SUM(C23,'Table1.A(a)s2'!C16,'Table1.A(a)s3'!C15,'Table1.A(a)s4'!C16,'Table1.A(a)s4'!C99))</f>
        <v>219176.89709229703</v>
      </c>
      <c r="D16" s="3058" t="s">
        <v>244</v>
      </c>
      <c r="E16" s="2891">
        <f t="shared" si="2"/>
        <v>87.840463028367196</v>
      </c>
      <c r="F16" s="1938">
        <f t="shared" si="1"/>
        <v>223.32673236917023</v>
      </c>
      <c r="G16" s="1938">
        <f t="shared" si="1"/>
        <v>4.5727494779339937</v>
      </c>
      <c r="H16" s="2891">
        <f>IF(SUM(H23,'Table1.A(a)s2'!H16,'Table1.A(a)s3'!H15,'Table1.A(a)s4'!H16,'Table1.A(a)s4'!H99)=0,"NO",SUM(H23,'Table1.A(a)s2'!H16,'Table1.A(a)s3'!H15,'Table1.A(a)s4'!H16,'Table1.A(a)s4'!H99))</f>
        <v>19252.600125708159</v>
      </c>
      <c r="I16" s="2891">
        <f>IF(SUM(I23,'Table1.A(a)s2'!I16,'Table1.A(a)s3'!I15,'Table1.A(a)s4'!I16,'Table1.A(a)s4'!I99)=0,"NO",SUM(I23,'Table1.A(a)s2'!I16,'Table1.A(a)s3'!I15,'Table1.A(a)s4'!I16,'Table1.A(a)s4'!I99))</f>
        <v>48.948060238436589</v>
      </c>
      <c r="J16" s="2891">
        <f>IF(SUM(J23,'Table1.A(a)s2'!J16,'Table1.A(a)s3'!J15,'Table1.A(a)s4'!J16,'Table1.A(a)s4'!J99)=0,"NO",SUM(J23,'Table1.A(a)s2'!J16,'Table1.A(a)s3'!J15,'Table1.A(a)s4'!J16,'Table1.A(a)s4'!J99))</f>
        <v>1.002241041753994</v>
      </c>
      <c r="K16" s="3045" t="str">
        <f>IF(SUM(K23,'Table1.A(a)s2'!K16,'Table1.A(a)s3'!K15,'Table1.A(a)s4'!K16,'Table1.A(a)s4'!K99)=0,"NO",SUM(K23,'Table1.A(a)s2'!K16,'Table1.A(a)s3'!K15,'Table1.A(a)s4'!K16,'Table1.A(a)s4'!K99))</f>
        <v>NO</v>
      </c>
    </row>
    <row r="17" spans="2:12" ht="18" customHeight="1" x14ac:dyDescent="0.2">
      <c r="B17" s="2209" t="s">
        <v>175</v>
      </c>
      <c r="C17" s="3046">
        <f>IF(SUM(C18:C23)=0,"NO",SUM(C18:C23))</f>
        <v>2776413.9552752404</v>
      </c>
      <c r="D17" s="3059" t="s">
        <v>97</v>
      </c>
      <c r="E17" s="3060"/>
      <c r="F17" s="3060"/>
      <c r="G17" s="3060"/>
      <c r="H17" s="3046">
        <f>IF(SUM(H18:H22)=0,"NO",SUM(H18:H22))</f>
        <v>222727.89215060009</v>
      </c>
      <c r="I17" s="3046">
        <f t="shared" ref="I17" si="3">IF(SUM(I18:I23)=0,"NO",SUM(I18:I23))</f>
        <v>12.976423252243976</v>
      </c>
      <c r="J17" s="3046">
        <f t="shared" ref="J17" si="4">IF(SUM(J18:J23)=0,"NO",SUM(J18:J23))</f>
        <v>3.7612196537347935</v>
      </c>
      <c r="K17" s="3047" t="str">
        <f t="shared" ref="K17" si="5">IF(SUM(K18:K23)=0,"NO",SUM(K18:K23))</f>
        <v>NO</v>
      </c>
    </row>
    <row r="18" spans="2:12" ht="18" customHeight="1" x14ac:dyDescent="0.2">
      <c r="B18" s="282" t="s">
        <v>243</v>
      </c>
      <c r="C18" s="3065">
        <f>IF(SUM(C25,C54,C61)=0,"NO",SUM(C25,C54,C61))</f>
        <v>164133.49690770177</v>
      </c>
      <c r="D18" s="3056" t="s">
        <v>97</v>
      </c>
      <c r="E18" s="1938">
        <f>IFERROR(H18*1000/$C18,"NA")</f>
        <v>67.86923752099527</v>
      </c>
      <c r="F18" s="1938">
        <f t="shared" ref="F18:G23" si="6">IFERROR(I18*1000000/$C18,"NA")</f>
        <v>2.358105283785096</v>
      </c>
      <c r="G18" s="1938">
        <f t="shared" si="6"/>
        <v>1.5969032184079177</v>
      </c>
      <c r="H18" s="3065">
        <f>IF(SUM(H25,H54,H61)=0,"NO",SUM(H25,H54,H61))</f>
        <v>11139.615286780354</v>
      </c>
      <c r="I18" s="3065">
        <f>IF(SUM(I25,I54,I61)=0,"NO",SUM(I25,I54,I61))</f>
        <v>0.38704406630417626</v>
      </c>
      <c r="J18" s="3065">
        <f>IF(SUM(J25,J54,J61)=0,"NO",SUM(J25,J54,J61))</f>
        <v>0.26210530946045496</v>
      </c>
      <c r="K18" s="3048" t="str">
        <f>IF(SUM(K25,K54,K61)=0,"NO",SUM(K25,K54,K61))</f>
        <v>NO</v>
      </c>
      <c r="L18" s="19"/>
    </row>
    <row r="19" spans="2:12" ht="18" customHeight="1" x14ac:dyDescent="0.2">
      <c r="B19" s="282" t="s">
        <v>245</v>
      </c>
      <c r="C19" s="3065">
        <f t="shared" ref="C19:C23" si="7">IF(SUM(C26,C55,C62)=0,"NO",SUM(C26,C55,C62))</f>
        <v>2005700.1645775402</v>
      </c>
      <c r="D19" s="3056" t="s">
        <v>97</v>
      </c>
      <c r="E19" s="1938">
        <f t="shared" ref="E19:E23" si="8">IFERROR(H19*1000/$C19,"NA")</f>
        <v>90.615742950650159</v>
      </c>
      <c r="F19" s="1938">
        <f t="shared" si="6"/>
        <v>0.6675754919569008</v>
      </c>
      <c r="G19" s="1938">
        <f t="shared" si="6"/>
        <v>1.3319114878943736</v>
      </c>
      <c r="H19" s="3065">
        <f t="shared" ref="H19:K23" si="9">IF(SUM(H26,H55,H62)=0,"NO",SUM(H26,H55,H62))</f>
        <v>181748.0105494351</v>
      </c>
      <c r="I19" s="3065">
        <f t="shared" si="9"/>
        <v>1.3389562740858885</v>
      </c>
      <c r="J19" s="3065">
        <f t="shared" si="9"/>
        <v>2.6714150904724616</v>
      </c>
      <c r="K19" s="3048" t="str">
        <f t="shared" si="9"/>
        <v>NO</v>
      </c>
      <c r="L19" s="19"/>
    </row>
    <row r="20" spans="2:12" ht="18" customHeight="1" x14ac:dyDescent="0.2">
      <c r="B20" s="282" t="s">
        <v>246</v>
      </c>
      <c r="C20" s="3065">
        <f t="shared" si="7"/>
        <v>580046.33075966605</v>
      </c>
      <c r="D20" s="3056" t="s">
        <v>97</v>
      </c>
      <c r="E20" s="1938">
        <f t="shared" si="8"/>
        <v>51.444625596206954</v>
      </c>
      <c r="F20" s="1938">
        <f t="shared" si="6"/>
        <v>16.279863697561037</v>
      </c>
      <c r="G20" s="1938">
        <f t="shared" si="6"/>
        <v>1.1982547686327503</v>
      </c>
      <c r="H20" s="3065">
        <f t="shared" si="9"/>
        <v>29840.26631438464</v>
      </c>
      <c r="I20" s="3065">
        <f t="shared" si="9"/>
        <v>9.4430752030377683</v>
      </c>
      <c r="J20" s="3065">
        <f t="shared" si="9"/>
        <v>0.69504328186069941</v>
      </c>
      <c r="K20" s="3048" t="str">
        <f t="shared" si="9"/>
        <v>NO</v>
      </c>
      <c r="L20" s="19"/>
    </row>
    <row r="21" spans="2:12" ht="18" customHeight="1" x14ac:dyDescent="0.2">
      <c r="B21" s="282" t="s">
        <v>247</v>
      </c>
      <c r="C21" s="3065" t="str">
        <f t="shared" si="7"/>
        <v>NO</v>
      </c>
      <c r="D21" s="3056" t="s">
        <v>97</v>
      </c>
      <c r="E21" s="1938" t="str">
        <f t="shared" si="8"/>
        <v>NA</v>
      </c>
      <c r="F21" s="1938" t="str">
        <f t="shared" si="6"/>
        <v>NA</v>
      </c>
      <c r="G21" s="1938" t="str">
        <f t="shared" si="6"/>
        <v>NA</v>
      </c>
      <c r="H21" s="3065" t="str">
        <f t="shared" si="9"/>
        <v>NO</v>
      </c>
      <c r="I21" s="3065" t="str">
        <f t="shared" si="9"/>
        <v>NO</v>
      </c>
      <c r="J21" s="3065" t="str">
        <f t="shared" si="9"/>
        <v>NO</v>
      </c>
      <c r="K21" s="3048" t="str">
        <f t="shared" si="9"/>
        <v>NO</v>
      </c>
      <c r="L21" s="19"/>
    </row>
    <row r="22" spans="2:12" ht="18" customHeight="1" x14ac:dyDescent="0.2">
      <c r="B22" s="282" t="s">
        <v>248</v>
      </c>
      <c r="C22" s="3065" t="str">
        <f t="shared" si="7"/>
        <v>NO</v>
      </c>
      <c r="D22" s="3056" t="s">
        <v>97</v>
      </c>
      <c r="E22" s="1938" t="str">
        <f t="shared" si="8"/>
        <v>NA</v>
      </c>
      <c r="F22" s="1938" t="str">
        <f t="shared" si="6"/>
        <v>NA</v>
      </c>
      <c r="G22" s="1938" t="str">
        <f t="shared" si="6"/>
        <v>NA</v>
      </c>
      <c r="H22" s="3065" t="str">
        <f t="shared" si="9"/>
        <v>NO</v>
      </c>
      <c r="I22" s="3065" t="str">
        <f t="shared" si="9"/>
        <v>NO</v>
      </c>
      <c r="J22" s="3065" t="str">
        <f t="shared" si="9"/>
        <v>NO</v>
      </c>
      <c r="K22" s="3048" t="str">
        <f t="shared" si="9"/>
        <v>NO</v>
      </c>
      <c r="L22" s="19"/>
    </row>
    <row r="23" spans="2:12" ht="18" customHeight="1" x14ac:dyDescent="0.2">
      <c r="B23" s="282" t="s">
        <v>249</v>
      </c>
      <c r="C23" s="3065">
        <f t="shared" si="7"/>
        <v>26533.963030332092</v>
      </c>
      <c r="D23" s="3056" t="s">
        <v>97</v>
      </c>
      <c r="E23" s="1938">
        <f t="shared" si="8"/>
        <v>81.201506479355004</v>
      </c>
      <c r="F23" s="1938">
        <f t="shared" si="6"/>
        <v>68.114503165248493</v>
      </c>
      <c r="G23" s="1938">
        <f t="shared" si="6"/>
        <v>4.9994782833432332</v>
      </c>
      <c r="H23" s="3065">
        <f t="shared" si="9"/>
        <v>2154.5977709304775</v>
      </c>
      <c r="I23" s="3065">
        <f t="shared" si="9"/>
        <v>1.8073477088161416</v>
      </c>
      <c r="J23" s="3065">
        <f t="shared" si="9"/>
        <v>0.13265597194117751</v>
      </c>
      <c r="K23" s="3048" t="str">
        <f t="shared" si="9"/>
        <v>NO</v>
      </c>
      <c r="L23" s="19"/>
    </row>
    <row r="24" spans="2:12" ht="18" customHeight="1" x14ac:dyDescent="0.2">
      <c r="B24" s="1236" t="s">
        <v>250</v>
      </c>
      <c r="C24" s="3065">
        <f>IF(SUM(C25:C30)=0,"NO",SUM(C25:C30))</f>
        <v>2445401.3236214695</v>
      </c>
      <c r="D24" s="3056" t="s">
        <v>97</v>
      </c>
      <c r="E24" s="615"/>
      <c r="F24" s="615"/>
      <c r="G24" s="615"/>
      <c r="H24" s="3065">
        <f>IF(SUM(H25:H29)=0,"NO",SUM(H25:H29))</f>
        <v>202966.71922491211</v>
      </c>
      <c r="I24" s="3065">
        <f t="shared" ref="I24" si="10">IF(SUM(I25:I30)=0,"NO",SUM(I25:I30))</f>
        <v>6.45389829140277</v>
      </c>
      <c r="J24" s="3065">
        <f t="shared" ref="J24" si="11">IF(SUM(J25:J30)=0,"NO",SUM(J25:J30))</f>
        <v>3.3454264933759181</v>
      </c>
      <c r="K24" s="3048" t="str">
        <f t="shared" ref="K24" si="12">IF(SUM(K25:K30)=0,"NO",SUM(K25:K30))</f>
        <v>NO</v>
      </c>
      <c r="L24" s="19"/>
    </row>
    <row r="25" spans="2:12" ht="18" customHeight="1" x14ac:dyDescent="0.2">
      <c r="B25" s="160" t="s">
        <v>243</v>
      </c>
      <c r="C25" s="3053">
        <f>IF(SUM(C33,C40,C47)=0,"NO",SUM(C33,C40,C47))</f>
        <v>37086.429924398319</v>
      </c>
      <c r="D25" s="3061" t="s">
        <v>97</v>
      </c>
      <c r="E25" s="3065">
        <f>IFERROR(H25*1000/$C25,"NA")</f>
        <v>69.997371451021678</v>
      </c>
      <c r="F25" s="1938">
        <f t="shared" ref="F25:G30" si="13">IFERROR(I25*1000000/$C25,"NA")</f>
        <v>3.3658803504692978</v>
      </c>
      <c r="G25" s="1938">
        <f t="shared" si="13"/>
        <v>0.38560461696059467</v>
      </c>
      <c r="H25" s="3065">
        <f>IF(SUM(H33,H40,H47)=0,"NO",SUM(H33,H40,H47))</f>
        <v>2595.9526112103949</v>
      </c>
      <c r="I25" s="3065">
        <f>IF(SUM(I33,I40,I47)=0,"NO",SUM(I33,I40,I47))</f>
        <v>0.12482848575158888</v>
      </c>
      <c r="J25" s="3065">
        <f>IF(SUM(J33,J40,J47)=0,"NO",SUM(J33,J40,J47))</f>
        <v>1.4300698605433549E-2</v>
      </c>
      <c r="K25" s="3048" t="str">
        <f>IF(SUM(K33,K40,K47)=0,"NO",SUM(K33,K40,K47))</f>
        <v>NO</v>
      </c>
      <c r="L25" s="19"/>
    </row>
    <row r="26" spans="2:12" ht="18" customHeight="1" x14ac:dyDescent="0.2">
      <c r="B26" s="160" t="s">
        <v>245</v>
      </c>
      <c r="C26" s="3065">
        <f t="shared" ref="C26:C30" si="14">IF(SUM(C34,C41,C48)=0,"NO",SUM(C34,C41,C48))</f>
        <v>1983181.3894448902</v>
      </c>
      <c r="D26" s="3061" t="s">
        <v>97</v>
      </c>
      <c r="E26" s="3065">
        <f t="shared" ref="E26:E30" si="15">IFERROR(H26*1000/$C26,"NA")</f>
        <v>90.688390469705681</v>
      </c>
      <c r="F26" s="1938">
        <f t="shared" si="13"/>
        <v>0.66424864931358174</v>
      </c>
      <c r="G26" s="1938">
        <f t="shared" si="13"/>
        <v>1.3381393316997341</v>
      </c>
      <c r="H26" s="3065">
        <f t="shared" ref="H26:K30" si="16">IF(SUM(H34,H41,H48)=0,"NO",SUM(H34,H41,H48))</f>
        <v>179851.52821823166</v>
      </c>
      <c r="I26" s="3065">
        <f t="shared" si="16"/>
        <v>1.3173255592826008</v>
      </c>
      <c r="J26" s="3065">
        <f t="shared" si="16"/>
        <v>2.6537730191111355</v>
      </c>
      <c r="K26" s="3048" t="str">
        <f t="shared" si="16"/>
        <v>NO</v>
      </c>
      <c r="L26" s="19"/>
    </row>
    <row r="27" spans="2:12" ht="18" customHeight="1" x14ac:dyDescent="0.2">
      <c r="B27" s="160" t="s">
        <v>246</v>
      </c>
      <c r="C27" s="3065">
        <f t="shared" si="14"/>
        <v>398750.73011618113</v>
      </c>
      <c r="D27" s="3061" t="s">
        <v>97</v>
      </c>
      <c r="E27" s="3065">
        <f t="shared" si="15"/>
        <v>51.458810845290486</v>
      </c>
      <c r="F27" s="1938">
        <f t="shared" si="13"/>
        <v>8.0374535011378363</v>
      </c>
      <c r="G27" s="1938">
        <f t="shared" si="13"/>
        <v>1.3673687799535827</v>
      </c>
      <c r="H27" s="3065">
        <f t="shared" si="16"/>
        <v>20519.238395470042</v>
      </c>
      <c r="I27" s="3065">
        <f t="shared" si="16"/>
        <v>3.204940451853568</v>
      </c>
      <c r="J27" s="3065">
        <f t="shared" si="16"/>
        <v>0.54523929934456294</v>
      </c>
      <c r="K27" s="3048" t="str">
        <f t="shared" si="16"/>
        <v>NO</v>
      </c>
      <c r="L27" s="19"/>
    </row>
    <row r="28" spans="2:12" ht="18" customHeight="1" x14ac:dyDescent="0.2">
      <c r="B28" s="282" t="s">
        <v>247</v>
      </c>
      <c r="C28" s="3065" t="str">
        <f t="shared" si="14"/>
        <v>NO</v>
      </c>
      <c r="D28" s="3061" t="s">
        <v>97</v>
      </c>
      <c r="E28" s="3065" t="str">
        <f t="shared" si="15"/>
        <v>NA</v>
      </c>
      <c r="F28" s="1938" t="str">
        <f t="shared" si="13"/>
        <v>NA</v>
      </c>
      <c r="G28" s="1938" t="str">
        <f t="shared" si="13"/>
        <v>NA</v>
      </c>
      <c r="H28" s="3065" t="str">
        <f t="shared" si="16"/>
        <v>NO</v>
      </c>
      <c r="I28" s="3065" t="str">
        <f t="shared" si="16"/>
        <v>NO</v>
      </c>
      <c r="J28" s="3065" t="str">
        <f t="shared" si="16"/>
        <v>NO</v>
      </c>
      <c r="K28" s="3048" t="str">
        <f t="shared" si="16"/>
        <v>NO</v>
      </c>
      <c r="L28" s="19"/>
    </row>
    <row r="29" spans="2:12" ht="18" customHeight="1" x14ac:dyDescent="0.2">
      <c r="B29" s="282" t="s">
        <v>248</v>
      </c>
      <c r="C29" s="3065" t="str">
        <f t="shared" si="14"/>
        <v>NO</v>
      </c>
      <c r="D29" s="3061" t="s">
        <v>97</v>
      </c>
      <c r="E29" s="3065" t="str">
        <f t="shared" si="15"/>
        <v>NA</v>
      </c>
      <c r="F29" s="1938" t="str">
        <f t="shared" si="13"/>
        <v>NA</v>
      </c>
      <c r="G29" s="1938" t="str">
        <f t="shared" si="13"/>
        <v>NA</v>
      </c>
      <c r="H29" s="3065" t="str">
        <f t="shared" si="16"/>
        <v>NO</v>
      </c>
      <c r="I29" s="3065" t="str">
        <f t="shared" si="16"/>
        <v>NO</v>
      </c>
      <c r="J29" s="3065" t="str">
        <f t="shared" si="16"/>
        <v>NO</v>
      </c>
      <c r="K29" s="3048" t="str">
        <f t="shared" si="16"/>
        <v>NO</v>
      </c>
      <c r="L29" s="19"/>
    </row>
    <row r="30" spans="2:12" ht="18" customHeight="1" x14ac:dyDescent="0.2">
      <c r="B30" s="282" t="s">
        <v>249</v>
      </c>
      <c r="C30" s="3065">
        <f t="shared" si="14"/>
        <v>26382.774135999829</v>
      </c>
      <c r="D30" s="3061" t="s">
        <v>97</v>
      </c>
      <c r="E30" s="3065">
        <f t="shared" si="15"/>
        <v>81.276530453622698</v>
      </c>
      <c r="F30" s="1938">
        <f t="shared" si="13"/>
        <v>68.484223273912349</v>
      </c>
      <c r="G30" s="1938">
        <f t="shared" si="13"/>
        <v>5.0075657561163984</v>
      </c>
      <c r="H30" s="3065">
        <f t="shared" si="16"/>
        <v>2144.3003455156395</v>
      </c>
      <c r="I30" s="3065">
        <f t="shared" si="16"/>
        <v>1.8068037945150124</v>
      </c>
      <c r="J30" s="3065">
        <f t="shared" si="16"/>
        <v>0.13211347631478615</v>
      </c>
      <c r="K30" s="3048" t="str">
        <f t="shared" si="16"/>
        <v>NO</v>
      </c>
      <c r="L30" s="19"/>
    </row>
    <row r="31" spans="2:12" ht="18" customHeight="1" x14ac:dyDescent="0.2">
      <c r="B31" s="1242" t="s">
        <v>251</v>
      </c>
      <c r="C31" s="3062"/>
      <c r="D31" s="3049"/>
      <c r="E31" s="3049"/>
      <c r="F31" s="3049"/>
      <c r="G31" s="3049"/>
      <c r="H31" s="3049"/>
      <c r="I31" s="3049"/>
      <c r="J31" s="3049"/>
      <c r="K31" s="3050"/>
      <c r="L31" s="19"/>
    </row>
    <row r="32" spans="2:12" ht="18" customHeight="1" x14ac:dyDescent="0.2">
      <c r="B32" s="1237" t="s">
        <v>252</v>
      </c>
      <c r="C32" s="3065">
        <f>IF(SUM(C33:C38)=0,"NO",SUM(C33:C38))</f>
        <v>2445401.3236214695</v>
      </c>
      <c r="D32" s="3056" t="s">
        <v>97</v>
      </c>
      <c r="E32" s="1939"/>
      <c r="F32" s="1939"/>
      <c r="G32" s="1939"/>
      <c r="H32" s="3065">
        <f>IF(SUM(H33:H37)=0,"NO",SUM(H33:H37))</f>
        <v>202966.71922491211</v>
      </c>
      <c r="I32" s="3065">
        <f t="shared" ref="I32" si="17">IF(SUM(I33:I38)=0,"NO",SUM(I33:I38))</f>
        <v>6.45389829140277</v>
      </c>
      <c r="J32" s="3065">
        <f t="shared" ref="J32" si="18">IF(SUM(J33:J38)=0,"NO",SUM(J33:J38))</f>
        <v>3.3454264933759181</v>
      </c>
      <c r="K32" s="3048" t="str">
        <f t="shared" ref="K32" si="19">IF(SUM(K33:K38)=0,"NO",SUM(K33:K38))</f>
        <v>NO</v>
      </c>
      <c r="L32" s="19"/>
    </row>
    <row r="33" spans="2:12" ht="18" customHeight="1" x14ac:dyDescent="0.2">
      <c r="B33" s="160" t="s">
        <v>243</v>
      </c>
      <c r="C33" s="3014">
        <v>37086.429924398319</v>
      </c>
      <c r="D33" s="3056" t="s">
        <v>97</v>
      </c>
      <c r="E33" s="1938">
        <f>IFERROR(H33*1000/$C33,"NA")</f>
        <v>69.997371451021678</v>
      </c>
      <c r="F33" s="1938">
        <f t="shared" ref="F33:G38" si="20">IFERROR(I33*1000000/$C33,"NA")</f>
        <v>3.3658803504692978</v>
      </c>
      <c r="G33" s="1938">
        <f t="shared" si="20"/>
        <v>0.38560461696059467</v>
      </c>
      <c r="H33" s="3014">
        <v>2595.9526112103949</v>
      </c>
      <c r="I33" s="3014">
        <v>0.12482848575158888</v>
      </c>
      <c r="J33" s="3014">
        <v>1.4300698605433549E-2</v>
      </c>
      <c r="K33" s="3051" t="s">
        <v>199</v>
      </c>
      <c r="L33" s="19"/>
    </row>
    <row r="34" spans="2:12" ht="18" customHeight="1" x14ac:dyDescent="0.2">
      <c r="B34" s="160" t="s">
        <v>245</v>
      </c>
      <c r="C34" s="3014">
        <v>1983181.3894448902</v>
      </c>
      <c r="D34" s="3056" t="s">
        <v>97</v>
      </c>
      <c r="E34" s="1938">
        <f t="shared" ref="E34:E38" si="21">IFERROR(H34*1000/$C34,"NA")</f>
        <v>90.688390469705681</v>
      </c>
      <c r="F34" s="1938">
        <f t="shared" si="20"/>
        <v>0.66424864931358174</v>
      </c>
      <c r="G34" s="1938">
        <f t="shared" si="20"/>
        <v>1.3381393316997341</v>
      </c>
      <c r="H34" s="3014">
        <v>179851.52821823166</v>
      </c>
      <c r="I34" s="3014">
        <v>1.3173255592826008</v>
      </c>
      <c r="J34" s="3014">
        <v>2.6537730191111355</v>
      </c>
      <c r="K34" s="3051" t="s">
        <v>199</v>
      </c>
      <c r="L34" s="19"/>
    </row>
    <row r="35" spans="2:12" ht="18" customHeight="1" x14ac:dyDescent="0.2">
      <c r="B35" s="160" t="s">
        <v>246</v>
      </c>
      <c r="C35" s="3014">
        <v>398750.73011618113</v>
      </c>
      <c r="D35" s="3056" t="s">
        <v>97</v>
      </c>
      <c r="E35" s="1938">
        <f t="shared" si="21"/>
        <v>51.458810845290486</v>
      </c>
      <c r="F35" s="1938">
        <f t="shared" si="20"/>
        <v>8.0374535011378363</v>
      </c>
      <c r="G35" s="1938">
        <f t="shared" si="20"/>
        <v>1.3673687799535827</v>
      </c>
      <c r="H35" s="3014">
        <v>20519.238395470042</v>
      </c>
      <c r="I35" s="3014">
        <v>3.204940451853568</v>
      </c>
      <c r="J35" s="3014">
        <v>0.54523929934456294</v>
      </c>
      <c r="K35" s="3051" t="s">
        <v>199</v>
      </c>
      <c r="L35" s="19"/>
    </row>
    <row r="36" spans="2:12" ht="18" customHeight="1" x14ac:dyDescent="0.2">
      <c r="B36" s="282" t="s">
        <v>247</v>
      </c>
      <c r="C36" s="3014" t="s">
        <v>199</v>
      </c>
      <c r="D36" s="3056" t="s">
        <v>97</v>
      </c>
      <c r="E36" s="1938" t="str">
        <f t="shared" si="21"/>
        <v>NA</v>
      </c>
      <c r="F36" s="1938" t="str">
        <f t="shared" si="20"/>
        <v>NA</v>
      </c>
      <c r="G36" s="1938" t="str">
        <f t="shared" si="20"/>
        <v>NA</v>
      </c>
      <c r="H36" s="3014" t="s">
        <v>199</v>
      </c>
      <c r="I36" s="3014" t="s">
        <v>199</v>
      </c>
      <c r="J36" s="3014" t="s">
        <v>199</v>
      </c>
      <c r="K36" s="3051" t="s">
        <v>199</v>
      </c>
      <c r="L36" s="19"/>
    </row>
    <row r="37" spans="2:12" ht="18" customHeight="1" x14ac:dyDescent="0.2">
      <c r="B37" s="282" t="s">
        <v>248</v>
      </c>
      <c r="C37" s="3014" t="s">
        <v>199</v>
      </c>
      <c r="D37" s="3056" t="s">
        <v>97</v>
      </c>
      <c r="E37" s="1938" t="str">
        <f t="shared" si="21"/>
        <v>NA</v>
      </c>
      <c r="F37" s="1938" t="str">
        <f t="shared" si="20"/>
        <v>NA</v>
      </c>
      <c r="G37" s="1938" t="str">
        <f t="shared" si="20"/>
        <v>NA</v>
      </c>
      <c r="H37" s="3014" t="s">
        <v>199</v>
      </c>
      <c r="I37" s="3014" t="s">
        <v>199</v>
      </c>
      <c r="J37" s="3014" t="s">
        <v>199</v>
      </c>
      <c r="K37" s="3051" t="s">
        <v>199</v>
      </c>
      <c r="L37" s="19"/>
    </row>
    <row r="38" spans="2:12" ht="18" customHeight="1" x14ac:dyDescent="0.2">
      <c r="B38" s="282" t="s">
        <v>249</v>
      </c>
      <c r="C38" s="3014">
        <v>26382.774135999829</v>
      </c>
      <c r="D38" s="3056" t="s">
        <v>97</v>
      </c>
      <c r="E38" s="1938">
        <f t="shared" si="21"/>
        <v>81.276530453622698</v>
      </c>
      <c r="F38" s="1938">
        <f t="shared" si="20"/>
        <v>68.484223273912349</v>
      </c>
      <c r="G38" s="1938">
        <f t="shared" si="20"/>
        <v>5.0075657561163984</v>
      </c>
      <c r="H38" s="3014">
        <v>2144.3003455156395</v>
      </c>
      <c r="I38" s="3014">
        <v>1.8068037945150124</v>
      </c>
      <c r="J38" s="3014">
        <v>0.13211347631478615</v>
      </c>
      <c r="K38" s="3051" t="s">
        <v>199</v>
      </c>
      <c r="L38" s="19"/>
    </row>
    <row r="39" spans="2:12" ht="18" customHeight="1" x14ac:dyDescent="0.2">
      <c r="B39" s="1238" t="s">
        <v>253</v>
      </c>
      <c r="C39" s="3065" t="s">
        <v>199</v>
      </c>
      <c r="D39" s="3056" t="s">
        <v>205</v>
      </c>
      <c r="E39" s="1939"/>
      <c r="F39" s="1939"/>
      <c r="G39" s="1939"/>
      <c r="H39" s="3065" t="str">
        <f>IF(SUM(H40:H44)=0,"NO",SUM(H40:H44))</f>
        <v>NO</v>
      </c>
      <c r="I39" s="3065" t="str">
        <f t="shared" ref="I39:K39" si="22">IF(SUM(I40:I45)=0,"NO",SUM(I40:I45))</f>
        <v>NO</v>
      </c>
      <c r="J39" s="3065" t="str">
        <f t="shared" si="22"/>
        <v>NO</v>
      </c>
      <c r="K39" s="3048" t="str">
        <f t="shared" si="22"/>
        <v>NO</v>
      </c>
      <c r="L39" s="19"/>
    </row>
    <row r="40" spans="2:12" ht="18" customHeight="1" x14ac:dyDescent="0.2">
      <c r="B40" s="160" t="s">
        <v>243</v>
      </c>
      <c r="C40" s="3066" t="s">
        <v>199</v>
      </c>
      <c r="D40" s="3056" t="s">
        <v>205</v>
      </c>
      <c r="E40" s="1938" t="str">
        <f>IFERROR(H40*1000/$C40,"NA")</f>
        <v>NA</v>
      </c>
      <c r="F40" s="1938" t="str">
        <f t="shared" ref="F40:G45" si="23">IFERROR(I40*1000000/$C40,"NA")</f>
        <v>NA</v>
      </c>
      <c r="G40" s="1938" t="str">
        <f t="shared" si="23"/>
        <v>NA</v>
      </c>
      <c r="H40" s="3066" t="s">
        <v>199</v>
      </c>
      <c r="I40" s="3066" t="s">
        <v>199</v>
      </c>
      <c r="J40" s="3066" t="s">
        <v>199</v>
      </c>
      <c r="K40" s="3052" t="s">
        <v>199</v>
      </c>
      <c r="L40" s="19"/>
    </row>
    <row r="41" spans="2:12" ht="18" customHeight="1" x14ac:dyDescent="0.2">
      <c r="B41" s="160" t="s">
        <v>245</v>
      </c>
      <c r="C41" s="3066" t="s">
        <v>199</v>
      </c>
      <c r="D41" s="3056" t="s">
        <v>205</v>
      </c>
      <c r="E41" s="1938" t="str">
        <f t="shared" ref="E41:E45" si="24">IFERROR(H41*1000/$C41,"NA")</f>
        <v>NA</v>
      </c>
      <c r="F41" s="1938" t="str">
        <f t="shared" si="23"/>
        <v>NA</v>
      </c>
      <c r="G41" s="1938" t="str">
        <f t="shared" si="23"/>
        <v>NA</v>
      </c>
      <c r="H41" s="3066" t="s">
        <v>199</v>
      </c>
      <c r="I41" s="3066" t="s">
        <v>199</v>
      </c>
      <c r="J41" s="3066" t="s">
        <v>199</v>
      </c>
      <c r="K41" s="3052" t="s">
        <v>199</v>
      </c>
      <c r="L41" s="19"/>
    </row>
    <row r="42" spans="2:12" ht="18" customHeight="1" x14ac:dyDescent="0.2">
      <c r="B42" s="160" t="s">
        <v>246</v>
      </c>
      <c r="C42" s="3066" t="s">
        <v>199</v>
      </c>
      <c r="D42" s="3056" t="s">
        <v>205</v>
      </c>
      <c r="E42" s="1938" t="str">
        <f t="shared" si="24"/>
        <v>NA</v>
      </c>
      <c r="F42" s="1938" t="str">
        <f t="shared" si="23"/>
        <v>NA</v>
      </c>
      <c r="G42" s="1938" t="str">
        <f t="shared" si="23"/>
        <v>NA</v>
      </c>
      <c r="H42" s="3066" t="s">
        <v>199</v>
      </c>
      <c r="I42" s="3066" t="s">
        <v>199</v>
      </c>
      <c r="J42" s="3066" t="s">
        <v>199</v>
      </c>
      <c r="K42" s="3052" t="s">
        <v>199</v>
      </c>
      <c r="L42" s="19"/>
    </row>
    <row r="43" spans="2:12" ht="18" customHeight="1" x14ac:dyDescent="0.2">
      <c r="B43" s="282" t="s">
        <v>247</v>
      </c>
      <c r="C43" s="3066" t="s">
        <v>199</v>
      </c>
      <c r="D43" s="3056" t="s">
        <v>205</v>
      </c>
      <c r="E43" s="1938" t="str">
        <f t="shared" si="24"/>
        <v>NA</v>
      </c>
      <c r="F43" s="1938" t="str">
        <f t="shared" si="23"/>
        <v>NA</v>
      </c>
      <c r="G43" s="1938" t="str">
        <f t="shared" si="23"/>
        <v>NA</v>
      </c>
      <c r="H43" s="3014" t="s">
        <v>199</v>
      </c>
      <c r="I43" s="3066" t="s">
        <v>199</v>
      </c>
      <c r="J43" s="3066" t="s">
        <v>199</v>
      </c>
      <c r="K43" s="3052" t="s">
        <v>199</v>
      </c>
      <c r="L43" s="19"/>
    </row>
    <row r="44" spans="2:12" ht="18" customHeight="1" x14ac:dyDescent="0.2">
      <c r="B44" s="282" t="s">
        <v>248</v>
      </c>
      <c r="C44" s="3066" t="s">
        <v>199</v>
      </c>
      <c r="D44" s="3056" t="s">
        <v>205</v>
      </c>
      <c r="E44" s="1938" t="str">
        <f t="shared" si="24"/>
        <v>NA</v>
      </c>
      <c r="F44" s="1938" t="str">
        <f t="shared" si="23"/>
        <v>NA</v>
      </c>
      <c r="G44" s="1938" t="str">
        <f t="shared" si="23"/>
        <v>NA</v>
      </c>
      <c r="H44" s="3014" t="s">
        <v>199</v>
      </c>
      <c r="I44" s="3066" t="s">
        <v>199</v>
      </c>
      <c r="J44" s="3066" t="s">
        <v>199</v>
      </c>
      <c r="K44" s="3052" t="s">
        <v>199</v>
      </c>
      <c r="L44" s="19"/>
    </row>
    <row r="45" spans="2:12" ht="18" customHeight="1" x14ac:dyDescent="0.2">
      <c r="B45" s="282" t="s">
        <v>249</v>
      </c>
      <c r="C45" s="3066" t="s">
        <v>199</v>
      </c>
      <c r="D45" s="3056" t="s">
        <v>205</v>
      </c>
      <c r="E45" s="1938" t="str">
        <f t="shared" si="24"/>
        <v>NA</v>
      </c>
      <c r="F45" s="1938" t="str">
        <f t="shared" si="23"/>
        <v>NA</v>
      </c>
      <c r="G45" s="1938" t="str">
        <f t="shared" si="23"/>
        <v>NA</v>
      </c>
      <c r="H45" s="3014" t="s">
        <v>199</v>
      </c>
      <c r="I45" s="3066" t="s">
        <v>199</v>
      </c>
      <c r="J45" s="3066" t="s">
        <v>199</v>
      </c>
      <c r="K45" s="3052" t="s">
        <v>199</v>
      </c>
      <c r="L45" s="19"/>
    </row>
    <row r="46" spans="2:12" ht="18" customHeight="1" x14ac:dyDescent="0.2">
      <c r="B46" s="1238" t="s">
        <v>254</v>
      </c>
      <c r="C46" s="3065" t="s">
        <v>199</v>
      </c>
      <c r="D46" s="3056" t="s">
        <v>205</v>
      </c>
      <c r="E46" s="1939"/>
      <c r="F46" s="1939"/>
      <c r="G46" s="1939"/>
      <c r="H46" s="3065" t="str">
        <f>IF(SUM(H47:H51)=0,"NO",SUM(H47:H51))</f>
        <v>NO</v>
      </c>
      <c r="I46" s="3065" t="str">
        <f t="shared" ref="I46:K46" si="25">IF(SUM(I47:I52)=0,"NO",SUM(I47:I52))</f>
        <v>NO</v>
      </c>
      <c r="J46" s="3065" t="str">
        <f t="shared" si="25"/>
        <v>NO</v>
      </c>
      <c r="K46" s="3048" t="str">
        <f t="shared" si="25"/>
        <v>NO</v>
      </c>
      <c r="L46" s="19"/>
    </row>
    <row r="47" spans="2:12" ht="18" customHeight="1" x14ac:dyDescent="0.2">
      <c r="B47" s="160" t="s">
        <v>243</v>
      </c>
      <c r="C47" s="3066" t="s">
        <v>199</v>
      </c>
      <c r="D47" s="3056" t="s">
        <v>205</v>
      </c>
      <c r="E47" s="1938" t="str">
        <f>IFERROR(H47*1000/$C47,"NA")</f>
        <v>NA</v>
      </c>
      <c r="F47" s="1938" t="str">
        <f t="shared" ref="F47:G52" si="26">IFERROR(I47*1000000/$C47,"NA")</f>
        <v>NA</v>
      </c>
      <c r="G47" s="1938" t="str">
        <f t="shared" si="26"/>
        <v>NA</v>
      </c>
      <c r="H47" s="3066" t="s">
        <v>199</v>
      </c>
      <c r="I47" s="3066" t="s">
        <v>199</v>
      </c>
      <c r="J47" s="3066" t="s">
        <v>199</v>
      </c>
      <c r="K47" s="3052" t="s">
        <v>199</v>
      </c>
    </row>
    <row r="48" spans="2:12" ht="18" customHeight="1" x14ac:dyDescent="0.2">
      <c r="B48" s="160" t="s">
        <v>245</v>
      </c>
      <c r="C48" s="3066" t="s">
        <v>199</v>
      </c>
      <c r="D48" s="3056" t="s">
        <v>205</v>
      </c>
      <c r="E48" s="1938" t="str">
        <f t="shared" ref="E48:E52" si="27">IFERROR(H48*1000/$C48,"NA")</f>
        <v>NA</v>
      </c>
      <c r="F48" s="1938" t="str">
        <f t="shared" si="26"/>
        <v>NA</v>
      </c>
      <c r="G48" s="1938" t="str">
        <f t="shared" si="26"/>
        <v>NA</v>
      </c>
      <c r="H48" s="3066" t="s">
        <v>199</v>
      </c>
      <c r="I48" s="3066" t="s">
        <v>199</v>
      </c>
      <c r="J48" s="3066" t="s">
        <v>199</v>
      </c>
      <c r="K48" s="3052" t="s">
        <v>199</v>
      </c>
    </row>
    <row r="49" spans="2:12" ht="18" customHeight="1" x14ac:dyDescent="0.2">
      <c r="B49" s="160" t="s">
        <v>246</v>
      </c>
      <c r="C49" s="3066" t="s">
        <v>199</v>
      </c>
      <c r="D49" s="3056" t="s">
        <v>205</v>
      </c>
      <c r="E49" s="1938" t="str">
        <f t="shared" si="27"/>
        <v>NA</v>
      </c>
      <c r="F49" s="1938" t="str">
        <f t="shared" si="26"/>
        <v>NA</v>
      </c>
      <c r="G49" s="1938" t="str">
        <f t="shared" si="26"/>
        <v>NA</v>
      </c>
      <c r="H49" s="3066" t="s">
        <v>199</v>
      </c>
      <c r="I49" s="3066" t="s">
        <v>199</v>
      </c>
      <c r="J49" s="3066" t="s">
        <v>199</v>
      </c>
      <c r="K49" s="3052" t="s">
        <v>199</v>
      </c>
    </row>
    <row r="50" spans="2:12" ht="18" customHeight="1" x14ac:dyDescent="0.2">
      <c r="B50" s="282" t="s">
        <v>247</v>
      </c>
      <c r="C50" s="3066" t="s">
        <v>199</v>
      </c>
      <c r="D50" s="3056" t="s">
        <v>205</v>
      </c>
      <c r="E50" s="1938" t="str">
        <f t="shared" si="27"/>
        <v>NA</v>
      </c>
      <c r="F50" s="1938" t="str">
        <f t="shared" si="26"/>
        <v>NA</v>
      </c>
      <c r="G50" s="1938" t="str">
        <f t="shared" si="26"/>
        <v>NA</v>
      </c>
      <c r="H50" s="3014" t="s">
        <v>199</v>
      </c>
      <c r="I50" s="3066" t="s">
        <v>199</v>
      </c>
      <c r="J50" s="3066" t="s">
        <v>199</v>
      </c>
      <c r="K50" s="3052" t="s">
        <v>199</v>
      </c>
    </row>
    <row r="51" spans="2:12" ht="18" customHeight="1" x14ac:dyDescent="0.2">
      <c r="B51" s="282" t="s">
        <v>248</v>
      </c>
      <c r="C51" s="3066" t="s">
        <v>199</v>
      </c>
      <c r="D51" s="3056" t="s">
        <v>205</v>
      </c>
      <c r="E51" s="1938" t="str">
        <f t="shared" si="27"/>
        <v>NA</v>
      </c>
      <c r="F51" s="1938" t="str">
        <f t="shared" si="26"/>
        <v>NA</v>
      </c>
      <c r="G51" s="1938" t="str">
        <f t="shared" si="26"/>
        <v>NA</v>
      </c>
      <c r="H51" s="3014" t="s">
        <v>199</v>
      </c>
      <c r="I51" s="3066" t="s">
        <v>199</v>
      </c>
      <c r="J51" s="3066" t="s">
        <v>199</v>
      </c>
      <c r="K51" s="3052" t="s">
        <v>199</v>
      </c>
    </row>
    <row r="52" spans="2:12" ht="18" customHeight="1" x14ac:dyDescent="0.2">
      <c r="B52" s="282" t="s">
        <v>249</v>
      </c>
      <c r="C52" s="3066" t="s">
        <v>199</v>
      </c>
      <c r="D52" s="3056" t="s">
        <v>205</v>
      </c>
      <c r="E52" s="1938" t="str">
        <f t="shared" si="27"/>
        <v>NA</v>
      </c>
      <c r="F52" s="1938" t="str">
        <f t="shared" si="26"/>
        <v>NA</v>
      </c>
      <c r="G52" s="1938" t="str">
        <f t="shared" si="26"/>
        <v>NA</v>
      </c>
      <c r="H52" s="3014" t="s">
        <v>199</v>
      </c>
      <c r="I52" s="3066" t="s">
        <v>199</v>
      </c>
      <c r="J52" s="3066" t="s">
        <v>199</v>
      </c>
      <c r="K52" s="3052" t="s">
        <v>199</v>
      </c>
    </row>
    <row r="53" spans="2:12" ht="18" customHeight="1" x14ac:dyDescent="0.2">
      <c r="B53" s="1236" t="s">
        <v>177</v>
      </c>
      <c r="C53" s="3065">
        <f>IF(SUM(C54:C59)=0,"NO",SUM(C54:C59))</f>
        <v>86891.215357547131</v>
      </c>
      <c r="D53" s="3056" t="s">
        <v>97</v>
      </c>
      <c r="E53" s="615"/>
      <c r="F53" s="615"/>
      <c r="G53" s="615"/>
      <c r="H53" s="3065">
        <f>IF(SUM(H54:H58)=0,"NO",SUM(H54:H58))</f>
        <v>5319.7742183309902</v>
      </c>
      <c r="I53" s="3065">
        <f t="shared" ref="I53:K53" si="28">IF(SUM(I54:I59)=0,"NO",SUM(I54:I59))</f>
        <v>6.6274166312862648E-2</v>
      </c>
      <c r="J53" s="3065">
        <f t="shared" si="28"/>
        <v>4.4137277865418219E-2</v>
      </c>
      <c r="K53" s="3048" t="str">
        <f t="shared" si="28"/>
        <v>NO</v>
      </c>
      <c r="L53" s="19"/>
    </row>
    <row r="54" spans="2:12" ht="18" customHeight="1" x14ac:dyDescent="0.2">
      <c r="B54" s="160" t="s">
        <v>243</v>
      </c>
      <c r="C54" s="3014">
        <v>63291.215357547153</v>
      </c>
      <c r="D54" s="3056" t="s">
        <v>97</v>
      </c>
      <c r="E54" s="1938">
        <f>IFERROR(H54*1000/$C54,"NA")</f>
        <v>64.881878509142325</v>
      </c>
      <c r="F54" s="1938">
        <f t="shared" ref="F54:G59" si="29">IFERROR(I54*1000000/$C54,"NA")</f>
        <v>0.66374259313006545</v>
      </c>
      <c r="G54" s="1938">
        <f t="shared" si="29"/>
        <v>0.53902993473693672</v>
      </c>
      <c r="H54" s="3014">
        <v>4106.4529455243373</v>
      </c>
      <c r="I54" s="3014">
        <v>4.2009075403771773E-2</v>
      </c>
      <c r="J54" s="3014">
        <v>3.411585968360005E-2</v>
      </c>
      <c r="K54" s="3051" t="s">
        <v>199</v>
      </c>
    </row>
    <row r="55" spans="2:12" ht="18" customHeight="1" x14ac:dyDescent="0.2">
      <c r="B55" s="160" t="s">
        <v>245</v>
      </c>
      <c r="C55" s="3014" t="s">
        <v>199</v>
      </c>
      <c r="D55" s="3056" t="s">
        <v>97</v>
      </c>
      <c r="E55" s="1938" t="str">
        <f t="shared" ref="E55:E59" si="30">IFERROR(H55*1000/$C55,"NA")</f>
        <v>NA</v>
      </c>
      <c r="F55" s="1938" t="str">
        <f t="shared" si="29"/>
        <v>NA</v>
      </c>
      <c r="G55" s="1938" t="str">
        <f t="shared" si="29"/>
        <v>NA</v>
      </c>
      <c r="H55" s="3014" t="s">
        <v>199</v>
      </c>
      <c r="I55" s="3014" t="s">
        <v>199</v>
      </c>
      <c r="J55" s="3014" t="s">
        <v>199</v>
      </c>
      <c r="K55" s="3051" t="s">
        <v>199</v>
      </c>
    </row>
    <row r="56" spans="2:12" ht="18" customHeight="1" x14ac:dyDescent="0.2">
      <c r="B56" s="160" t="s">
        <v>246</v>
      </c>
      <c r="C56" s="3014">
        <v>23599.999999999982</v>
      </c>
      <c r="D56" s="3056" t="s">
        <v>97</v>
      </c>
      <c r="E56" s="1938">
        <f t="shared" si="30"/>
        <v>51.411918339264993</v>
      </c>
      <c r="F56" s="1938">
        <f t="shared" si="29"/>
        <v>1.0281818181818179</v>
      </c>
      <c r="G56" s="1938">
        <f t="shared" si="29"/>
        <v>0.42463636363636353</v>
      </c>
      <c r="H56" s="3014">
        <v>1213.3212728066528</v>
      </c>
      <c r="I56" s="3014">
        <v>2.4265090909090882E-2</v>
      </c>
      <c r="J56" s="3014">
        <v>1.0021418181818171E-2</v>
      </c>
      <c r="K56" s="3051" t="s">
        <v>199</v>
      </c>
    </row>
    <row r="57" spans="2:12" ht="18" customHeight="1" x14ac:dyDescent="0.2">
      <c r="B57" s="282" t="s">
        <v>247</v>
      </c>
      <c r="C57" s="3014" t="s">
        <v>199</v>
      </c>
      <c r="D57" s="3056" t="s">
        <v>97</v>
      </c>
      <c r="E57" s="1938" t="str">
        <f t="shared" si="30"/>
        <v>NA</v>
      </c>
      <c r="F57" s="1938" t="str">
        <f t="shared" si="29"/>
        <v>NA</v>
      </c>
      <c r="G57" s="1938" t="str">
        <f t="shared" si="29"/>
        <v>NA</v>
      </c>
      <c r="H57" s="3014" t="s">
        <v>199</v>
      </c>
      <c r="I57" s="3014" t="s">
        <v>199</v>
      </c>
      <c r="J57" s="3014" t="s">
        <v>199</v>
      </c>
      <c r="K57" s="3051" t="s">
        <v>199</v>
      </c>
    </row>
    <row r="58" spans="2:12" ht="18" customHeight="1" x14ac:dyDescent="0.2">
      <c r="B58" s="282" t="s">
        <v>248</v>
      </c>
      <c r="C58" s="3014" t="s">
        <v>199</v>
      </c>
      <c r="D58" s="3056" t="s">
        <v>97</v>
      </c>
      <c r="E58" s="1938" t="str">
        <f t="shared" si="30"/>
        <v>NA</v>
      </c>
      <c r="F58" s="1938" t="str">
        <f t="shared" si="29"/>
        <v>NA</v>
      </c>
      <c r="G58" s="1938" t="str">
        <f t="shared" si="29"/>
        <v>NA</v>
      </c>
      <c r="H58" s="3014" t="s">
        <v>199</v>
      </c>
      <c r="I58" s="3014" t="s">
        <v>199</v>
      </c>
      <c r="J58" s="3014" t="s">
        <v>199</v>
      </c>
      <c r="K58" s="3051" t="s">
        <v>199</v>
      </c>
    </row>
    <row r="59" spans="2:12" ht="18" customHeight="1" x14ac:dyDescent="0.2">
      <c r="B59" s="282" t="s">
        <v>249</v>
      </c>
      <c r="C59" s="3014" t="s">
        <v>199</v>
      </c>
      <c r="D59" s="3056" t="s">
        <v>97</v>
      </c>
      <c r="E59" s="1938" t="str">
        <f t="shared" si="30"/>
        <v>NA</v>
      </c>
      <c r="F59" s="1938" t="str">
        <f t="shared" si="29"/>
        <v>NA</v>
      </c>
      <c r="G59" s="1938" t="str">
        <f t="shared" si="29"/>
        <v>NA</v>
      </c>
      <c r="H59" s="3014" t="s">
        <v>199</v>
      </c>
      <c r="I59" s="3014" t="s">
        <v>199</v>
      </c>
      <c r="J59" s="3014" t="s">
        <v>199</v>
      </c>
      <c r="K59" s="3051" t="s">
        <v>199</v>
      </c>
    </row>
    <row r="60" spans="2:12" ht="18" customHeight="1" x14ac:dyDescent="0.2">
      <c r="B60" s="1236" t="s">
        <v>255</v>
      </c>
      <c r="C60" s="3065">
        <f>IF(SUM(C61:C66)=0,"NO",SUM(C61:C66))</f>
        <v>244121.41629622347</v>
      </c>
      <c r="D60" s="3056" t="s">
        <v>97</v>
      </c>
      <c r="E60" s="615"/>
      <c r="F60" s="615"/>
      <c r="G60" s="615"/>
      <c r="H60" s="3065">
        <f>IF(SUM(H61:H65)=0,"NO",SUM(H61:H65))</f>
        <v>14441.398707357019</v>
      </c>
      <c r="I60" s="3065">
        <f t="shared" ref="I60:K60" si="31">IF(SUM(I61:I66)=0,"NO",SUM(I61:I66))</f>
        <v>6.4562507945283416</v>
      </c>
      <c r="J60" s="3065">
        <f t="shared" si="31"/>
        <v>0.37165588249345727</v>
      </c>
      <c r="K60" s="3048" t="str">
        <f t="shared" si="31"/>
        <v>NO</v>
      </c>
      <c r="L60" s="19"/>
    </row>
    <row r="61" spans="2:12" ht="18" customHeight="1" x14ac:dyDescent="0.2">
      <c r="B61" s="160" t="s">
        <v>243</v>
      </c>
      <c r="C61" s="3053">
        <f>IF(SUM(C69,C76,C83)=0,"NO",SUM(C69,C76,C83))</f>
        <v>63755.85162575631</v>
      </c>
      <c r="D61" s="3056" t="s">
        <v>97</v>
      </c>
      <c r="E61" s="1938">
        <f>IFERROR(H61*1000/$C61,"NA")</f>
        <v>69.596901569001417</v>
      </c>
      <c r="F61" s="1938">
        <f t="shared" ref="F61:G66" si="32">IFERROR(I61*1000000/$C61,"NA")</f>
        <v>3.4539026541660349</v>
      </c>
      <c r="G61" s="1938">
        <f t="shared" si="32"/>
        <v>3.3516727597925242</v>
      </c>
      <c r="H61" s="3053">
        <f>IF(SUM(H69,H76,H83)=0,"NO",SUM(H69,H76,H83))</f>
        <v>4437.2097300456217</v>
      </c>
      <c r="I61" s="3053">
        <f>IF(SUM(I69,I76,I83)=0,"NO",SUM(I69,I76,I83))</f>
        <v>0.22020650514881562</v>
      </c>
      <c r="J61" s="3053">
        <f>IF(SUM(J69,J76,J83)=0,"NO",SUM(J69,J76,J83))</f>
        <v>0.21368875117142136</v>
      </c>
      <c r="K61" s="3067" t="str">
        <f>IF(SUM(K69,K76,K83)=0,"NO",SUM(K69,K76,K83))</f>
        <v>NO</v>
      </c>
    </row>
    <row r="62" spans="2:12" ht="18" customHeight="1" x14ac:dyDescent="0.2">
      <c r="B62" s="160" t="s">
        <v>245</v>
      </c>
      <c r="C62" s="3053">
        <f t="shared" ref="C62:C66" si="33">IF(SUM(C70,C77,C84)=0,"NO",SUM(C70,C77,C84))</f>
        <v>22518.775132649949</v>
      </c>
      <c r="D62" s="3056" t="s">
        <v>97</v>
      </c>
      <c r="E62" s="1938">
        <f t="shared" ref="E62:E66" si="34">IFERROR(H62*1000/$C62,"NA")</f>
        <v>84.21782801382237</v>
      </c>
      <c r="F62" s="1938">
        <f t="shared" si="32"/>
        <v>0.96056355977929242</v>
      </c>
      <c r="G62" s="1938">
        <f t="shared" si="32"/>
        <v>0.78343832013078685</v>
      </c>
      <c r="H62" s="3053">
        <f t="shared" ref="H62:K66" si="35">IF(SUM(H70,H77,H84)=0,"NO",SUM(H70,H77,H84))</f>
        <v>1896.4823312034534</v>
      </c>
      <c r="I62" s="3053">
        <f t="shared" si="35"/>
        <v>2.1630714803287644E-2</v>
      </c>
      <c r="J62" s="3053">
        <f t="shared" si="35"/>
        <v>1.7642071361326211E-2</v>
      </c>
      <c r="K62" s="3067" t="str">
        <f t="shared" si="35"/>
        <v>NO</v>
      </c>
    </row>
    <row r="63" spans="2:12" ht="18" customHeight="1" x14ac:dyDescent="0.2">
      <c r="B63" s="160" t="s">
        <v>246</v>
      </c>
      <c r="C63" s="3053">
        <f t="shared" si="33"/>
        <v>157695.60064348494</v>
      </c>
      <c r="D63" s="3056" t="s">
        <v>97</v>
      </c>
      <c r="E63" s="1938">
        <f t="shared" si="34"/>
        <v>51.413651446356354</v>
      </c>
      <c r="F63" s="1938">
        <f t="shared" si="32"/>
        <v>39.404204270246581</v>
      </c>
      <c r="G63" s="1938">
        <f t="shared" si="32"/>
        <v>0.88640750765353304</v>
      </c>
      <c r="H63" s="3053">
        <f t="shared" si="35"/>
        <v>8107.7066461079439</v>
      </c>
      <c r="I63" s="3053">
        <f t="shared" si="35"/>
        <v>6.2138696602751091</v>
      </c>
      <c r="J63" s="3053">
        <f t="shared" si="35"/>
        <v>0.13978256433431835</v>
      </c>
      <c r="K63" s="3067" t="str">
        <f t="shared" si="35"/>
        <v>NO</v>
      </c>
    </row>
    <row r="64" spans="2:12" ht="18" customHeight="1" x14ac:dyDescent="0.2">
      <c r="B64" s="282" t="s">
        <v>247</v>
      </c>
      <c r="C64" s="3053" t="str">
        <f t="shared" si="33"/>
        <v>NO</v>
      </c>
      <c r="D64" s="3056" t="s">
        <v>97</v>
      </c>
      <c r="E64" s="1938" t="str">
        <f t="shared" si="34"/>
        <v>NA</v>
      </c>
      <c r="F64" s="1938" t="str">
        <f t="shared" si="32"/>
        <v>NA</v>
      </c>
      <c r="G64" s="1938" t="str">
        <f t="shared" si="32"/>
        <v>NA</v>
      </c>
      <c r="H64" s="3053" t="str">
        <f t="shared" si="35"/>
        <v>NO</v>
      </c>
      <c r="I64" s="3053" t="str">
        <f t="shared" si="35"/>
        <v>NO</v>
      </c>
      <c r="J64" s="3053" t="str">
        <f t="shared" si="35"/>
        <v>NO</v>
      </c>
      <c r="K64" s="3067" t="str">
        <f t="shared" si="35"/>
        <v>NO</v>
      </c>
    </row>
    <row r="65" spans="2:11" ht="18" customHeight="1" x14ac:dyDescent="0.2">
      <c r="B65" s="282" t="s">
        <v>248</v>
      </c>
      <c r="C65" s="3053" t="str">
        <f t="shared" si="33"/>
        <v>NO</v>
      </c>
      <c r="D65" s="3056" t="s">
        <v>97</v>
      </c>
      <c r="E65" s="1938" t="str">
        <f t="shared" si="34"/>
        <v>NA</v>
      </c>
      <c r="F65" s="1938" t="str">
        <f t="shared" si="32"/>
        <v>NA</v>
      </c>
      <c r="G65" s="1938" t="str">
        <f t="shared" si="32"/>
        <v>NA</v>
      </c>
      <c r="H65" s="3053" t="str">
        <f t="shared" si="35"/>
        <v>NO</v>
      </c>
      <c r="I65" s="3053" t="str">
        <f t="shared" si="35"/>
        <v>NO</v>
      </c>
      <c r="J65" s="3053" t="str">
        <f t="shared" si="35"/>
        <v>NO</v>
      </c>
      <c r="K65" s="3067" t="str">
        <f t="shared" si="35"/>
        <v>NO</v>
      </c>
    </row>
    <row r="66" spans="2:11" ht="18" customHeight="1" x14ac:dyDescent="0.2">
      <c r="B66" s="282" t="s">
        <v>249</v>
      </c>
      <c r="C66" s="3053">
        <f t="shared" si="33"/>
        <v>151.18889433226352</v>
      </c>
      <c r="D66" s="3056" t="s">
        <v>97</v>
      </c>
      <c r="E66" s="1938">
        <f t="shared" si="34"/>
        <v>68.109668109668092</v>
      </c>
      <c r="F66" s="1938">
        <f t="shared" si="32"/>
        <v>3.5975810493976876</v>
      </c>
      <c r="G66" s="1938">
        <f t="shared" si="32"/>
        <v>3.5881975907510708</v>
      </c>
      <c r="H66" s="3053">
        <f t="shared" si="35"/>
        <v>10.297425414838148</v>
      </c>
      <c r="I66" s="3053">
        <f t="shared" si="35"/>
        <v>5.4391430112914066E-4</v>
      </c>
      <c r="J66" s="3053">
        <f t="shared" si="35"/>
        <v>5.4249562639134617E-4</v>
      </c>
      <c r="K66" s="3067" t="str">
        <f t="shared" si="35"/>
        <v>NO</v>
      </c>
    </row>
    <row r="67" spans="2:11" ht="18" customHeight="1" x14ac:dyDescent="0.2">
      <c r="B67" s="1242" t="s">
        <v>251</v>
      </c>
      <c r="C67" s="3062"/>
      <c r="D67" s="3049"/>
      <c r="E67" s="3049"/>
      <c r="F67" s="3049"/>
      <c r="G67" s="3049"/>
      <c r="H67" s="3049"/>
      <c r="I67" s="3049"/>
      <c r="J67" s="3049"/>
      <c r="K67" s="3050"/>
    </row>
    <row r="68" spans="2:11" ht="18" customHeight="1" x14ac:dyDescent="0.2">
      <c r="B68" s="1237" t="s">
        <v>256</v>
      </c>
      <c r="C68" s="3065">
        <f>IF(SUM(C69:C74)=0,"NO",SUM(C69:C74))</f>
        <v>23343.543590801793</v>
      </c>
      <c r="D68" s="3056" t="s">
        <v>97</v>
      </c>
      <c r="E68" s="615"/>
      <c r="F68" s="615"/>
      <c r="G68" s="615"/>
      <c r="H68" s="3065">
        <f>IF(SUM(H69:H73)=0,"NO",SUM(H69:H73))</f>
        <v>1954.4840093640025</v>
      </c>
      <c r="I68" s="3065">
        <f t="shared" ref="I68:K68" si="36">IF(SUM(I69:I74)=0,"NO",SUM(I69:I74))</f>
        <v>2.3494756342658123E-2</v>
      </c>
      <c r="J68" s="3065">
        <f t="shared" si="36"/>
        <v>1.8180425034292076E-2</v>
      </c>
      <c r="K68" s="3048" t="str">
        <f t="shared" si="36"/>
        <v>NO</v>
      </c>
    </row>
    <row r="69" spans="2:11" ht="18" customHeight="1" x14ac:dyDescent="0.2">
      <c r="B69" s="282" t="s">
        <v>243</v>
      </c>
      <c r="C69" s="3014">
        <v>943.04045815184554</v>
      </c>
      <c r="D69" s="3055" t="s">
        <v>97</v>
      </c>
      <c r="E69" s="1938">
        <f>IFERROR(H69*1000/$C69,"NA")</f>
        <v>73.419456781567618</v>
      </c>
      <c r="F69" s="1938">
        <f t="shared" ref="F69:G74" si="37">IFERROR(I69*1000000/$C69,"NA")</f>
        <v>2.0960728909174757</v>
      </c>
      <c r="G69" s="1938">
        <f t="shared" si="37"/>
        <v>0.66609049011206256</v>
      </c>
      <c r="H69" s="3014">
        <v>69.237518160549158</v>
      </c>
      <c r="I69" s="3014">
        <v>1.9766815393704798E-3</v>
      </c>
      <c r="J69" s="3014">
        <v>6.2815028096586685E-4</v>
      </c>
      <c r="K69" s="3051" t="s">
        <v>199</v>
      </c>
    </row>
    <row r="70" spans="2:11" ht="18" customHeight="1" x14ac:dyDescent="0.2">
      <c r="B70" s="282" t="s">
        <v>245</v>
      </c>
      <c r="C70" s="3014">
        <v>22400.503132649948</v>
      </c>
      <c r="D70" s="3055" t="s">
        <v>97</v>
      </c>
      <c r="E70" s="1938">
        <f t="shared" ref="E70:E74" si="38">IFERROR(H70*1000/$C70,"NA")</f>
        <v>84.160899424424287</v>
      </c>
      <c r="F70" s="1938">
        <f t="shared" si="37"/>
        <v>0.96060676297595671</v>
      </c>
      <c r="G70" s="1938">
        <f t="shared" si="37"/>
        <v>0.78356609444824565</v>
      </c>
      <c r="H70" s="3014">
        <v>1885.2464912034534</v>
      </c>
      <c r="I70" s="3014">
        <v>2.1518074803287643E-2</v>
      </c>
      <c r="J70" s="3014">
        <v>1.755227475332621E-2</v>
      </c>
      <c r="K70" s="3051" t="s">
        <v>199</v>
      </c>
    </row>
    <row r="71" spans="2:11" ht="18" customHeight="1" x14ac:dyDescent="0.2">
      <c r="B71" s="160" t="s">
        <v>246</v>
      </c>
      <c r="C71" s="3014" t="s">
        <v>199</v>
      </c>
      <c r="D71" s="3055" t="s">
        <v>97</v>
      </c>
      <c r="E71" s="1938" t="str">
        <f t="shared" si="38"/>
        <v>NA</v>
      </c>
      <c r="F71" s="1938" t="str">
        <f t="shared" si="37"/>
        <v>NA</v>
      </c>
      <c r="G71" s="1938" t="str">
        <f t="shared" si="37"/>
        <v>NA</v>
      </c>
      <c r="H71" s="3014" t="s">
        <v>199</v>
      </c>
      <c r="I71" s="3014" t="s">
        <v>199</v>
      </c>
      <c r="J71" s="3014" t="s">
        <v>199</v>
      </c>
      <c r="K71" s="3051" t="s">
        <v>199</v>
      </c>
    </row>
    <row r="72" spans="2:11" ht="18" customHeight="1" x14ac:dyDescent="0.2">
      <c r="B72" s="282" t="s">
        <v>247</v>
      </c>
      <c r="C72" s="3014" t="s">
        <v>199</v>
      </c>
      <c r="D72" s="3055" t="s">
        <v>97</v>
      </c>
      <c r="E72" s="1938" t="str">
        <f t="shared" si="38"/>
        <v>NA</v>
      </c>
      <c r="F72" s="1938" t="str">
        <f t="shared" si="37"/>
        <v>NA</v>
      </c>
      <c r="G72" s="1938" t="str">
        <f t="shared" si="37"/>
        <v>NA</v>
      </c>
      <c r="H72" s="3014" t="s">
        <v>199</v>
      </c>
      <c r="I72" s="3014" t="s">
        <v>199</v>
      </c>
      <c r="J72" s="3014" t="s">
        <v>199</v>
      </c>
      <c r="K72" s="3051" t="s">
        <v>199</v>
      </c>
    </row>
    <row r="73" spans="2:11" ht="18" customHeight="1" x14ac:dyDescent="0.2">
      <c r="B73" s="282" t="s">
        <v>248</v>
      </c>
      <c r="C73" s="3014" t="s">
        <v>199</v>
      </c>
      <c r="D73" s="3055" t="s">
        <v>97</v>
      </c>
      <c r="E73" s="1938" t="str">
        <f t="shared" si="38"/>
        <v>NA</v>
      </c>
      <c r="F73" s="1938" t="str">
        <f t="shared" si="37"/>
        <v>NA</v>
      </c>
      <c r="G73" s="1938" t="str">
        <f t="shared" si="37"/>
        <v>NA</v>
      </c>
      <c r="H73" s="3014" t="s">
        <v>199</v>
      </c>
      <c r="I73" s="3014" t="s">
        <v>199</v>
      </c>
      <c r="J73" s="3014" t="s">
        <v>199</v>
      </c>
      <c r="K73" s="3051" t="s">
        <v>199</v>
      </c>
    </row>
    <row r="74" spans="2:11" ht="18" customHeight="1" x14ac:dyDescent="0.2">
      <c r="B74" s="282" t="s">
        <v>249</v>
      </c>
      <c r="C74" s="3014" t="s">
        <v>199</v>
      </c>
      <c r="D74" s="3055" t="s">
        <v>97</v>
      </c>
      <c r="E74" s="1938" t="str">
        <f t="shared" si="38"/>
        <v>NA</v>
      </c>
      <c r="F74" s="1938" t="str">
        <f t="shared" si="37"/>
        <v>NA</v>
      </c>
      <c r="G74" s="1938" t="str">
        <f t="shared" si="37"/>
        <v>NA</v>
      </c>
      <c r="H74" s="3014" t="s">
        <v>199</v>
      </c>
      <c r="I74" s="3014" t="s">
        <v>199</v>
      </c>
      <c r="J74" s="3014" t="s">
        <v>199</v>
      </c>
      <c r="K74" s="3051" t="s">
        <v>199</v>
      </c>
    </row>
    <row r="75" spans="2:11" ht="18" customHeight="1" x14ac:dyDescent="0.2">
      <c r="B75" s="1238" t="s">
        <v>257</v>
      </c>
      <c r="C75" s="3065">
        <f>IF(SUM(C76:C81)=0,"NO",SUM(C76:C81))</f>
        <v>153421.10615830723</v>
      </c>
      <c r="D75" s="3056" t="s">
        <v>97</v>
      </c>
      <c r="E75" s="615"/>
      <c r="F75" s="615"/>
      <c r="G75" s="615"/>
      <c r="H75" s="3065">
        <f>IF(SUM(H76:H80)=0,"NO",SUM(H76:H80))</f>
        <v>7980.9292023628659</v>
      </c>
      <c r="I75" s="3065">
        <f t="shared" ref="I75:K75" si="39">IF(SUM(I76:I81)=0,"NO",SUM(I76:I81))</f>
        <v>6.1923374482883125</v>
      </c>
      <c r="J75" s="3065">
        <f t="shared" si="39"/>
        <v>0.14098813442270097</v>
      </c>
      <c r="K75" s="3048" t="str">
        <f t="shared" si="39"/>
        <v>NO</v>
      </c>
    </row>
    <row r="76" spans="2:11" ht="18" customHeight="1" x14ac:dyDescent="0.2">
      <c r="B76" s="282" t="s">
        <v>243</v>
      </c>
      <c r="C76" s="3014">
        <v>6176.5839699192238</v>
      </c>
      <c r="D76" s="3055" t="s">
        <v>97</v>
      </c>
      <c r="E76" s="1938">
        <f>IFERROR(H76*1000/$C76,"NA")</f>
        <v>66.51020268000056</v>
      </c>
      <c r="F76" s="1938">
        <f t="shared" ref="F76:G81" si="40">IFERROR(I76*1000000/$C76,"NA")</f>
        <v>2.2683083167030875</v>
      </c>
      <c r="G76" s="1938">
        <f t="shared" si="40"/>
        <v>1.7329164582578422</v>
      </c>
      <c r="H76" s="3014">
        <v>410.80585170937007</v>
      </c>
      <c r="I76" s="3014">
        <v>1.4010396787782748E-2</v>
      </c>
      <c r="J76" s="3014">
        <v>1.0703504017284584E-2</v>
      </c>
      <c r="K76" s="3051" t="s">
        <v>199</v>
      </c>
    </row>
    <row r="77" spans="2:11" ht="18" customHeight="1" x14ac:dyDescent="0.2">
      <c r="B77" s="282" t="s">
        <v>245</v>
      </c>
      <c r="C77" s="3014" t="s">
        <v>199</v>
      </c>
      <c r="D77" s="3055" t="s">
        <v>97</v>
      </c>
      <c r="E77" s="1938" t="str">
        <f t="shared" ref="E77:E81" si="41">IFERROR(H77*1000/$C77,"NA")</f>
        <v>NA</v>
      </c>
      <c r="F77" s="1938" t="str">
        <f t="shared" si="40"/>
        <v>NA</v>
      </c>
      <c r="G77" s="1938" t="str">
        <f t="shared" si="40"/>
        <v>NA</v>
      </c>
      <c r="H77" s="3014" t="s">
        <v>199</v>
      </c>
      <c r="I77" s="3014" t="s">
        <v>199</v>
      </c>
      <c r="J77" s="3014" t="s">
        <v>199</v>
      </c>
      <c r="K77" s="3051" t="s">
        <v>199</v>
      </c>
    </row>
    <row r="78" spans="2:11" ht="18" customHeight="1" x14ac:dyDescent="0.2">
      <c r="B78" s="160" t="s">
        <v>246</v>
      </c>
      <c r="C78" s="3014">
        <v>147244.52218838801</v>
      </c>
      <c r="D78" s="3055" t="s">
        <v>97</v>
      </c>
      <c r="E78" s="1938">
        <f t="shared" si="41"/>
        <v>51.411918339264986</v>
      </c>
      <c r="F78" s="1938">
        <f t="shared" si="40"/>
        <v>41.959639378610206</v>
      </c>
      <c r="G78" s="1938">
        <f t="shared" si="40"/>
        <v>0.88481818181818161</v>
      </c>
      <c r="H78" s="3014">
        <v>7570.1233506534954</v>
      </c>
      <c r="I78" s="3014">
        <v>6.1783270515005295</v>
      </c>
      <c r="J78" s="3014">
        <v>0.13028463040541638</v>
      </c>
      <c r="K78" s="3051" t="s">
        <v>199</v>
      </c>
    </row>
    <row r="79" spans="2:11" ht="18" customHeight="1" x14ac:dyDescent="0.2">
      <c r="B79" s="282" t="s">
        <v>247</v>
      </c>
      <c r="C79" s="3014" t="s">
        <v>199</v>
      </c>
      <c r="D79" s="3055" t="s">
        <v>97</v>
      </c>
      <c r="E79" s="1938" t="str">
        <f t="shared" si="41"/>
        <v>NA</v>
      </c>
      <c r="F79" s="1938" t="str">
        <f t="shared" si="40"/>
        <v>NA</v>
      </c>
      <c r="G79" s="1938" t="str">
        <f t="shared" si="40"/>
        <v>NA</v>
      </c>
      <c r="H79" s="3014" t="s">
        <v>199</v>
      </c>
      <c r="I79" s="3014" t="s">
        <v>199</v>
      </c>
      <c r="J79" s="3014" t="s">
        <v>199</v>
      </c>
      <c r="K79" s="3051" t="s">
        <v>199</v>
      </c>
    </row>
    <row r="80" spans="2:11" ht="18" customHeight="1" x14ac:dyDescent="0.2">
      <c r="B80" s="282" t="s">
        <v>248</v>
      </c>
      <c r="C80" s="3014" t="s">
        <v>199</v>
      </c>
      <c r="D80" s="3055" t="s">
        <v>97</v>
      </c>
      <c r="E80" s="1938" t="str">
        <f t="shared" si="41"/>
        <v>NA</v>
      </c>
      <c r="F80" s="1938" t="str">
        <f t="shared" si="40"/>
        <v>NA</v>
      </c>
      <c r="G80" s="1938" t="str">
        <f t="shared" si="40"/>
        <v>NA</v>
      </c>
      <c r="H80" s="3014" t="s">
        <v>199</v>
      </c>
      <c r="I80" s="3014" t="s">
        <v>199</v>
      </c>
      <c r="J80" s="3014" t="s">
        <v>199</v>
      </c>
      <c r="K80" s="3051" t="s">
        <v>199</v>
      </c>
    </row>
    <row r="81" spans="2:11" ht="18" customHeight="1" x14ac:dyDescent="0.2">
      <c r="B81" s="282" t="s">
        <v>249</v>
      </c>
      <c r="C81" s="3014" t="s">
        <v>199</v>
      </c>
      <c r="D81" s="3055" t="s">
        <v>97</v>
      </c>
      <c r="E81" s="1938" t="str">
        <f t="shared" si="41"/>
        <v>NA</v>
      </c>
      <c r="F81" s="1938" t="str">
        <f t="shared" si="40"/>
        <v>NA</v>
      </c>
      <c r="G81" s="1938" t="str">
        <f t="shared" si="40"/>
        <v>NA</v>
      </c>
      <c r="H81" s="3014" t="s">
        <v>199</v>
      </c>
      <c r="I81" s="3014" t="s">
        <v>199</v>
      </c>
      <c r="J81" s="3014" t="s">
        <v>199</v>
      </c>
      <c r="K81" s="3051" t="s">
        <v>199</v>
      </c>
    </row>
    <row r="82" spans="2:11" ht="18" customHeight="1" x14ac:dyDescent="0.2">
      <c r="B82" s="1238" t="s">
        <v>258</v>
      </c>
      <c r="C82" s="3065">
        <f>IF(SUM(C83:C88)=0,"NO",SUM(C83:C88))</f>
        <v>67356.766547114443</v>
      </c>
      <c r="D82" s="3056" t="s">
        <v>97</v>
      </c>
      <c r="E82" s="615"/>
      <c r="F82" s="615"/>
      <c r="G82" s="615"/>
      <c r="H82" s="3065">
        <f>IF(SUM(H83:H87)=0,"NO",SUM(H83:H87))</f>
        <v>4505.9854956301515</v>
      </c>
      <c r="I82" s="3065">
        <f t="shared" ref="I82:K82" si="42">IF(SUM(I83:I88)=0,"NO",SUM(I83:I88))</f>
        <v>0.24041858989737117</v>
      </c>
      <c r="J82" s="3065">
        <f t="shared" si="42"/>
        <v>0.21248732303646423</v>
      </c>
      <c r="K82" s="3048" t="str">
        <f t="shared" si="42"/>
        <v>NO</v>
      </c>
    </row>
    <row r="83" spans="2:11" ht="18" customHeight="1" x14ac:dyDescent="0.2">
      <c r="B83" s="282" t="s">
        <v>243</v>
      </c>
      <c r="C83" s="3014">
        <v>56636.227197685243</v>
      </c>
      <c r="D83" s="3055" t="s">
        <v>97</v>
      </c>
      <c r="E83" s="1938">
        <f>IFERROR(H83*1000/$C83,"NA")</f>
        <v>69.86987933294813</v>
      </c>
      <c r="F83" s="1938">
        <f t="shared" ref="F83:G88" si="43">IFERROR(I83*1000000/$C83,"NA")</f>
        <v>3.6058091600778264</v>
      </c>
      <c r="G83" s="1938">
        <f t="shared" si="43"/>
        <v>3.5729268506331819</v>
      </c>
      <c r="H83" s="3014">
        <v>3957.1663601757027</v>
      </c>
      <c r="I83" s="3014">
        <v>0.20421942682166239</v>
      </c>
      <c r="J83" s="3014">
        <v>0.20235709687317091</v>
      </c>
      <c r="K83" s="3051" t="s">
        <v>199</v>
      </c>
    </row>
    <row r="84" spans="2:11" ht="18" customHeight="1" x14ac:dyDescent="0.2">
      <c r="B84" s="282" t="s">
        <v>245</v>
      </c>
      <c r="C84" s="3014">
        <v>118.27200000000002</v>
      </c>
      <c r="D84" s="3055" t="s">
        <v>97</v>
      </c>
      <c r="E84" s="1938">
        <f t="shared" ref="E84:E88" si="44">IFERROR(H84*1000/$C84,"NA")</f>
        <v>95</v>
      </c>
      <c r="F84" s="1938">
        <f t="shared" si="43"/>
        <v>0.95238095238095233</v>
      </c>
      <c r="G84" s="1938">
        <f t="shared" si="43"/>
        <v>0.75923809523809516</v>
      </c>
      <c r="H84" s="3014">
        <v>11.235840000000001</v>
      </c>
      <c r="I84" s="3014">
        <v>1.1264000000000002E-4</v>
      </c>
      <c r="J84" s="3014">
        <v>8.9796608000000002E-5</v>
      </c>
      <c r="K84" s="3051" t="s">
        <v>199</v>
      </c>
    </row>
    <row r="85" spans="2:11" ht="18" customHeight="1" x14ac:dyDescent="0.2">
      <c r="B85" s="282" t="s">
        <v>246</v>
      </c>
      <c r="C85" s="3014">
        <v>10451.078455096929</v>
      </c>
      <c r="D85" s="3055" t="s">
        <v>97</v>
      </c>
      <c r="E85" s="1938">
        <f t="shared" si="44"/>
        <v>51.438069072409675</v>
      </c>
      <c r="F85" s="1938">
        <f t="shared" si="43"/>
        <v>3.4008556080875789</v>
      </c>
      <c r="G85" s="1938">
        <f t="shared" si="43"/>
        <v>0.90879940952599692</v>
      </c>
      <c r="H85" s="3014">
        <v>537.58329545444849</v>
      </c>
      <c r="I85" s="3014">
        <v>3.5542608774579661E-2</v>
      </c>
      <c r="J85" s="3014">
        <v>9.4979339289019572E-3</v>
      </c>
      <c r="K85" s="3051" t="s">
        <v>199</v>
      </c>
    </row>
    <row r="86" spans="2:11" ht="18" customHeight="1" x14ac:dyDescent="0.2">
      <c r="B86" s="282" t="s">
        <v>247</v>
      </c>
      <c r="C86" s="3014" t="s">
        <v>199</v>
      </c>
      <c r="D86" s="3055" t="s">
        <v>97</v>
      </c>
      <c r="E86" s="1938" t="str">
        <f t="shared" si="44"/>
        <v>NA</v>
      </c>
      <c r="F86" s="1938" t="str">
        <f t="shared" si="43"/>
        <v>NA</v>
      </c>
      <c r="G86" s="1938" t="str">
        <f t="shared" si="43"/>
        <v>NA</v>
      </c>
      <c r="H86" s="3014" t="s">
        <v>199</v>
      </c>
      <c r="I86" s="3014" t="s">
        <v>199</v>
      </c>
      <c r="J86" s="3014" t="s">
        <v>199</v>
      </c>
      <c r="K86" s="3051" t="s">
        <v>199</v>
      </c>
    </row>
    <row r="87" spans="2:11" ht="18" customHeight="1" x14ac:dyDescent="0.2">
      <c r="B87" s="282" t="s">
        <v>248</v>
      </c>
      <c r="C87" s="3014" t="s">
        <v>199</v>
      </c>
      <c r="D87" s="3055" t="s">
        <v>97</v>
      </c>
      <c r="E87" s="1938" t="str">
        <f t="shared" si="44"/>
        <v>NA</v>
      </c>
      <c r="F87" s="1938" t="str">
        <f t="shared" si="43"/>
        <v>NA</v>
      </c>
      <c r="G87" s="1938" t="str">
        <f t="shared" si="43"/>
        <v>NA</v>
      </c>
      <c r="H87" s="3014" t="s">
        <v>199</v>
      </c>
      <c r="I87" s="3014" t="s">
        <v>199</v>
      </c>
      <c r="J87" s="3014" t="s">
        <v>199</v>
      </c>
      <c r="K87" s="3051" t="s">
        <v>199</v>
      </c>
    </row>
    <row r="88" spans="2:11" ht="18" customHeight="1" thickBot="1" x14ac:dyDescent="0.25">
      <c r="B88" s="2210" t="s">
        <v>249</v>
      </c>
      <c r="C88" s="3021">
        <v>151.18889433226352</v>
      </c>
      <c r="D88" s="3063" t="s">
        <v>97</v>
      </c>
      <c r="E88" s="2891">
        <f t="shared" si="44"/>
        <v>68.109668109668092</v>
      </c>
      <c r="F88" s="2891">
        <f t="shared" si="43"/>
        <v>3.5975810493976876</v>
      </c>
      <c r="G88" s="2891">
        <f t="shared" si="43"/>
        <v>3.5881975907510708</v>
      </c>
      <c r="H88" s="3021">
        <v>10.297425414838148</v>
      </c>
      <c r="I88" s="3021">
        <v>5.4391430112914066E-4</v>
      </c>
      <c r="J88" s="3021">
        <v>5.4249562639134617E-4</v>
      </c>
      <c r="K88" s="3054" t="s">
        <v>199</v>
      </c>
    </row>
    <row r="90" spans="2:11" ht="12" customHeight="1" x14ac:dyDescent="0.2">
      <c r="B90" s="2044"/>
      <c r="C90" s="2044"/>
    </row>
    <row r="92" spans="2:11" ht="12" customHeight="1" x14ac:dyDescent="0.2">
      <c r="B92" s="2211"/>
      <c r="C92" s="2211"/>
      <c r="D92" s="2211"/>
      <c r="E92" s="2211"/>
      <c r="F92" s="2211"/>
      <c r="G92" s="2212"/>
      <c r="H92" s="2212"/>
      <c r="I92" s="2212"/>
      <c r="J92" s="2213"/>
      <c r="K92" s="2213"/>
    </row>
    <row r="93" spans="2:11" ht="12" customHeight="1" x14ac:dyDescent="0.2">
      <c r="B93" s="2214"/>
      <c r="C93" s="2214"/>
      <c r="D93" s="2214"/>
      <c r="E93" s="2214"/>
      <c r="F93" s="2214"/>
      <c r="G93" s="2214"/>
      <c r="H93" s="2214"/>
      <c r="I93" s="2214"/>
      <c r="J93" s="2214"/>
    </row>
    <row r="94" spans="2:11" ht="12" customHeight="1" x14ac:dyDescent="0.2">
      <c r="B94" s="2214"/>
      <c r="C94" s="2214"/>
      <c r="D94" s="2214"/>
      <c r="E94" s="2214"/>
      <c r="F94" s="2214"/>
      <c r="G94" s="2214"/>
      <c r="H94" s="2214"/>
      <c r="I94" s="2214"/>
      <c r="J94" s="2214"/>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303" customWidth="1"/>
    <col min="11" max="12" width="12.5703125" style="83" customWidth="1"/>
    <col min="13" max="13" width="15" style="83" customWidth="1"/>
    <col min="14" max="16384" width="9.140625" style="83"/>
  </cols>
  <sheetData>
    <row r="1" spans="2:13" ht="15.75" customHeight="1" x14ac:dyDescent="0.25">
      <c r="B1" s="13" t="s">
        <v>1651</v>
      </c>
      <c r="C1" s="13"/>
      <c r="L1" s="14" t="s">
        <v>2460</v>
      </c>
    </row>
    <row r="2" spans="2:13" ht="18.75" x14ac:dyDescent="0.25">
      <c r="B2" s="525" t="s">
        <v>1652</v>
      </c>
      <c r="C2" s="525"/>
      <c r="L2" s="14" t="s">
        <v>2461</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5"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408" t="s">
        <v>171</v>
      </c>
      <c r="K9" s="4409"/>
      <c r="L9" s="4410"/>
    </row>
    <row r="10" spans="2:13" ht="18" customHeight="1" thickTop="1" thickBot="1" x14ac:dyDescent="0.25">
      <c r="B10" s="935" t="s">
        <v>1660</v>
      </c>
      <c r="C10" s="4342"/>
      <c r="D10" s="4343"/>
      <c r="E10" s="4344" t="s">
        <v>1661</v>
      </c>
      <c r="F10" s="4345">
        <f>IF(SUM(F11,F25,F36,F48,F59,F70,F76)=0,"NO",SUM(F11,F25,F36,F48,F59,F70,F76))</f>
        <v>62366997.486519694</v>
      </c>
      <c r="G10" s="4346" t="s">
        <v>205</v>
      </c>
      <c r="H10" s="4347">
        <f t="shared" ref="H10:H13" si="0">IF(SUM($F10)=0,"NA",K10*1000/$F10)</f>
        <v>1.1470675054619243E-2</v>
      </c>
      <c r="I10" s="4348">
        <f t="shared" ref="I10:I13" si="1">IF(SUM($F10)=0,"NA",L10*1000/$F10)</f>
        <v>2.5594987625374502E-4</v>
      </c>
      <c r="J10" s="4349" t="str">
        <f>IF(SUM(J11,J25,J36,J48,J59,J70,J76)=0,"IE",SUM(J11,J25,J36,J48,J59,J70,J76))</f>
        <v>IE</v>
      </c>
      <c r="K10" s="4350">
        <f>IF(SUM(K11,K25,K36,K48,K59,K70,K76)=0,"NO",SUM(K11,K25,K36,K48,K59,K70,K76))</f>
        <v>715.39156230012247</v>
      </c>
      <c r="L10" s="4351">
        <f>IF(SUM(L11,L25,L36,L48,L59,L70,L76)=0,"NO",SUM(L11,L25,L36,L48,L59,L70,L76))</f>
        <v>15.962825288992342</v>
      </c>
    </row>
    <row r="11" spans="2:13" ht="18" customHeight="1" x14ac:dyDescent="0.2">
      <c r="B11" s="934" t="s">
        <v>1662</v>
      </c>
      <c r="C11" s="4352"/>
      <c r="D11" s="4353"/>
      <c r="E11" s="2866" t="s">
        <v>1661</v>
      </c>
      <c r="F11" s="4354">
        <f>IF(SUM(F12,F19)=0,"NO",SUM(F12,F19))</f>
        <v>9596586.5959299505</v>
      </c>
      <c r="G11" s="4355" t="s">
        <v>205</v>
      </c>
      <c r="H11" s="4356">
        <f t="shared" si="0"/>
        <v>2.9583444045799445E-2</v>
      </c>
      <c r="I11" s="4357">
        <f t="shared" si="1"/>
        <v>4.7628958783788977E-4</v>
      </c>
      <c r="J11" s="4358" t="str">
        <f>IF(SUM(J12,J19)=0,"IE",SUM(J12,J19))</f>
        <v>IE</v>
      </c>
      <c r="K11" s="4359">
        <f>IF(SUM(K12,K19)=0,"NO",SUM(K12,K19))</f>
        <v>283.90008259136266</v>
      </c>
      <c r="L11" s="4360">
        <f>IF(SUM(L12,L19)=0,"NO",SUM(L12,L19))</f>
        <v>4.5707542744260934</v>
      </c>
      <c r="M11" s="472"/>
    </row>
    <row r="12" spans="2:13" ht="18" customHeight="1" x14ac:dyDescent="0.2">
      <c r="B12" s="906" t="s">
        <v>1663</v>
      </c>
      <c r="C12" s="4361"/>
      <c r="D12" s="4362"/>
      <c r="E12" s="4363" t="s">
        <v>1661</v>
      </c>
      <c r="F12" s="4364">
        <f>IF(SUM(F13,F17)=0,"NO",SUM(F13,F17))</f>
        <v>9585485.2024021652</v>
      </c>
      <c r="G12" s="4365" t="str">
        <f>IFERROR(IF(SUM($F12)=0,"NA",J12*1000/$F12),"NA")</f>
        <v>NA</v>
      </c>
      <c r="H12" s="4366">
        <f t="shared" si="0"/>
        <v>2.9334089556319776E-2</v>
      </c>
      <c r="I12" s="4367">
        <f t="shared" si="1"/>
        <v>4.7238802006228014E-4</v>
      </c>
      <c r="J12" s="4170" t="str">
        <f>IF(SUM(J13,J17)=0,"IE",SUM(J13,J17))</f>
        <v>IE</v>
      </c>
      <c r="K12" s="3057">
        <f>IF(SUM(K13,K17)=0,"NO",SUM(K13,K17))</f>
        <v>281.18148136804314</v>
      </c>
      <c r="L12" s="3106">
        <f>IF(SUM(L13,L17)=0,"NO",SUM(L13,L17))</f>
        <v>4.5280683760990428</v>
      </c>
    </row>
    <row r="13" spans="2:13" ht="18" customHeight="1" x14ac:dyDescent="0.2">
      <c r="B13" s="926" t="s">
        <v>1664</v>
      </c>
      <c r="C13" s="4361"/>
      <c r="D13" s="4362"/>
      <c r="E13" s="4363" t="s">
        <v>1661</v>
      </c>
      <c r="F13" s="4368">
        <f>IF(SUM(F14:F16)=0,"NO",SUM(F14:F16))</f>
        <v>7896039.5699855015</v>
      </c>
      <c r="G13" s="4369" t="str">
        <f t="shared" ref="G13:G76" si="2">IFERROR(IF(SUM($F13)=0,"NA",J13*1000/$F13),"NA")</f>
        <v>NA</v>
      </c>
      <c r="H13" s="4370">
        <f t="shared" si="0"/>
        <v>2.5096366136740666E-2</v>
      </c>
      <c r="I13" s="4371">
        <f t="shared" si="1"/>
        <v>4.7561169981148922E-4</v>
      </c>
      <c r="J13" s="4170" t="str">
        <f>IF(SUM(J14:J16)=0,"IE",SUM(J14:J16))</f>
        <v>IE</v>
      </c>
      <c r="K13" s="4170">
        <f>IF(SUM(K14:K16)=0,"NO",SUM(K14:K16))</f>
        <v>198.16190007854846</v>
      </c>
      <c r="L13" s="4372">
        <f>IF(SUM(L14:L16)=0,"NO",SUM(L14:L16))</f>
        <v>3.7554488016595848</v>
      </c>
      <c r="M13" s="472"/>
    </row>
    <row r="14" spans="2:13" ht="18" customHeight="1" x14ac:dyDescent="0.2">
      <c r="B14" s="926"/>
      <c r="C14" s="2864" t="s">
        <v>1665</v>
      </c>
      <c r="D14" s="4373" t="s">
        <v>1219</v>
      </c>
      <c r="E14" s="4374" t="s">
        <v>1661</v>
      </c>
      <c r="F14" s="4375">
        <v>295026.52955075528</v>
      </c>
      <c r="G14" s="4369" t="str">
        <f t="shared" si="2"/>
        <v>NA</v>
      </c>
      <c r="H14" s="4370">
        <f>IF(SUM($F14)=0,"NA",K14*1000/$F14)</f>
        <v>0.13244379479353632</v>
      </c>
      <c r="I14" s="4371">
        <f>IF(SUM($F14)=0,"NA",L14*1000/$F14)</f>
        <v>1.3650637907721415E-3</v>
      </c>
      <c r="J14" s="4376" t="s">
        <v>274</v>
      </c>
      <c r="K14" s="4377">
        <v>39.074433138469409</v>
      </c>
      <c r="L14" s="4378">
        <v>0.40273003280690323</v>
      </c>
      <c r="M14" s="472"/>
    </row>
    <row r="15" spans="2:13" ht="18" customHeight="1" x14ac:dyDescent="0.2">
      <c r="B15" s="926"/>
      <c r="C15" s="2864" t="s">
        <v>1666</v>
      </c>
      <c r="D15" s="4373" t="s">
        <v>1219</v>
      </c>
      <c r="E15" s="4379" t="s">
        <v>1661</v>
      </c>
      <c r="F15" s="4380">
        <v>8038.3971052679699</v>
      </c>
      <c r="G15" s="4369" t="str">
        <f t="shared" si="2"/>
        <v>NA</v>
      </c>
      <c r="H15" s="4370">
        <f t="shared" ref="H15:H77" si="3">IF(SUM($F15)=0,"NA",K15*1000/$F15)</f>
        <v>1.4996757061158081</v>
      </c>
      <c r="I15" s="4371">
        <f t="shared" ref="I15:I77" si="4">IF(SUM($F15)=0,"NA",L15*1000/$F15)</f>
        <v>2.7723171733890838E-2</v>
      </c>
      <c r="J15" s="4376" t="s">
        <v>274</v>
      </c>
      <c r="K15" s="4377">
        <v>12.05498885488201</v>
      </c>
      <c r="L15" s="4381">
        <v>0.22284986341455493</v>
      </c>
      <c r="M15" s="472"/>
    </row>
    <row r="16" spans="2:13" ht="18" customHeight="1" x14ac:dyDescent="0.2">
      <c r="B16" s="926"/>
      <c r="C16" s="2864" t="s">
        <v>1342</v>
      </c>
      <c r="D16" s="4373" t="s">
        <v>1219</v>
      </c>
      <c r="E16" s="4379" t="s">
        <v>1661</v>
      </c>
      <c r="F16" s="4380">
        <v>7592974.6433294779</v>
      </c>
      <c r="G16" s="4369" t="str">
        <f t="shared" si="2"/>
        <v>NA</v>
      </c>
      <c r="H16" s="4370">
        <f t="shared" si="3"/>
        <v>1.9364278822446335E-2</v>
      </c>
      <c r="I16" s="4371">
        <f t="shared" si="4"/>
        <v>4.122058945880657E-4</v>
      </c>
      <c r="J16" s="4376" t="s">
        <v>274</v>
      </c>
      <c r="K16" s="4377">
        <v>147.03247808519703</v>
      </c>
      <c r="L16" s="4381">
        <v>3.1298689054381268</v>
      </c>
      <c r="M16" s="472"/>
    </row>
    <row r="17" spans="2:13" ht="18" customHeight="1" x14ac:dyDescent="0.2">
      <c r="B17" s="926" t="s">
        <v>1667</v>
      </c>
      <c r="C17" s="4361"/>
      <c r="D17" s="4362"/>
      <c r="E17" s="4382" t="s">
        <v>1661</v>
      </c>
      <c r="F17" s="4368">
        <f>F18</f>
        <v>1689445.6324166637</v>
      </c>
      <c r="G17" s="4369" t="str">
        <f t="shared" si="2"/>
        <v>NA</v>
      </c>
      <c r="H17" s="4370">
        <f t="shared" si="3"/>
        <v>4.9140131944192547E-2</v>
      </c>
      <c r="I17" s="4371">
        <f t="shared" si="4"/>
        <v>4.5732136010453696E-4</v>
      </c>
      <c r="J17" s="4170" t="str">
        <f>J18</f>
        <v>IE</v>
      </c>
      <c r="K17" s="4170">
        <f>K18</f>
        <v>83.019581289494667</v>
      </c>
      <c r="L17" s="4372">
        <f>L18</f>
        <v>0.77261957443945828</v>
      </c>
      <c r="M17" s="472"/>
    </row>
    <row r="18" spans="2:13" ht="18" customHeight="1" x14ac:dyDescent="0.2">
      <c r="B18" s="926"/>
      <c r="C18" s="2864" t="s">
        <v>1668</v>
      </c>
      <c r="D18" s="4373" t="s">
        <v>1219</v>
      </c>
      <c r="E18" s="4379" t="s">
        <v>1661</v>
      </c>
      <c r="F18" s="4375">
        <v>1689445.6324166637</v>
      </c>
      <c r="G18" s="4369" t="str">
        <f t="shared" si="2"/>
        <v>NA</v>
      </c>
      <c r="H18" s="4370">
        <f t="shared" si="3"/>
        <v>4.9140131944192547E-2</v>
      </c>
      <c r="I18" s="4371">
        <f t="shared" si="4"/>
        <v>4.5732136010453696E-4</v>
      </c>
      <c r="J18" s="4376" t="s">
        <v>274</v>
      </c>
      <c r="K18" s="4377">
        <v>83.019581289494667</v>
      </c>
      <c r="L18" s="4378">
        <v>0.77261957443945828</v>
      </c>
      <c r="M18" s="472"/>
    </row>
    <row r="19" spans="2:13" ht="18" customHeight="1" x14ac:dyDescent="0.2">
      <c r="B19" s="906" t="s">
        <v>1669</v>
      </c>
      <c r="C19" s="4361"/>
      <c r="D19" s="4362"/>
      <c r="E19" s="4382" t="s">
        <v>1661</v>
      </c>
      <c r="F19" s="4383">
        <f>IF(SUM(F20,F23)=0,"NO",SUM(F20,F23))</f>
        <v>11101.39352778608</v>
      </c>
      <c r="G19" s="4365" t="s">
        <v>205</v>
      </c>
      <c r="H19" s="4366">
        <f t="shared" si="3"/>
        <v>0.2448882851071823</v>
      </c>
      <c r="I19" s="4367">
        <f t="shared" si="4"/>
        <v>3.8450937010935473E-3</v>
      </c>
      <c r="J19" s="4170" t="str">
        <f>IF(SUM(J20,J23)=0,"IE",SUM(J20,J23))</f>
        <v>IE</v>
      </c>
      <c r="K19" s="3057">
        <f>IF(SUM(K20,K23)=0,"NO",SUM(K20,K23))</f>
        <v>2.718601223319506</v>
      </c>
      <c r="L19" s="3106">
        <f>IF(SUM(L20,L23)=0,"NO",SUM(L20,L23))</f>
        <v>4.2685898327050928E-2</v>
      </c>
    </row>
    <row r="20" spans="2:13" ht="18" customHeight="1" x14ac:dyDescent="0.2">
      <c r="B20" s="926" t="s">
        <v>1670</v>
      </c>
      <c r="C20" s="4361"/>
      <c r="D20" s="4362"/>
      <c r="E20" s="4382" t="s">
        <v>1661</v>
      </c>
      <c r="F20" s="4368">
        <f>IF(SUM(F21:F22)=0,"NO",SUM(F21:F22))</f>
        <v>6285.2557339594123</v>
      </c>
      <c r="G20" s="4369" t="str">
        <f t="shared" si="2"/>
        <v>NA</v>
      </c>
      <c r="H20" s="4370">
        <f t="shared" si="3"/>
        <v>0.29336416261442094</v>
      </c>
      <c r="I20" s="4371">
        <f t="shared" si="4"/>
        <v>5.4856822341778607E-3</v>
      </c>
      <c r="J20" s="4170" t="str">
        <f>IF(SUM(J21:J22)=0,"IE",SUM(J21:J22))</f>
        <v>IE</v>
      </c>
      <c r="K20" s="4170">
        <f>IF(SUM(K21:K22)=0,"NO",SUM(K21:K22))</f>
        <v>1.8438687852104909</v>
      </c>
      <c r="L20" s="4372">
        <f>IF(SUM(L21:L22)=0,"NO",SUM(L21:L22))</f>
        <v>3.4478915717045679E-2</v>
      </c>
      <c r="M20" s="472"/>
    </row>
    <row r="21" spans="2:13" ht="18" customHeight="1" x14ac:dyDescent="0.2">
      <c r="B21" s="926"/>
      <c r="C21" s="2864" t="s">
        <v>1666</v>
      </c>
      <c r="D21" s="4373" t="s">
        <v>1219</v>
      </c>
      <c r="E21" s="4379" t="s">
        <v>1661</v>
      </c>
      <c r="F21" s="4375">
        <v>0</v>
      </c>
      <c r="G21" s="4369" t="str">
        <f t="shared" si="2"/>
        <v>NA</v>
      </c>
      <c r="H21" s="4370" t="str">
        <f t="shared" si="3"/>
        <v>NA</v>
      </c>
      <c r="I21" s="4371" t="str">
        <f t="shared" si="4"/>
        <v>NA</v>
      </c>
      <c r="J21" s="4376" t="s">
        <v>274</v>
      </c>
      <c r="K21" s="4377">
        <v>1.73552159565398</v>
      </c>
      <c r="L21" s="4378">
        <v>3.208304505299233E-2</v>
      </c>
      <c r="M21" s="472"/>
    </row>
    <row r="22" spans="2:13" ht="18" customHeight="1" x14ac:dyDescent="0.2">
      <c r="B22" s="926"/>
      <c r="C22" s="2864" t="s">
        <v>1342</v>
      </c>
      <c r="D22" s="4373" t="s">
        <v>1219</v>
      </c>
      <c r="E22" s="4379" t="s">
        <v>1661</v>
      </c>
      <c r="F22" s="4380">
        <v>6285.2557339594123</v>
      </c>
      <c r="G22" s="4369" t="str">
        <f t="shared" si="2"/>
        <v>NA</v>
      </c>
      <c r="H22" s="4370">
        <f t="shared" si="3"/>
        <v>1.7238310443138848E-2</v>
      </c>
      <c r="I22" s="4371">
        <f t="shared" si="4"/>
        <v>3.811890502892968E-4</v>
      </c>
      <c r="J22" s="4376" t="s">
        <v>274</v>
      </c>
      <c r="K22" s="4377">
        <v>0.10834718955651088</v>
      </c>
      <c r="L22" s="4381">
        <v>2.3958706640533458E-3</v>
      </c>
      <c r="M22" s="472"/>
    </row>
    <row r="23" spans="2:13" ht="18" customHeight="1" x14ac:dyDescent="0.2">
      <c r="B23" s="926" t="s">
        <v>1671</v>
      </c>
      <c r="C23" s="4361"/>
      <c r="D23" s="4362"/>
      <c r="E23" s="4382" t="s">
        <v>1661</v>
      </c>
      <c r="F23" s="4368">
        <f>F24</f>
        <v>4816.1377938266687</v>
      </c>
      <c r="G23" s="4369" t="str">
        <f t="shared" si="2"/>
        <v>NA</v>
      </c>
      <c r="H23" s="4370">
        <f t="shared" si="3"/>
        <v>0.18162529303672506</v>
      </c>
      <c r="I23" s="4371">
        <f t="shared" si="4"/>
        <v>1.7040589288215484E-3</v>
      </c>
      <c r="J23" s="4170" t="str">
        <f>J24</f>
        <v>IE</v>
      </c>
      <c r="K23" s="4170">
        <f>K24</f>
        <v>0.87473243810901524</v>
      </c>
      <c r="L23" s="4372">
        <f>L24</f>
        <v>8.2069826100052475E-3</v>
      </c>
      <c r="M23" s="472"/>
    </row>
    <row r="24" spans="2:13" ht="18" customHeight="1" thickBot="1" x14ac:dyDescent="0.25">
      <c r="B24" s="936"/>
      <c r="C24" s="2865" t="s">
        <v>1672</v>
      </c>
      <c r="D24" s="4384" t="s">
        <v>1219</v>
      </c>
      <c r="E24" s="4385" t="s">
        <v>1661</v>
      </c>
      <c r="F24" s="4386">
        <v>4816.1377938266687</v>
      </c>
      <c r="G24" s="4387" t="str">
        <f t="shared" si="2"/>
        <v>NA</v>
      </c>
      <c r="H24" s="4388">
        <f t="shared" si="3"/>
        <v>0.18162529303672506</v>
      </c>
      <c r="I24" s="4389">
        <f t="shared" si="4"/>
        <v>1.7040589288215484E-3</v>
      </c>
      <c r="J24" s="4390" t="s">
        <v>274</v>
      </c>
      <c r="K24" s="4391">
        <v>0.87473243810901524</v>
      </c>
      <c r="L24" s="4392">
        <v>8.2069826100052475E-3</v>
      </c>
      <c r="M24" s="472"/>
    </row>
    <row r="25" spans="2:13" ht="18" customHeight="1" x14ac:dyDescent="0.2">
      <c r="B25" s="934" t="s">
        <v>1673</v>
      </c>
      <c r="C25" s="4352"/>
      <c r="D25" s="4353"/>
      <c r="E25" s="4393" t="s">
        <v>1661</v>
      </c>
      <c r="F25" s="4394">
        <f>IF(SUM(F26,F31)=0,"IE",SUM(F26,F31))</f>
        <v>24736.664221965635</v>
      </c>
      <c r="G25" s="4355" t="str">
        <f t="shared" si="2"/>
        <v>NA</v>
      </c>
      <c r="H25" s="4356">
        <f t="shared" si="3"/>
        <v>0.14219306893074746</v>
      </c>
      <c r="I25" s="4357">
        <f t="shared" si="4"/>
        <v>2.628596871483679E-3</v>
      </c>
      <c r="J25" s="4358" t="str">
        <f>IF(SUM(J26,J31)=0,"IE",SUM(J26,J31))</f>
        <v>IE</v>
      </c>
      <c r="K25" s="4359">
        <f>IF(SUM(K26,K31)=0,"IE",SUM(K26,K31))</f>
        <v>3.5173822008307143</v>
      </c>
      <c r="L25" s="4360">
        <f>IF(SUM(L26,L31)=0,"IE",SUM(L26,L31))</f>
        <v>6.5022718184801126E-2</v>
      </c>
      <c r="M25" s="472"/>
    </row>
    <row r="26" spans="2:13" ht="18" customHeight="1" x14ac:dyDescent="0.2">
      <c r="B26" s="906" t="s">
        <v>1674</v>
      </c>
      <c r="C26" s="4361"/>
      <c r="D26" s="4362"/>
      <c r="E26" s="4382" t="s">
        <v>1661</v>
      </c>
      <c r="F26" s="4383" t="str">
        <f>F29</f>
        <v>IE</v>
      </c>
      <c r="G26" s="4369" t="str">
        <f t="shared" si="2"/>
        <v>NA</v>
      </c>
      <c r="H26" s="4366" t="str">
        <f t="shared" si="3"/>
        <v>NA</v>
      </c>
      <c r="I26" s="4367" t="str">
        <f t="shared" si="4"/>
        <v>NA</v>
      </c>
      <c r="J26" s="4170" t="str">
        <f>IF(SUM(J27,J29)=0,"IE",SUM(J27,J29))</f>
        <v>IE</v>
      </c>
      <c r="K26" s="3057" t="str">
        <f t="shared" ref="K26:L26" si="5">IF(SUM(K27,K29)=0,"IE",SUM(K27,K29))</f>
        <v>IE</v>
      </c>
      <c r="L26" s="3106" t="str">
        <f t="shared" si="5"/>
        <v>IE</v>
      </c>
    </row>
    <row r="27" spans="2:13" ht="18" customHeight="1" x14ac:dyDescent="0.2">
      <c r="B27" s="926" t="s">
        <v>1675</v>
      </c>
      <c r="C27" s="4361"/>
      <c r="D27" s="4362"/>
      <c r="E27" s="4382" t="s">
        <v>1661</v>
      </c>
      <c r="F27" s="4368" t="str">
        <f>F28</f>
        <v>NA</v>
      </c>
      <c r="G27" s="4369" t="str">
        <f t="shared" si="2"/>
        <v>NA</v>
      </c>
      <c r="H27" s="4370" t="str">
        <f t="shared" si="3"/>
        <v>NA</v>
      </c>
      <c r="I27" s="4371" t="str">
        <f t="shared" si="4"/>
        <v>NA</v>
      </c>
      <c r="J27" s="4170" t="str">
        <f>J28</f>
        <v>NA</v>
      </c>
      <c r="K27" s="4170" t="str">
        <f>K28</f>
        <v>NA</v>
      </c>
      <c r="L27" s="4372" t="str">
        <f>L28</f>
        <v>NA</v>
      </c>
    </row>
    <row r="28" spans="2:13" ht="18" customHeight="1" x14ac:dyDescent="0.2">
      <c r="B28" s="926"/>
      <c r="C28" s="2864" t="s">
        <v>205</v>
      </c>
      <c r="D28" s="4373"/>
      <c r="E28" s="4379" t="s">
        <v>1661</v>
      </c>
      <c r="F28" s="4375" t="s">
        <v>205</v>
      </c>
      <c r="G28" s="4369" t="str">
        <f t="shared" si="2"/>
        <v>NA</v>
      </c>
      <c r="H28" s="4370" t="str">
        <f t="shared" si="3"/>
        <v>NA</v>
      </c>
      <c r="I28" s="4371" t="str">
        <f t="shared" si="4"/>
        <v>NA</v>
      </c>
      <c r="J28" s="4376" t="s">
        <v>205</v>
      </c>
      <c r="K28" s="4377" t="s">
        <v>205</v>
      </c>
      <c r="L28" s="4378" t="s">
        <v>205</v>
      </c>
      <c r="M28" s="472"/>
    </row>
    <row r="29" spans="2:13" ht="18" customHeight="1" x14ac:dyDescent="0.2">
      <c r="B29" s="926" t="s">
        <v>1676</v>
      </c>
      <c r="C29" s="4361"/>
      <c r="D29" s="4362"/>
      <c r="E29" s="4382" t="s">
        <v>1661</v>
      </c>
      <c r="F29" s="4368" t="str">
        <f>F30</f>
        <v>IE</v>
      </c>
      <c r="G29" s="4369" t="str">
        <f t="shared" si="2"/>
        <v>NA</v>
      </c>
      <c r="H29" s="4370" t="str">
        <f t="shared" si="3"/>
        <v>NA</v>
      </c>
      <c r="I29" s="4371" t="str">
        <f t="shared" si="4"/>
        <v>NA</v>
      </c>
      <c r="J29" s="4170" t="str">
        <f>J30</f>
        <v>IE</v>
      </c>
      <c r="K29" s="4170" t="str">
        <f>K30</f>
        <v>IE</v>
      </c>
      <c r="L29" s="4372" t="str">
        <f>L30</f>
        <v>IE</v>
      </c>
    </row>
    <row r="30" spans="2:13" s="4303" customFormat="1" ht="18" customHeight="1" x14ac:dyDescent="0.2">
      <c r="B30" s="926"/>
      <c r="C30" s="2864" t="s">
        <v>205</v>
      </c>
      <c r="D30" s="4373"/>
      <c r="E30" s="4379" t="s">
        <v>1661</v>
      </c>
      <c r="F30" s="4375" t="s">
        <v>274</v>
      </c>
      <c r="G30" s="4369" t="str">
        <f t="shared" si="2"/>
        <v>NA</v>
      </c>
      <c r="H30" s="4370" t="str">
        <f t="shared" si="3"/>
        <v>NA</v>
      </c>
      <c r="I30" s="4371" t="str">
        <f t="shared" si="4"/>
        <v>NA</v>
      </c>
      <c r="J30" s="4376" t="s">
        <v>274</v>
      </c>
      <c r="K30" s="4377" t="s">
        <v>274</v>
      </c>
      <c r="L30" s="4378" t="s">
        <v>274</v>
      </c>
      <c r="M30" s="4314"/>
    </row>
    <row r="31" spans="2:13" ht="18" customHeight="1" x14ac:dyDescent="0.2">
      <c r="B31" s="906" t="s">
        <v>1677</v>
      </c>
      <c r="C31" s="4361"/>
      <c r="D31" s="4362"/>
      <c r="E31" s="4382" t="s">
        <v>1661</v>
      </c>
      <c r="F31" s="4383">
        <f>IF(SUM(F32,F34)=0,"IE",SUM(F32,F34))</f>
        <v>24736.664221965635</v>
      </c>
      <c r="G31" s="4365" t="str">
        <f t="shared" si="2"/>
        <v>NA</v>
      </c>
      <c r="H31" s="4366">
        <f t="shared" si="3"/>
        <v>0.14219306893074746</v>
      </c>
      <c r="I31" s="4367">
        <f t="shared" si="4"/>
        <v>2.628596871483679E-3</v>
      </c>
      <c r="J31" s="4170" t="str">
        <f>IF(SUM(J32,J34)=0,"IE",SUM(J32,J34))</f>
        <v>IE</v>
      </c>
      <c r="K31" s="4170">
        <f t="shared" ref="K31:L31" si="6">IF(SUM(K32,K34)=0,"IE",SUM(K32,K34))</f>
        <v>3.5173822008307143</v>
      </c>
      <c r="L31" s="4372">
        <f t="shared" si="6"/>
        <v>6.5022718184801126E-2</v>
      </c>
    </row>
    <row r="32" spans="2:13" ht="18" customHeight="1" x14ac:dyDescent="0.2">
      <c r="B32" s="926" t="s">
        <v>1678</v>
      </c>
      <c r="C32" s="4361"/>
      <c r="D32" s="4362"/>
      <c r="E32" s="4382" t="s">
        <v>1661</v>
      </c>
      <c r="F32" s="4368">
        <f>F33</f>
        <v>24736.664221965635</v>
      </c>
      <c r="G32" s="4365" t="str">
        <f t="shared" si="2"/>
        <v>NA</v>
      </c>
      <c r="H32" s="4366">
        <f t="shared" si="3"/>
        <v>0.14219306893074746</v>
      </c>
      <c r="I32" s="4367">
        <f t="shared" si="4"/>
        <v>2.628596871483679E-3</v>
      </c>
      <c r="J32" s="4170" t="str">
        <f>J33</f>
        <v>IE</v>
      </c>
      <c r="K32" s="4170">
        <f>K33</f>
        <v>3.5173822008307143</v>
      </c>
      <c r="L32" s="4372">
        <f>L33</f>
        <v>6.5022718184801126E-2</v>
      </c>
      <c r="M32" s="472"/>
    </row>
    <row r="33" spans="2:13" ht="18" customHeight="1" x14ac:dyDescent="0.2">
      <c r="B33" s="926"/>
      <c r="C33" s="2864" t="s">
        <v>1679</v>
      </c>
      <c r="D33" s="4373" t="s">
        <v>1219</v>
      </c>
      <c r="E33" s="4379" t="s">
        <v>1661</v>
      </c>
      <c r="F33" s="4375">
        <v>24736.664221965635</v>
      </c>
      <c r="G33" s="4369" t="str">
        <f t="shared" si="2"/>
        <v>NA</v>
      </c>
      <c r="H33" s="4370">
        <f t="shared" si="3"/>
        <v>0.14219306893074746</v>
      </c>
      <c r="I33" s="4371">
        <f t="shared" si="4"/>
        <v>2.628596871483679E-3</v>
      </c>
      <c r="J33" s="4376" t="s">
        <v>274</v>
      </c>
      <c r="K33" s="4377">
        <v>3.5173822008307143</v>
      </c>
      <c r="L33" s="4378">
        <v>6.5022718184801126E-2</v>
      </c>
      <c r="M33" s="472"/>
    </row>
    <row r="34" spans="2:13" ht="18" customHeight="1" x14ac:dyDescent="0.2">
      <c r="B34" s="926" t="s">
        <v>1680</v>
      </c>
      <c r="C34" s="4361"/>
      <c r="D34" s="4362"/>
      <c r="E34" s="4382" t="s">
        <v>1661</v>
      </c>
      <c r="F34" s="4368" t="str">
        <f>F35</f>
        <v>IE</v>
      </c>
      <c r="G34" s="4365" t="str">
        <f t="shared" si="2"/>
        <v>NA</v>
      </c>
      <c r="H34" s="4366" t="str">
        <f t="shared" si="3"/>
        <v>NA</v>
      </c>
      <c r="I34" s="4367" t="str">
        <f t="shared" si="4"/>
        <v>NA</v>
      </c>
      <c r="J34" s="4170" t="str">
        <f>J35</f>
        <v>IE</v>
      </c>
      <c r="K34" s="4170" t="str">
        <f>K35</f>
        <v>IE</v>
      </c>
      <c r="L34" s="4372" t="str">
        <f>L35</f>
        <v>IE</v>
      </c>
      <c r="M34" s="472"/>
    </row>
    <row r="35" spans="2:13" s="4303" customFormat="1" ht="18" customHeight="1" thickBot="1" x14ac:dyDescent="0.25">
      <c r="B35" s="936"/>
      <c r="C35" s="2865" t="s">
        <v>205</v>
      </c>
      <c r="D35" s="4384"/>
      <c r="E35" s="4385" t="s">
        <v>1661</v>
      </c>
      <c r="F35" s="4386" t="s">
        <v>274</v>
      </c>
      <c r="G35" s="4387" t="str">
        <f t="shared" si="2"/>
        <v>NA</v>
      </c>
      <c r="H35" s="4388" t="str">
        <f t="shared" si="3"/>
        <v>NA</v>
      </c>
      <c r="I35" s="4389" t="str">
        <f t="shared" si="4"/>
        <v>NA</v>
      </c>
      <c r="J35" s="4390" t="s">
        <v>274</v>
      </c>
      <c r="K35" s="4391" t="s">
        <v>274</v>
      </c>
      <c r="L35" s="4392" t="s">
        <v>274</v>
      </c>
      <c r="M35" s="4314"/>
    </row>
    <row r="36" spans="2:13" ht="18" customHeight="1" x14ac:dyDescent="0.2">
      <c r="B36" s="937" t="s">
        <v>1681</v>
      </c>
      <c r="C36" s="4352"/>
      <c r="D36" s="4353"/>
      <c r="E36" s="4393" t="s">
        <v>1661</v>
      </c>
      <c r="F36" s="4394">
        <f>IF(SUM(F37,F42)=0,"NO",SUM(F37,F42))</f>
        <v>51822890.124821074</v>
      </c>
      <c r="G36" s="4355" t="str">
        <f t="shared" si="2"/>
        <v>NA</v>
      </c>
      <c r="H36" s="4356">
        <f t="shared" ref="H36" si="7">IF(SUM($F36)=0,"NA",K36*1000/$F36)</f>
        <v>7.8296741055456885E-3</v>
      </c>
      <c r="I36" s="4357">
        <f t="shared" ref="I36" si="8">IF(SUM($F36)=0,"NA",L36*1000/$F36)</f>
        <v>2.0963859157619398E-4</v>
      </c>
      <c r="J36" s="4358" t="str">
        <f>IF(SUM(J37,J42)=0,"IE",SUM(J37,J42))</f>
        <v>IE</v>
      </c>
      <c r="K36" s="4359">
        <f>IF(SUM(K37,K42)=0,"NO",SUM(K37,K42))</f>
        <v>405.75634088485094</v>
      </c>
      <c r="L36" s="4360">
        <f>IF(SUM(L37,L42)=0,"NO",SUM(L37,L42))</f>
        <v>10.864077697175341</v>
      </c>
      <c r="M36" s="472"/>
    </row>
    <row r="37" spans="2:13" ht="18" customHeight="1" x14ac:dyDescent="0.2">
      <c r="B37" s="906" t="s">
        <v>1682</v>
      </c>
      <c r="C37" s="4361"/>
      <c r="D37" s="4362"/>
      <c r="E37" s="4382" t="s">
        <v>1661</v>
      </c>
      <c r="F37" s="4364">
        <f>IF(SUM(F38,F40)=0,"NO",SUM(F38,F40))</f>
        <v>51094341.051118575</v>
      </c>
      <c r="G37" s="4369" t="str">
        <f t="shared" si="2"/>
        <v>NA</v>
      </c>
      <c r="H37" s="4366">
        <f t="shared" si="3"/>
        <v>5.7815465428048421E-3</v>
      </c>
      <c r="I37" s="4367">
        <f t="shared" si="4"/>
        <v>1.7259280751922635E-4</v>
      </c>
      <c r="J37" s="4170" t="str">
        <f>IF(SUM(J38,J40)=0,"IE",SUM(J38,J40))</f>
        <v>IE</v>
      </c>
      <c r="K37" s="3057">
        <f>IF(SUM(K38,K40)=0,"NO",SUM(K38,K40))</f>
        <v>295.40431086098613</v>
      </c>
      <c r="L37" s="3106">
        <f>IF(SUM(L38,L40)=0,"NO",SUM(L38,L40))</f>
        <v>8.8185157703574131</v>
      </c>
    </row>
    <row r="38" spans="2:13" ht="18" customHeight="1" x14ac:dyDescent="0.2">
      <c r="B38" s="926" t="s">
        <v>1683</v>
      </c>
      <c r="C38" s="4361"/>
      <c r="D38" s="4362"/>
      <c r="E38" s="4382" t="s">
        <v>1661</v>
      </c>
      <c r="F38" s="4368">
        <f>F39</f>
        <v>51094341.051118575</v>
      </c>
      <c r="G38" s="4369" t="str">
        <f t="shared" si="2"/>
        <v>NA</v>
      </c>
      <c r="H38" s="4370">
        <f t="shared" si="3"/>
        <v>5.7815465428048421E-3</v>
      </c>
      <c r="I38" s="4371">
        <f t="shared" si="4"/>
        <v>1.7259280751922635E-4</v>
      </c>
      <c r="J38" s="4170" t="str">
        <f>J39</f>
        <v>IE</v>
      </c>
      <c r="K38" s="4170">
        <f>K39</f>
        <v>295.40431086098613</v>
      </c>
      <c r="L38" s="4372">
        <f>L39</f>
        <v>8.8185157703574131</v>
      </c>
      <c r="M38" s="472"/>
    </row>
    <row r="39" spans="2:13" ht="18" customHeight="1" x14ac:dyDescent="0.2">
      <c r="B39" s="926"/>
      <c r="C39" s="2864" t="s">
        <v>1342</v>
      </c>
      <c r="D39" s="4373" t="s">
        <v>1219</v>
      </c>
      <c r="E39" s="4379" t="s">
        <v>1661</v>
      </c>
      <c r="F39" s="4380">
        <v>51094341.051118575</v>
      </c>
      <c r="G39" s="4369" t="str">
        <f t="shared" si="2"/>
        <v>NA</v>
      </c>
      <c r="H39" s="4370">
        <f t="shared" ref="H39:H40" si="9">IF(SUM($F39)=0,"NA",K39*1000/$F39)</f>
        <v>5.7815465428048421E-3</v>
      </c>
      <c r="I39" s="4371">
        <f t="shared" ref="I39:I40" si="10">IF(SUM($F39)=0,"NA",L39*1000/$F39)</f>
        <v>1.7259280751922635E-4</v>
      </c>
      <c r="J39" s="4376" t="s">
        <v>274</v>
      </c>
      <c r="K39" s="4377">
        <v>295.40431086098613</v>
      </c>
      <c r="L39" s="4381">
        <v>8.8185157703574131</v>
      </c>
      <c r="M39" s="472"/>
    </row>
    <row r="40" spans="2:13" ht="18" customHeight="1" x14ac:dyDescent="0.2">
      <c r="B40" s="926" t="s">
        <v>1684</v>
      </c>
      <c r="C40" s="4361"/>
      <c r="D40" s="4362"/>
      <c r="E40" s="4382" t="s">
        <v>1661</v>
      </c>
      <c r="F40" s="4368" t="str">
        <f>F41</f>
        <v>IE</v>
      </c>
      <c r="G40" s="4369" t="str">
        <f t="shared" si="2"/>
        <v>NA</v>
      </c>
      <c r="H40" s="4370" t="str">
        <f t="shared" si="9"/>
        <v>NA</v>
      </c>
      <c r="I40" s="4371" t="str">
        <f t="shared" si="10"/>
        <v>NA</v>
      </c>
      <c r="J40" s="4170" t="str">
        <f>J41</f>
        <v>IE</v>
      </c>
      <c r="K40" s="4170" t="str">
        <f>K41</f>
        <v>IE</v>
      </c>
      <c r="L40" s="4372" t="str">
        <f>L41</f>
        <v>IE</v>
      </c>
      <c r="M40" s="472"/>
    </row>
    <row r="41" spans="2:13" s="4303" customFormat="1" ht="18" customHeight="1" x14ac:dyDescent="0.2">
      <c r="B41" s="926"/>
      <c r="C41" s="2864" t="s">
        <v>205</v>
      </c>
      <c r="D41" s="4373"/>
      <c r="E41" s="4379" t="s">
        <v>1661</v>
      </c>
      <c r="F41" s="4375" t="s">
        <v>274</v>
      </c>
      <c r="G41" s="4369" t="str">
        <f t="shared" si="2"/>
        <v>NA</v>
      </c>
      <c r="H41" s="4370" t="str">
        <f t="shared" ref="H41:H42" si="11">IF(SUM($F41)=0,"NA",K41*1000/$F41)</f>
        <v>NA</v>
      </c>
      <c r="I41" s="4371" t="str">
        <f t="shared" ref="I41:I42" si="12">IF(SUM($F41)=0,"NA",L41*1000/$F41)</f>
        <v>NA</v>
      </c>
      <c r="J41" s="4376" t="s">
        <v>274</v>
      </c>
      <c r="K41" s="4377" t="s">
        <v>274</v>
      </c>
      <c r="L41" s="4378" t="s">
        <v>274</v>
      </c>
      <c r="M41" s="4314"/>
    </row>
    <row r="42" spans="2:13" ht="18" customHeight="1" x14ac:dyDescent="0.2">
      <c r="B42" s="906" t="s">
        <v>1685</v>
      </c>
      <c r="C42" s="4361"/>
      <c r="D42" s="4362"/>
      <c r="E42" s="4382" t="s">
        <v>1661</v>
      </c>
      <c r="F42" s="4383">
        <f>IF(SUM(F43,F46)=0,"NO",SUM(F43,F46))</f>
        <v>728549.07370249857</v>
      </c>
      <c r="G42" s="4365" t="str">
        <f t="shared" si="2"/>
        <v>NA</v>
      </c>
      <c r="H42" s="4366">
        <f t="shared" si="11"/>
        <v>0.15146821814356851</v>
      </c>
      <c r="I42" s="4367">
        <f t="shared" si="12"/>
        <v>2.8077201669097569E-3</v>
      </c>
      <c r="J42" s="4170" t="str">
        <f>IF(SUM(J43,J46)=0,"IE",SUM(J43,J46))</f>
        <v>IE</v>
      </c>
      <c r="K42" s="3057">
        <f>IF(SUM(K43,K46)=0,"NO",SUM(K43,K46))</f>
        <v>110.35203002386481</v>
      </c>
      <c r="L42" s="3106">
        <f>IF(SUM(L43,L46)=0,"NO",SUM(L43,L46))</f>
        <v>2.0455619268179279</v>
      </c>
    </row>
    <row r="43" spans="2:13" ht="18" customHeight="1" x14ac:dyDescent="0.2">
      <c r="B43" s="926" t="s">
        <v>1686</v>
      </c>
      <c r="C43" s="4361"/>
      <c r="D43" s="4362"/>
      <c r="E43" s="4382" t="s">
        <v>1661</v>
      </c>
      <c r="F43" s="4368">
        <f>IF(SUM(F44:F45)=0,"NO",SUM(F44:F45))</f>
        <v>728549.07370249857</v>
      </c>
      <c r="G43" s="4369" t="str">
        <f t="shared" si="2"/>
        <v>NA</v>
      </c>
      <c r="H43" s="4370">
        <f t="shared" ref="H43" si="13">IF(SUM($F43)=0,"NA",K43*1000/$F43)</f>
        <v>0.15146821814356851</v>
      </c>
      <c r="I43" s="4371">
        <f t="shared" ref="I43" si="14">IF(SUM($F43)=0,"NA",L43*1000/$F43)</f>
        <v>2.8077201669097569E-3</v>
      </c>
      <c r="J43" s="4170" t="str">
        <f>IF(SUM(J44:J45)=0,"IE",SUM(J44:J45))</f>
        <v>IE</v>
      </c>
      <c r="K43" s="4170">
        <f>IF(SUM(K44:K45)=0,"NO",SUM(K44:K45))</f>
        <v>110.35203002386481</v>
      </c>
      <c r="L43" s="4372">
        <f>IF(SUM(L44:L45)=0,"NO",SUM(L44:L45))</f>
        <v>2.0455619268179279</v>
      </c>
      <c r="M43" s="472"/>
    </row>
    <row r="44" spans="2:13" ht="18" customHeight="1" x14ac:dyDescent="0.2">
      <c r="B44" s="926"/>
      <c r="C44" s="2864" t="s">
        <v>1679</v>
      </c>
      <c r="D44" s="4373" t="s">
        <v>1219</v>
      </c>
      <c r="E44" s="4379" t="s">
        <v>1661</v>
      </c>
      <c r="F44" s="4380">
        <v>653301.91523845657</v>
      </c>
      <c r="G44" s="4369" t="str">
        <f t="shared" si="2"/>
        <v>NA</v>
      </c>
      <c r="H44" s="4370">
        <f t="shared" ref="H44:H46" si="15">IF(SUM($F44)=0,"NA",K44*1000/$F44)</f>
        <v>0.16732111733508431</v>
      </c>
      <c r="I44" s="4371">
        <f t="shared" ref="I44:I46" si="16">IF(SUM($F44)=0,"NA",L44*1000/$F44)</f>
        <v>3.0931167662916286E-3</v>
      </c>
      <c r="J44" s="4376" t="s">
        <v>274</v>
      </c>
      <c r="K44" s="4377">
        <v>109.31120641484911</v>
      </c>
      <c r="L44" s="4381">
        <v>2.0207391074745025</v>
      </c>
      <c r="M44" s="472"/>
    </row>
    <row r="45" spans="2:13" ht="18" customHeight="1" x14ac:dyDescent="0.2">
      <c r="B45" s="926"/>
      <c r="C45" s="2864" t="s">
        <v>1342</v>
      </c>
      <c r="D45" s="4373" t="s">
        <v>1219</v>
      </c>
      <c r="E45" s="4379" t="s">
        <v>1661</v>
      </c>
      <c r="F45" s="4380">
        <v>75247.158464042033</v>
      </c>
      <c r="G45" s="4369" t="str">
        <f t="shared" si="2"/>
        <v>NA</v>
      </c>
      <c r="H45" s="4370">
        <f t="shared" si="15"/>
        <v>1.3832065293376864E-2</v>
      </c>
      <c r="I45" s="4371">
        <f t="shared" si="16"/>
        <v>3.2988381023434381E-4</v>
      </c>
      <c r="J45" s="4376" t="s">
        <v>274</v>
      </c>
      <c r="K45" s="4377">
        <v>1.040823609015705</v>
      </c>
      <c r="L45" s="4381">
        <v>2.4822819343425638E-2</v>
      </c>
      <c r="M45" s="472"/>
    </row>
    <row r="46" spans="2:13" ht="18" customHeight="1" x14ac:dyDescent="0.2">
      <c r="B46" s="926" t="s">
        <v>1687</v>
      </c>
      <c r="C46" s="4361"/>
      <c r="D46" s="4362"/>
      <c r="E46" s="4382" t="s">
        <v>1661</v>
      </c>
      <c r="F46" s="4368" t="str">
        <f>F47</f>
        <v>IE</v>
      </c>
      <c r="G46" s="4369" t="str">
        <f t="shared" si="2"/>
        <v>NA</v>
      </c>
      <c r="H46" s="4370" t="str">
        <f t="shared" si="15"/>
        <v>NA</v>
      </c>
      <c r="I46" s="4371" t="str">
        <f t="shared" si="16"/>
        <v>NA</v>
      </c>
      <c r="J46" s="4170" t="str">
        <f>J47</f>
        <v>IE</v>
      </c>
      <c r="K46" s="4170" t="str">
        <f>K47</f>
        <v>IE</v>
      </c>
      <c r="L46" s="4372" t="str">
        <f>L47</f>
        <v>IE</v>
      </c>
      <c r="M46" s="472"/>
    </row>
    <row r="47" spans="2:13" s="4303" customFormat="1" ht="18" customHeight="1" thickBot="1" x14ac:dyDescent="0.25">
      <c r="B47" s="936"/>
      <c r="C47" s="2865" t="s">
        <v>205</v>
      </c>
      <c r="D47" s="4384"/>
      <c r="E47" s="4385" t="s">
        <v>1661</v>
      </c>
      <c r="F47" s="4386" t="s">
        <v>274</v>
      </c>
      <c r="G47" s="4387" t="str">
        <f t="shared" si="2"/>
        <v>NA</v>
      </c>
      <c r="H47" s="4388" t="str">
        <f t="shared" ref="H47:H53" si="17">IF(SUM($F47)=0,"NA",K47*1000/$F47)</f>
        <v>NA</v>
      </c>
      <c r="I47" s="4389" t="str">
        <f t="shared" ref="I47:I53" si="18">IF(SUM($F47)=0,"NA",L47*1000/$F47)</f>
        <v>NA</v>
      </c>
      <c r="J47" s="4390" t="s">
        <v>274</v>
      </c>
      <c r="K47" s="4391" t="s">
        <v>274</v>
      </c>
      <c r="L47" s="4392" t="s">
        <v>274</v>
      </c>
      <c r="M47" s="4314"/>
    </row>
    <row r="48" spans="2:13" ht="18" customHeight="1" x14ac:dyDescent="0.2">
      <c r="B48" s="934" t="s">
        <v>1688</v>
      </c>
      <c r="C48" s="4352"/>
      <c r="D48" s="4353"/>
      <c r="E48" s="4393" t="s">
        <v>1661</v>
      </c>
      <c r="F48" s="4394">
        <f>IF(SUM(F49,F54)=0,"NO",SUM(F49,F54))</f>
        <v>898491.27382605535</v>
      </c>
      <c r="G48" s="4355" t="str">
        <f t="shared" si="2"/>
        <v>NA</v>
      </c>
      <c r="H48" s="4356">
        <f t="shared" si="17"/>
        <v>2.0055158809419906E-2</v>
      </c>
      <c r="I48" s="4357">
        <f t="shared" si="18"/>
        <v>4.2889569387089856E-4</v>
      </c>
      <c r="J48" s="4358" t="str">
        <f>IF(SUM(J49,J54)=0,"IE",SUM(J49,J54))</f>
        <v>IE</v>
      </c>
      <c r="K48" s="4359">
        <f>IF(SUM(K49,K54)=0,"NO",SUM(K49,K54))</f>
        <v>18.019385185459527</v>
      </c>
      <c r="L48" s="4360">
        <f>IF(SUM(L49,L54)=0,"NO",SUM(L49,L54))</f>
        <v>0.38535903832457352</v>
      </c>
      <c r="M48" s="472"/>
    </row>
    <row r="49" spans="2:13" ht="18" customHeight="1" x14ac:dyDescent="0.2">
      <c r="B49" s="906" t="s">
        <v>1689</v>
      </c>
      <c r="C49" s="4361"/>
      <c r="D49" s="4362"/>
      <c r="E49" s="4382" t="s">
        <v>1661</v>
      </c>
      <c r="F49" s="4364">
        <f>IF(SUM(F50,F52)=0,"NO",SUM(F50,F52))</f>
        <v>898491.27382605535</v>
      </c>
      <c r="G49" s="4365" t="str">
        <f t="shared" si="2"/>
        <v>NA</v>
      </c>
      <c r="H49" s="4366">
        <f t="shared" si="17"/>
        <v>2.0055158809419906E-2</v>
      </c>
      <c r="I49" s="4367">
        <f t="shared" si="18"/>
        <v>4.2889569387089856E-4</v>
      </c>
      <c r="J49" s="4170" t="str">
        <f>IF(SUM(J50,J52)=0,"IE",SUM(J50,J52))</f>
        <v>IE</v>
      </c>
      <c r="K49" s="3057">
        <f>IF(SUM(K50,K52)=0,"NO",SUM(K50,K52))</f>
        <v>18.019385185459527</v>
      </c>
      <c r="L49" s="3106">
        <f>IF(SUM(L50,L52)=0,"NO",SUM(L50,L52))</f>
        <v>0.38535903832457352</v>
      </c>
    </row>
    <row r="50" spans="2:13" ht="18" customHeight="1" x14ac:dyDescent="0.2">
      <c r="B50" s="926" t="s">
        <v>1690</v>
      </c>
      <c r="C50" s="4361"/>
      <c r="D50" s="4362"/>
      <c r="E50" s="4382" t="s">
        <v>1661</v>
      </c>
      <c r="F50" s="4368">
        <f>F51</f>
        <v>898491.27382605535</v>
      </c>
      <c r="G50" s="4369" t="str">
        <f t="shared" si="2"/>
        <v>NA</v>
      </c>
      <c r="H50" s="4370">
        <f t="shared" si="17"/>
        <v>2.0055158809419906E-2</v>
      </c>
      <c r="I50" s="4371">
        <f t="shared" si="18"/>
        <v>4.2889569387089856E-4</v>
      </c>
      <c r="J50" s="4170" t="str">
        <f>J51</f>
        <v>IE</v>
      </c>
      <c r="K50" s="4170">
        <f>K51</f>
        <v>18.019385185459527</v>
      </c>
      <c r="L50" s="4372">
        <f>L51</f>
        <v>0.38535903832457352</v>
      </c>
      <c r="M50" s="472"/>
    </row>
    <row r="51" spans="2:13" ht="18" customHeight="1" x14ac:dyDescent="0.2">
      <c r="B51" s="926"/>
      <c r="C51" s="2864" t="s">
        <v>1342</v>
      </c>
      <c r="D51" s="4373" t="s">
        <v>1219</v>
      </c>
      <c r="E51" s="4379" t="s">
        <v>1661</v>
      </c>
      <c r="F51" s="4380">
        <v>898491.27382605535</v>
      </c>
      <c r="G51" s="4369" t="str">
        <f t="shared" si="2"/>
        <v>NA</v>
      </c>
      <c r="H51" s="4370">
        <f t="shared" si="17"/>
        <v>2.0055158809419906E-2</v>
      </c>
      <c r="I51" s="4371">
        <f t="shared" si="18"/>
        <v>4.2889569387089856E-4</v>
      </c>
      <c r="J51" s="4376" t="s">
        <v>274</v>
      </c>
      <c r="K51" s="4377">
        <v>18.019385185459527</v>
      </c>
      <c r="L51" s="4381">
        <v>0.38535903832457352</v>
      </c>
      <c r="M51" s="472"/>
    </row>
    <row r="52" spans="2:13" ht="18" customHeight="1" x14ac:dyDescent="0.2">
      <c r="B52" s="926" t="s">
        <v>1691</v>
      </c>
      <c r="C52" s="4361"/>
      <c r="D52" s="4362"/>
      <c r="E52" s="4382" t="s">
        <v>1661</v>
      </c>
      <c r="F52" s="4368" t="str">
        <f>F53</f>
        <v>IE</v>
      </c>
      <c r="G52" s="4369" t="str">
        <f t="shared" si="2"/>
        <v>NA</v>
      </c>
      <c r="H52" s="4370" t="str">
        <f t="shared" si="17"/>
        <v>NA</v>
      </c>
      <c r="I52" s="4371" t="str">
        <f t="shared" si="18"/>
        <v>NA</v>
      </c>
      <c r="J52" s="4170" t="str">
        <f>J53</f>
        <v>IE</v>
      </c>
      <c r="K52" s="4170" t="str">
        <f>K53</f>
        <v>IE</v>
      </c>
      <c r="L52" s="4372" t="str">
        <f>L53</f>
        <v>IE</v>
      </c>
      <c r="M52" s="472"/>
    </row>
    <row r="53" spans="2:13" s="4303" customFormat="1" ht="18" customHeight="1" x14ac:dyDescent="0.2">
      <c r="B53" s="926"/>
      <c r="C53" s="2864" t="s">
        <v>205</v>
      </c>
      <c r="D53" s="4373"/>
      <c r="E53" s="4379" t="s">
        <v>1661</v>
      </c>
      <c r="F53" s="4375" t="s">
        <v>274</v>
      </c>
      <c r="G53" s="4369" t="str">
        <f t="shared" si="2"/>
        <v>NA</v>
      </c>
      <c r="H53" s="4370" t="str">
        <f t="shared" si="17"/>
        <v>NA</v>
      </c>
      <c r="I53" s="4371" t="str">
        <f t="shared" si="18"/>
        <v>NA</v>
      </c>
      <c r="J53" s="4376" t="s">
        <v>274</v>
      </c>
      <c r="K53" s="4377" t="s">
        <v>274</v>
      </c>
      <c r="L53" s="4378" t="s">
        <v>274</v>
      </c>
      <c r="M53" s="4314"/>
    </row>
    <row r="54" spans="2:13" ht="18" customHeight="1" x14ac:dyDescent="0.2">
      <c r="B54" s="906" t="s">
        <v>1692</v>
      </c>
      <c r="C54" s="4361"/>
      <c r="D54" s="4362"/>
      <c r="E54" s="4382" t="s">
        <v>1661</v>
      </c>
      <c r="F54" s="4364" t="str">
        <f>IF(SUM(F55,F57)=0,"NO",SUM(F55,F57))</f>
        <v>NO</v>
      </c>
      <c r="G54" s="4365" t="str">
        <f t="shared" si="2"/>
        <v>NA</v>
      </c>
      <c r="H54" s="4366" t="str">
        <f t="shared" ref="H54:H55" si="19">IF(SUM($F54)=0,"NA",K54*1000/$F54)</f>
        <v>NA</v>
      </c>
      <c r="I54" s="4367" t="str">
        <f t="shared" ref="I54:I55" si="20">IF(SUM($F54)=0,"NA",L54*1000/$F54)</f>
        <v>NA</v>
      </c>
      <c r="J54" s="4170" t="str">
        <f>IF(SUM(J55,J57)=0,"IE",SUM(J55,J57))</f>
        <v>IE</v>
      </c>
      <c r="K54" s="3057" t="str">
        <f>IF(SUM(K55,K57)=0,"NO",SUM(K55,K57))</f>
        <v>NO</v>
      </c>
      <c r="L54" s="3106" t="str">
        <f>IF(SUM(L55,L57)=0,"NO",SUM(L55,L57))</f>
        <v>NO</v>
      </c>
    </row>
    <row r="55" spans="2:13" ht="18" customHeight="1" x14ac:dyDescent="0.2">
      <c r="B55" s="926" t="s">
        <v>1693</v>
      </c>
      <c r="C55" s="4361"/>
      <c r="D55" s="4362"/>
      <c r="E55" s="4382" t="s">
        <v>1661</v>
      </c>
      <c r="F55" s="4368" t="str">
        <f>F56</f>
        <v>NO</v>
      </c>
      <c r="G55" s="4369" t="str">
        <f t="shared" si="2"/>
        <v>NA</v>
      </c>
      <c r="H55" s="4370" t="str">
        <f t="shared" si="19"/>
        <v>NA</v>
      </c>
      <c r="I55" s="4371" t="str">
        <f t="shared" si="20"/>
        <v>NA</v>
      </c>
      <c r="J55" s="4170" t="str">
        <f>J56</f>
        <v>NO</v>
      </c>
      <c r="K55" s="4170" t="str">
        <f>K56</f>
        <v>NO</v>
      </c>
      <c r="L55" s="4372" t="str">
        <f>L56</f>
        <v>NO</v>
      </c>
      <c r="M55" s="472"/>
    </row>
    <row r="56" spans="2:13" ht="18" customHeight="1" x14ac:dyDescent="0.2">
      <c r="B56" s="926"/>
      <c r="C56" s="2864" t="s">
        <v>205</v>
      </c>
      <c r="D56" s="4373"/>
      <c r="E56" s="4379" t="s">
        <v>1661</v>
      </c>
      <c r="F56" s="4375" t="s">
        <v>199</v>
      </c>
      <c r="G56" s="4369" t="str">
        <f t="shared" si="2"/>
        <v>NA</v>
      </c>
      <c r="H56" s="4370" t="str">
        <f t="shared" si="3"/>
        <v>NA</v>
      </c>
      <c r="I56" s="4371" t="str">
        <f t="shared" si="4"/>
        <v>NA</v>
      </c>
      <c r="J56" s="4376" t="s">
        <v>199</v>
      </c>
      <c r="K56" s="4377" t="s">
        <v>199</v>
      </c>
      <c r="L56" s="4378" t="s">
        <v>199</v>
      </c>
      <c r="M56" s="472"/>
    </row>
    <row r="57" spans="2:13" ht="18" customHeight="1" x14ac:dyDescent="0.2">
      <c r="B57" s="926" t="s">
        <v>1694</v>
      </c>
      <c r="C57" s="4361"/>
      <c r="D57" s="4362"/>
      <c r="E57" s="4382" t="s">
        <v>1661</v>
      </c>
      <c r="F57" s="4368" t="str">
        <f>F58</f>
        <v>IE</v>
      </c>
      <c r="G57" s="4369" t="str">
        <f t="shared" si="2"/>
        <v>NA</v>
      </c>
      <c r="H57" s="4370" t="str">
        <f t="shared" si="3"/>
        <v>NA</v>
      </c>
      <c r="I57" s="4371" t="str">
        <f t="shared" si="4"/>
        <v>NA</v>
      </c>
      <c r="J57" s="4170" t="str">
        <f>J58</f>
        <v>IE</v>
      </c>
      <c r="K57" s="4170" t="str">
        <f>K58</f>
        <v>IE</v>
      </c>
      <c r="L57" s="4372" t="str">
        <f>L58</f>
        <v>IE</v>
      </c>
      <c r="M57" s="472"/>
    </row>
    <row r="58" spans="2:13" s="4303" customFormat="1" ht="18" customHeight="1" thickBot="1" x14ac:dyDescent="0.25">
      <c r="B58" s="936"/>
      <c r="C58" s="2865" t="s">
        <v>205</v>
      </c>
      <c r="D58" s="4384"/>
      <c r="E58" s="4385" t="s">
        <v>1661</v>
      </c>
      <c r="F58" s="4386" t="s">
        <v>274</v>
      </c>
      <c r="G58" s="4387" t="str">
        <f t="shared" si="2"/>
        <v>NA</v>
      </c>
      <c r="H58" s="4388" t="str">
        <f t="shared" si="3"/>
        <v>NA</v>
      </c>
      <c r="I58" s="4389" t="str">
        <f t="shared" si="4"/>
        <v>NA</v>
      </c>
      <c r="J58" s="4390" t="s">
        <v>274</v>
      </c>
      <c r="K58" s="4391" t="s">
        <v>274</v>
      </c>
      <c r="L58" s="4392" t="s">
        <v>274</v>
      </c>
      <c r="M58" s="4314"/>
    </row>
    <row r="59" spans="2:13" ht="18" customHeight="1" x14ac:dyDescent="0.2">
      <c r="B59" s="934" t="s">
        <v>1695</v>
      </c>
      <c r="C59" s="4352"/>
      <c r="D59" s="4353"/>
      <c r="E59" s="4393" t="s">
        <v>1661</v>
      </c>
      <c r="F59" s="4394">
        <f>IF(SUM(F60,F65)=0,"NO",SUM(F60,F65))</f>
        <v>24292.82772064997</v>
      </c>
      <c r="G59" s="4355" t="str">
        <f t="shared" si="2"/>
        <v>NA</v>
      </c>
      <c r="H59" s="4356">
        <f t="shared" si="3"/>
        <v>0.17282349695543206</v>
      </c>
      <c r="I59" s="4357">
        <f t="shared" si="4"/>
        <v>3.1948343673288901E-3</v>
      </c>
      <c r="J59" s="4358" t="str">
        <f>IF(SUM(J60,J65)=0,"IE",SUM(J60,J65))</f>
        <v>IE</v>
      </c>
      <c r="K59" s="4359">
        <f>IF(SUM(K60,K65)=0,"NO",SUM(K60,K65))</f>
        <v>4.1983714376185857</v>
      </c>
      <c r="L59" s="4360">
        <f>IF(SUM(L60,L65)=0,"NO",SUM(L60,L65))</f>
        <v>7.7611560881532468E-2</v>
      </c>
    </row>
    <row r="60" spans="2:13" ht="18" customHeight="1" x14ac:dyDescent="0.2">
      <c r="B60" s="906" t="s">
        <v>1696</v>
      </c>
      <c r="C60" s="4361"/>
      <c r="D60" s="4362"/>
      <c r="E60" s="4382" t="s">
        <v>1661</v>
      </c>
      <c r="F60" s="4383" t="str">
        <f t="shared" ref="F60" si="21">IF(SUM(F61,F63)=0,"IE",SUM(F61,F63))</f>
        <v>IE</v>
      </c>
      <c r="G60" s="4365" t="str">
        <f t="shared" si="2"/>
        <v>NA</v>
      </c>
      <c r="H60" s="4366" t="str">
        <f t="shared" si="3"/>
        <v>NA</v>
      </c>
      <c r="I60" s="4367" t="str">
        <f t="shared" si="4"/>
        <v>NA</v>
      </c>
      <c r="J60" s="4170" t="str">
        <f>IF(SUM(J61,J63)=0,"IE",SUM(J61,J63))</f>
        <v>IE</v>
      </c>
      <c r="K60" s="3057" t="str">
        <f t="shared" ref="K60:L60" si="22">IF(SUM(K61,K63)=0,"IE",SUM(K61,K63))</f>
        <v>IE</v>
      </c>
      <c r="L60" s="3106" t="str">
        <f t="shared" si="22"/>
        <v>IE</v>
      </c>
    </row>
    <row r="61" spans="2:13" ht="18" customHeight="1" x14ac:dyDescent="0.2">
      <c r="B61" s="926" t="s">
        <v>1697</v>
      </c>
      <c r="C61" s="4361"/>
      <c r="D61" s="4362"/>
      <c r="E61" s="4382" t="s">
        <v>1661</v>
      </c>
      <c r="F61" s="4368" t="str">
        <f>F62</f>
        <v>IE</v>
      </c>
      <c r="G61" s="4369" t="str">
        <f t="shared" si="2"/>
        <v>NA</v>
      </c>
      <c r="H61" s="4370" t="str">
        <f t="shared" si="3"/>
        <v>NA</v>
      </c>
      <c r="I61" s="4371" t="str">
        <f t="shared" si="4"/>
        <v>NA</v>
      </c>
      <c r="J61" s="4170" t="str">
        <f>J62</f>
        <v>IE</v>
      </c>
      <c r="K61" s="4170" t="str">
        <f>K62</f>
        <v>IE</v>
      </c>
      <c r="L61" s="4372" t="str">
        <f>L62</f>
        <v>IE</v>
      </c>
      <c r="M61" s="472"/>
    </row>
    <row r="62" spans="2:13" s="4303" customFormat="1" ht="18" customHeight="1" x14ac:dyDescent="0.2">
      <c r="B62" s="926"/>
      <c r="C62" s="2864" t="s">
        <v>205</v>
      </c>
      <c r="D62" s="4373"/>
      <c r="E62" s="4379" t="s">
        <v>1661</v>
      </c>
      <c r="F62" s="4375" t="s">
        <v>274</v>
      </c>
      <c r="G62" s="4369" t="str">
        <f t="shared" si="2"/>
        <v>NA</v>
      </c>
      <c r="H62" s="4370" t="str">
        <f t="shared" si="3"/>
        <v>NA</v>
      </c>
      <c r="I62" s="4371" t="str">
        <f t="shared" si="4"/>
        <v>NA</v>
      </c>
      <c r="J62" s="4376" t="s">
        <v>274</v>
      </c>
      <c r="K62" s="4377" t="s">
        <v>274</v>
      </c>
      <c r="L62" s="4378" t="s">
        <v>274</v>
      </c>
      <c r="M62" s="4314"/>
    </row>
    <row r="63" spans="2:13" ht="18" customHeight="1" x14ac:dyDescent="0.2">
      <c r="B63" s="926" t="s">
        <v>1698</v>
      </c>
      <c r="C63" s="4361"/>
      <c r="D63" s="4362"/>
      <c r="E63" s="4382" t="s">
        <v>1661</v>
      </c>
      <c r="F63" s="4368" t="str">
        <f>F64</f>
        <v>IE</v>
      </c>
      <c r="G63" s="4369" t="str">
        <f t="shared" si="2"/>
        <v>NA</v>
      </c>
      <c r="H63" s="4370" t="str">
        <f t="shared" si="3"/>
        <v>NA</v>
      </c>
      <c r="I63" s="4371" t="str">
        <f t="shared" si="4"/>
        <v>NA</v>
      </c>
      <c r="J63" s="4170" t="str">
        <f>J64</f>
        <v>IE</v>
      </c>
      <c r="K63" s="4170" t="str">
        <f>K64</f>
        <v>IE</v>
      </c>
      <c r="L63" s="4372" t="str">
        <f>L64</f>
        <v>IE</v>
      </c>
      <c r="M63" s="472"/>
    </row>
    <row r="64" spans="2:13" s="4303" customFormat="1" ht="18" customHeight="1" x14ac:dyDescent="0.2">
      <c r="B64" s="926"/>
      <c r="C64" s="2864" t="s">
        <v>205</v>
      </c>
      <c r="D64" s="4373"/>
      <c r="E64" s="4379" t="s">
        <v>1661</v>
      </c>
      <c r="F64" s="4375" t="s">
        <v>274</v>
      </c>
      <c r="G64" s="4369" t="str">
        <f t="shared" si="2"/>
        <v>NA</v>
      </c>
      <c r="H64" s="4370" t="str">
        <f t="shared" si="3"/>
        <v>NA</v>
      </c>
      <c r="I64" s="4371" t="str">
        <f t="shared" si="4"/>
        <v>NA</v>
      </c>
      <c r="J64" s="4376" t="s">
        <v>274</v>
      </c>
      <c r="K64" s="4377" t="s">
        <v>274</v>
      </c>
      <c r="L64" s="4378" t="s">
        <v>274</v>
      </c>
      <c r="M64" s="4314"/>
    </row>
    <row r="65" spans="2:13" ht="18" customHeight="1" x14ac:dyDescent="0.2">
      <c r="B65" s="906" t="s">
        <v>1699</v>
      </c>
      <c r="C65" s="4361"/>
      <c r="D65" s="4362"/>
      <c r="E65" s="4382" t="s">
        <v>1661</v>
      </c>
      <c r="F65" s="4364">
        <f>IF(SUM(F66,F68)=0,"NO",SUM(F66,F68))</f>
        <v>24292.82772064997</v>
      </c>
      <c r="G65" s="4365" t="str">
        <f t="shared" si="2"/>
        <v>NA</v>
      </c>
      <c r="H65" s="4366">
        <f t="shared" si="3"/>
        <v>0.17282349695543206</v>
      </c>
      <c r="I65" s="4367">
        <f t="shared" si="4"/>
        <v>3.1948343673288901E-3</v>
      </c>
      <c r="J65" s="4170" t="str">
        <f>IF(SUM(J66,J68)=0,"IE",SUM(J66,J68))</f>
        <v>IE</v>
      </c>
      <c r="K65" s="3057">
        <f>IF(SUM(K66,K68)=0,"NO",SUM(K66,K68))</f>
        <v>4.1983714376185857</v>
      </c>
      <c r="L65" s="3106">
        <f>IF(SUM(L66,L68)=0,"NO",SUM(L66,L68))</f>
        <v>7.7611560881532468E-2</v>
      </c>
    </row>
    <row r="66" spans="2:13" ht="18" customHeight="1" x14ac:dyDescent="0.2">
      <c r="B66" s="926" t="s">
        <v>1700</v>
      </c>
      <c r="C66" s="4361"/>
      <c r="D66" s="4362"/>
      <c r="E66" s="4382" t="s">
        <v>1661</v>
      </c>
      <c r="F66" s="4368">
        <f>F67</f>
        <v>24292.82772064997</v>
      </c>
      <c r="G66" s="4369" t="str">
        <f t="shared" si="2"/>
        <v>NA</v>
      </c>
      <c r="H66" s="4370">
        <f t="shared" si="3"/>
        <v>0.17282349695543206</v>
      </c>
      <c r="I66" s="4371">
        <f t="shared" si="4"/>
        <v>3.1948343673288901E-3</v>
      </c>
      <c r="J66" s="4170" t="str">
        <f>J67</f>
        <v>IE</v>
      </c>
      <c r="K66" s="4170">
        <f>K67</f>
        <v>4.1983714376185857</v>
      </c>
      <c r="L66" s="4372">
        <f>L67</f>
        <v>7.7611560881532468E-2</v>
      </c>
      <c r="M66" s="472"/>
    </row>
    <row r="67" spans="2:13" ht="18" customHeight="1" x14ac:dyDescent="0.2">
      <c r="B67" s="926"/>
      <c r="C67" s="2864" t="s">
        <v>1679</v>
      </c>
      <c r="D67" s="4373" t="s">
        <v>1219</v>
      </c>
      <c r="E67" s="4379" t="s">
        <v>1661</v>
      </c>
      <c r="F67" s="4380">
        <v>24292.82772064997</v>
      </c>
      <c r="G67" s="4369" t="str">
        <f t="shared" si="2"/>
        <v>NA</v>
      </c>
      <c r="H67" s="4370">
        <f t="shared" ref="H67:H68" si="23">IF(SUM($F67)=0,"NA",K67*1000/$F67)</f>
        <v>0.17282349695543206</v>
      </c>
      <c r="I67" s="4371">
        <f t="shared" ref="I67:I68" si="24">IF(SUM($F67)=0,"NA",L67*1000/$F67)</f>
        <v>3.1948343673288901E-3</v>
      </c>
      <c r="J67" s="4376" t="s">
        <v>274</v>
      </c>
      <c r="K67" s="4377">
        <v>4.1983714376185857</v>
      </c>
      <c r="L67" s="4381">
        <v>7.7611560881532468E-2</v>
      </c>
      <c r="M67" s="472"/>
    </row>
    <row r="68" spans="2:13" ht="18" customHeight="1" x14ac:dyDescent="0.2">
      <c r="B68" s="926" t="s">
        <v>1701</v>
      </c>
      <c r="C68" s="4361"/>
      <c r="D68" s="4362"/>
      <c r="E68" s="4382" t="s">
        <v>1661</v>
      </c>
      <c r="F68" s="4368" t="str">
        <f>F69</f>
        <v>IE</v>
      </c>
      <c r="G68" s="4369" t="str">
        <f t="shared" si="2"/>
        <v>NA</v>
      </c>
      <c r="H68" s="4370" t="str">
        <f t="shared" si="23"/>
        <v>NA</v>
      </c>
      <c r="I68" s="4371" t="str">
        <f t="shared" si="24"/>
        <v>NA</v>
      </c>
      <c r="J68" s="4170" t="str">
        <f>J69</f>
        <v>IE</v>
      </c>
      <c r="K68" s="4170" t="str">
        <f>K69</f>
        <v>IE</v>
      </c>
      <c r="L68" s="4372" t="str">
        <f>L69</f>
        <v>IE</v>
      </c>
      <c r="M68" s="472"/>
    </row>
    <row r="69" spans="2:13" s="4303" customFormat="1" ht="18" customHeight="1" thickBot="1" x14ac:dyDescent="0.25">
      <c r="B69" s="936"/>
      <c r="C69" s="2865" t="s">
        <v>205</v>
      </c>
      <c r="D69" s="4384"/>
      <c r="E69" s="4385" t="s">
        <v>1661</v>
      </c>
      <c r="F69" s="4386" t="s">
        <v>274</v>
      </c>
      <c r="G69" s="4387" t="str">
        <f t="shared" si="2"/>
        <v>NA</v>
      </c>
      <c r="H69" s="4388" t="str">
        <f t="shared" ref="H69" si="25">IF(SUM($F69)=0,"NA",K69*1000/$F69)</f>
        <v>NA</v>
      </c>
      <c r="I69" s="4389" t="str">
        <f t="shared" ref="I69" si="26">IF(SUM($F69)=0,"NA",L69*1000/$F69)</f>
        <v>NA</v>
      </c>
      <c r="J69" s="4390" t="s">
        <v>274</v>
      </c>
      <c r="K69" s="4391" t="s">
        <v>274</v>
      </c>
      <c r="L69" s="4392" t="s">
        <v>274</v>
      </c>
      <c r="M69" s="4314"/>
    </row>
    <row r="70" spans="2:13" ht="18" customHeight="1" x14ac:dyDescent="0.2">
      <c r="B70" s="934" t="s">
        <v>1702</v>
      </c>
      <c r="C70" s="4352"/>
      <c r="D70" s="4353"/>
      <c r="E70" s="4393" t="s">
        <v>1661</v>
      </c>
      <c r="F70" s="4395" t="str">
        <f>F71</f>
        <v>NO</v>
      </c>
      <c r="G70" s="3573" t="str">
        <f t="shared" si="2"/>
        <v>NA</v>
      </c>
      <c r="H70" s="3574" t="str">
        <f t="shared" si="3"/>
        <v>NA</v>
      </c>
      <c r="I70" s="3575" t="str">
        <f t="shared" si="4"/>
        <v>NA</v>
      </c>
      <c r="J70" s="4396" t="str">
        <f>J71</f>
        <v>NO</v>
      </c>
      <c r="K70" s="4396" t="str">
        <f>K71</f>
        <v>NO</v>
      </c>
      <c r="L70" s="4397" t="str">
        <f>L71</f>
        <v>NO</v>
      </c>
    </row>
    <row r="71" spans="2:13" ht="18" customHeight="1" x14ac:dyDescent="0.2">
      <c r="B71" s="906" t="s">
        <v>1703</v>
      </c>
      <c r="C71" s="4361"/>
      <c r="D71" s="4362"/>
      <c r="E71" s="4382" t="s">
        <v>1661</v>
      </c>
      <c r="F71" s="4364" t="str">
        <f>IF(SUM(F72,F74)=0,"NO",SUM(F72,F74))</f>
        <v>NO</v>
      </c>
      <c r="G71" s="4365" t="str">
        <f t="shared" si="2"/>
        <v>NA</v>
      </c>
      <c r="H71" s="4366" t="str">
        <f t="shared" ref="H71" si="27">IF(SUM($F71)=0,"NA",K71*1000/$F71)</f>
        <v>NA</v>
      </c>
      <c r="I71" s="4367" t="str">
        <f t="shared" ref="I71" si="28">IF(SUM($F71)=0,"NA",L71*1000/$F71)</f>
        <v>NA</v>
      </c>
      <c r="J71" s="4170" t="str">
        <f>IF(SUM(J72,J74)=0,"NO",SUM(J72,J74))</f>
        <v>NO</v>
      </c>
      <c r="K71" s="3057" t="str">
        <f>IF(SUM(K72,K74)=0,"NO",SUM(K72,K74))</f>
        <v>NO</v>
      </c>
      <c r="L71" s="3106" t="str">
        <f>IF(SUM(L72,L74)=0,"NO",SUM(L72,L74))</f>
        <v>NO</v>
      </c>
    </row>
    <row r="72" spans="2:13" ht="18" customHeight="1" x14ac:dyDescent="0.2">
      <c r="B72" s="926" t="s">
        <v>1704</v>
      </c>
      <c r="C72" s="4361"/>
      <c r="D72" s="4362"/>
      <c r="E72" s="4382" t="s">
        <v>1661</v>
      </c>
      <c r="F72" s="4368" t="str">
        <f>F73</f>
        <v>NO</v>
      </c>
      <c r="G72" s="4369" t="str">
        <f t="shared" si="2"/>
        <v>NA</v>
      </c>
      <c r="H72" s="4370" t="str">
        <f t="shared" si="3"/>
        <v>NA</v>
      </c>
      <c r="I72" s="4371" t="str">
        <f t="shared" si="4"/>
        <v>NA</v>
      </c>
      <c r="J72" s="4170" t="str">
        <f>J73</f>
        <v>NO</v>
      </c>
      <c r="K72" s="4170" t="str">
        <f>K73</f>
        <v>NO</v>
      </c>
      <c r="L72" s="4372" t="str">
        <f>L73</f>
        <v>NO</v>
      </c>
      <c r="M72" s="472"/>
    </row>
    <row r="73" spans="2:13" ht="18" customHeight="1" x14ac:dyDescent="0.2">
      <c r="B73" s="926"/>
      <c r="C73" s="2864" t="s">
        <v>205</v>
      </c>
      <c r="D73" s="4373"/>
      <c r="E73" s="4379" t="s">
        <v>1661</v>
      </c>
      <c r="F73" s="4375" t="s">
        <v>199</v>
      </c>
      <c r="G73" s="4369" t="str">
        <f t="shared" si="2"/>
        <v>NA</v>
      </c>
      <c r="H73" s="4370" t="str">
        <f t="shared" ref="H73:H74" si="29">IF(SUM($F73)=0,"NA",K73*1000/$F73)</f>
        <v>NA</v>
      </c>
      <c r="I73" s="4371" t="str">
        <f t="shared" ref="I73:I74" si="30">IF(SUM($F73)=0,"NA",L73*1000/$F73)</f>
        <v>NA</v>
      </c>
      <c r="J73" s="4376" t="s">
        <v>199</v>
      </c>
      <c r="K73" s="4377" t="s">
        <v>199</v>
      </c>
      <c r="L73" s="4378" t="s">
        <v>199</v>
      </c>
      <c r="M73" s="472"/>
    </row>
    <row r="74" spans="2:13" ht="18" customHeight="1" x14ac:dyDescent="0.2">
      <c r="B74" s="926" t="s">
        <v>1705</v>
      </c>
      <c r="C74" s="4361"/>
      <c r="D74" s="4362"/>
      <c r="E74" s="4382" t="s">
        <v>1661</v>
      </c>
      <c r="F74" s="4368" t="str">
        <f>F75</f>
        <v>NO</v>
      </c>
      <c r="G74" s="4369" t="str">
        <f t="shared" si="2"/>
        <v>NA</v>
      </c>
      <c r="H74" s="4370" t="str">
        <f t="shared" si="29"/>
        <v>NA</v>
      </c>
      <c r="I74" s="4371" t="str">
        <f t="shared" si="30"/>
        <v>NA</v>
      </c>
      <c r="J74" s="4170" t="str">
        <f>J75</f>
        <v>NO</v>
      </c>
      <c r="K74" s="4170" t="str">
        <f>K75</f>
        <v>NO</v>
      </c>
      <c r="L74" s="4372" t="str">
        <f>L75</f>
        <v>NO</v>
      </c>
      <c r="M74" s="472"/>
    </row>
    <row r="75" spans="2:13" ht="18" customHeight="1" thickBot="1" x14ac:dyDescent="0.25">
      <c r="B75" s="936"/>
      <c r="C75" s="2865" t="s">
        <v>205</v>
      </c>
      <c r="D75" s="4384"/>
      <c r="E75" s="4385" t="s">
        <v>1661</v>
      </c>
      <c r="F75" s="4386" t="s">
        <v>199</v>
      </c>
      <c r="G75" s="4387" t="str">
        <f t="shared" si="2"/>
        <v>NA</v>
      </c>
      <c r="H75" s="4388" t="str">
        <f t="shared" si="3"/>
        <v>NA</v>
      </c>
      <c r="I75" s="4389" t="str">
        <f t="shared" si="4"/>
        <v>NA</v>
      </c>
      <c r="J75" s="4390" t="s">
        <v>199</v>
      </c>
      <c r="K75" s="4391" t="s">
        <v>199</v>
      </c>
      <c r="L75" s="4392" t="s">
        <v>199</v>
      </c>
      <c r="M75" s="472"/>
    </row>
    <row r="76" spans="2:13" ht="18" customHeight="1" x14ac:dyDescent="0.2">
      <c r="B76" s="934" t="s">
        <v>1706</v>
      </c>
      <c r="C76" s="4352"/>
      <c r="D76" s="4353"/>
      <c r="E76" s="4393" t="s">
        <v>1661</v>
      </c>
      <c r="F76" s="4395" t="str">
        <f>F77</f>
        <v>NA</v>
      </c>
      <c r="G76" s="3573" t="str">
        <f t="shared" si="2"/>
        <v>NA</v>
      </c>
      <c r="H76" s="3574" t="str">
        <f t="shared" si="3"/>
        <v>NA</v>
      </c>
      <c r="I76" s="3575" t="str">
        <f t="shared" si="4"/>
        <v>NA</v>
      </c>
      <c r="J76" s="4396" t="str">
        <f>J77</f>
        <v>NA</v>
      </c>
      <c r="K76" s="4396" t="str">
        <f>K77</f>
        <v>NA</v>
      </c>
      <c r="L76" s="4397" t="str">
        <f>L77</f>
        <v>NA</v>
      </c>
    </row>
    <row r="77" spans="2:13" ht="18" customHeight="1" thickBot="1" x14ac:dyDescent="0.25">
      <c r="B77" s="4398" t="s">
        <v>205</v>
      </c>
      <c r="C77" s="2865" t="s">
        <v>205</v>
      </c>
      <c r="D77" s="4399"/>
      <c r="E77" s="4400" t="s">
        <v>1661</v>
      </c>
      <c r="F77" s="4401" t="s">
        <v>205</v>
      </c>
      <c r="G77" s="4402" t="str">
        <f t="shared" ref="G77" si="31">IFERROR(IF(SUM($F77)=0,"NA",J77*1000/$F77),"NA")</f>
        <v>NA</v>
      </c>
      <c r="H77" s="4403" t="str">
        <f t="shared" si="3"/>
        <v>NA</v>
      </c>
      <c r="I77" s="4404" t="str">
        <f t="shared" si="4"/>
        <v>NA</v>
      </c>
      <c r="J77" s="4405" t="s">
        <v>205</v>
      </c>
      <c r="K77" s="4406" t="s">
        <v>205</v>
      </c>
      <c r="L77" s="4407" t="s">
        <v>205</v>
      </c>
    </row>
    <row r="78" spans="2:13" ht="10.5" customHeight="1" x14ac:dyDescent="0.2">
      <c r="B78" s="85"/>
      <c r="C78" s="85"/>
      <c r="D78" s="85"/>
      <c r="E78" s="85"/>
      <c r="F78" s="85"/>
      <c r="G78" s="247"/>
      <c r="H78" s="247"/>
      <c r="I78" s="247"/>
      <c r="J78" s="4307"/>
      <c r="K78" s="85"/>
      <c r="L78" s="85"/>
    </row>
    <row r="79" spans="2:13" ht="13.5" x14ac:dyDescent="0.2">
      <c r="B79" s="817"/>
      <c r="C79" s="817"/>
      <c r="D79" s="817"/>
      <c r="E79" s="817"/>
      <c r="F79" s="817"/>
      <c r="G79" s="817"/>
      <c r="H79" s="817"/>
      <c r="I79" s="817"/>
      <c r="J79" s="4308"/>
      <c r="K79" s="921"/>
      <c r="L79" s="921"/>
    </row>
    <row r="80" spans="2:13" ht="13.5" x14ac:dyDescent="0.2">
      <c r="B80" s="817"/>
      <c r="C80" s="817"/>
      <c r="D80" s="817"/>
      <c r="E80" s="817"/>
      <c r="F80" s="817"/>
      <c r="G80" s="817"/>
      <c r="H80" s="817"/>
      <c r="I80" s="817"/>
      <c r="J80" s="4309"/>
      <c r="K80" s="817"/>
      <c r="L80" s="817"/>
    </row>
    <row r="81" spans="2:16" ht="13.5" x14ac:dyDescent="0.2">
      <c r="B81" s="533"/>
      <c r="C81" s="817"/>
      <c r="D81" s="817"/>
      <c r="E81" s="817"/>
      <c r="F81" s="817"/>
      <c r="G81" s="817"/>
      <c r="H81" s="817"/>
      <c r="I81" s="817"/>
      <c r="J81" s="4309"/>
      <c r="K81" s="817"/>
      <c r="L81" s="817"/>
    </row>
    <row r="82" spans="2:16" ht="13.5" x14ac:dyDescent="0.2">
      <c r="B82" s="817"/>
      <c r="C82" s="817"/>
      <c r="D82" s="817"/>
      <c r="E82" s="817"/>
      <c r="F82" s="817"/>
      <c r="G82" s="817"/>
      <c r="H82" s="817"/>
      <c r="I82" s="817"/>
      <c r="J82" s="4309"/>
      <c r="K82" s="817"/>
      <c r="L82" s="817"/>
    </row>
    <row r="83" spans="2:16" ht="13.5" x14ac:dyDescent="0.2">
      <c r="B83" s="817"/>
      <c r="C83" s="817"/>
      <c r="D83" s="817"/>
      <c r="E83" s="817"/>
      <c r="F83" s="817"/>
      <c r="G83" s="817"/>
      <c r="H83" s="817"/>
      <c r="I83" s="817"/>
      <c r="J83" s="4309"/>
      <c r="K83" s="817"/>
      <c r="L83" s="817"/>
    </row>
    <row r="84" spans="2:16" ht="13.5" x14ac:dyDescent="0.2">
      <c r="B84" s="938"/>
      <c r="C84" s="817"/>
      <c r="D84" s="817"/>
      <c r="E84" s="817"/>
      <c r="F84" s="817"/>
      <c r="G84" s="817"/>
      <c r="H84" s="817"/>
      <c r="I84" s="817"/>
      <c r="J84" s="4309"/>
      <c r="K84" s="817"/>
      <c r="L84" s="817"/>
    </row>
    <row r="85" spans="2:16" x14ac:dyDescent="0.2">
      <c r="B85" s="533"/>
      <c r="C85" s="921"/>
      <c r="D85" s="921"/>
      <c r="E85" s="921"/>
      <c r="F85" s="921"/>
      <c r="G85" s="921"/>
      <c r="H85" s="921"/>
      <c r="I85" s="921"/>
      <c r="J85" s="4308"/>
      <c r="K85" s="921"/>
      <c r="L85" s="921"/>
    </row>
    <row r="86" spans="2:16" ht="13.5" x14ac:dyDescent="0.2">
      <c r="B86" s="817"/>
      <c r="C86" s="817"/>
      <c r="D86" s="817"/>
      <c r="E86" s="817"/>
      <c r="F86" s="817"/>
      <c r="G86" s="817"/>
      <c r="H86" s="817"/>
      <c r="I86" s="817"/>
      <c r="J86" s="4309"/>
      <c r="K86" s="817"/>
      <c r="L86" s="817"/>
      <c r="P86" s="377"/>
    </row>
    <row r="87" spans="2:16" ht="13.5" x14ac:dyDescent="0.2">
      <c r="B87" s="817"/>
      <c r="C87" s="817"/>
      <c r="D87" s="817"/>
      <c r="E87" s="817"/>
      <c r="F87" s="817"/>
      <c r="G87" s="817"/>
      <c r="H87" s="817"/>
      <c r="I87" s="817"/>
      <c r="J87" s="4309"/>
      <c r="K87" s="817"/>
      <c r="L87" s="817"/>
      <c r="P87" s="377"/>
    </row>
    <row r="88" spans="2:16" ht="13.5" x14ac:dyDescent="0.2">
      <c r="B88" s="817"/>
      <c r="C88" s="817"/>
      <c r="D88" s="817"/>
      <c r="E88" s="817"/>
      <c r="F88" s="817"/>
      <c r="G88" s="817"/>
      <c r="H88" s="817"/>
      <c r="I88" s="817"/>
      <c r="J88" s="4309"/>
      <c r="K88" s="817"/>
      <c r="L88" s="817"/>
      <c r="P88" s="377"/>
    </row>
    <row r="89" spans="2:16" ht="13.5" x14ac:dyDescent="0.2">
      <c r="B89" s="816"/>
      <c r="C89" s="816"/>
      <c r="D89" s="816"/>
      <c r="E89" s="816"/>
      <c r="F89" s="816"/>
      <c r="G89" s="816"/>
      <c r="H89" s="816"/>
      <c r="I89" s="817"/>
      <c r="J89" s="4309"/>
      <c r="K89" s="817"/>
      <c r="L89" s="817"/>
    </row>
    <row r="90" spans="2:16" ht="13.5" thickBot="1" x14ac:dyDescent="0.25">
      <c r="B90" s="84"/>
      <c r="C90" s="84"/>
      <c r="D90" s="84"/>
      <c r="E90" s="84"/>
      <c r="F90" s="84"/>
      <c r="G90" s="84"/>
      <c r="H90" s="84"/>
      <c r="I90" s="84"/>
      <c r="J90" s="4310"/>
      <c r="K90" s="84"/>
      <c r="L90" s="84"/>
    </row>
    <row r="91" spans="2:16" x14ac:dyDescent="0.2">
      <c r="B91" s="922" t="s">
        <v>561</v>
      </c>
      <c r="C91" s="923"/>
      <c r="D91" s="924"/>
      <c r="E91" s="924"/>
      <c r="F91" s="534"/>
      <c r="G91" s="924"/>
      <c r="H91" s="924"/>
      <c r="I91" s="924"/>
      <c r="J91" s="4311"/>
      <c r="K91" s="924"/>
      <c r="L91" s="925"/>
    </row>
    <row r="92" spans="2:16" x14ac:dyDescent="0.2">
      <c r="B92" s="1356"/>
      <c r="C92" s="1357"/>
      <c r="D92" s="1358"/>
      <c r="E92" s="1358"/>
      <c r="F92" s="1359"/>
      <c r="G92" s="1358"/>
      <c r="H92" s="1358"/>
      <c r="I92" s="1358"/>
      <c r="J92" s="4312"/>
      <c r="K92" s="1358"/>
      <c r="L92" s="1360"/>
    </row>
    <row r="93" spans="2:16" x14ac:dyDescent="0.2">
      <c r="B93" s="1356"/>
      <c r="C93" s="1357"/>
      <c r="D93" s="1358"/>
      <c r="E93" s="1358"/>
      <c r="F93" s="1359"/>
      <c r="G93" s="1358"/>
      <c r="H93" s="1358"/>
      <c r="I93" s="1358"/>
      <c r="J93" s="4312"/>
      <c r="K93" s="1358"/>
      <c r="L93" s="1360"/>
    </row>
    <row r="94" spans="2:16" ht="13.5" thickBot="1" x14ac:dyDescent="0.25">
      <c r="B94" s="1353"/>
      <c r="C94" s="1354"/>
      <c r="D94" s="1354"/>
      <c r="E94" s="1354"/>
      <c r="F94" s="1354"/>
      <c r="G94" s="1354"/>
      <c r="H94" s="1354"/>
      <c r="I94" s="1354"/>
      <c r="J94" s="4313"/>
      <c r="K94" s="1354"/>
      <c r="L94" s="1355"/>
    </row>
    <row r="95" spans="2:16" ht="28.5" customHeight="1" thickBot="1" x14ac:dyDescent="0.25">
      <c r="B95" s="4509" t="s">
        <v>1707</v>
      </c>
      <c r="C95" s="4510"/>
      <c r="D95" s="4510"/>
      <c r="E95" s="4510"/>
      <c r="F95" s="4510"/>
      <c r="G95" s="4510"/>
      <c r="H95" s="4510"/>
      <c r="I95" s="4510"/>
      <c r="J95" s="4510"/>
      <c r="K95" s="4510"/>
      <c r="L95" s="4511"/>
    </row>
    <row r="96" spans="2:16" x14ac:dyDescent="0.2">
      <c r="B96" s="85"/>
      <c r="C96" s="85"/>
      <c r="D96" s="85"/>
      <c r="E96" s="85"/>
      <c r="F96" s="85"/>
      <c r="G96" s="85"/>
      <c r="H96" s="85"/>
      <c r="I96" s="85"/>
      <c r="J96" s="4307"/>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2460</v>
      </c>
      <c r="H1" s="226"/>
      <c r="I1" s="2"/>
      <c r="J1" s="2"/>
    </row>
    <row r="2" spans="1:10" ht="18.75" x14ac:dyDescent="0.25">
      <c r="B2" s="13" t="s">
        <v>1709</v>
      </c>
      <c r="C2" s="159"/>
      <c r="D2" s="159"/>
      <c r="E2" s="159"/>
      <c r="F2" s="159"/>
      <c r="G2" s="14" t="s">
        <v>2461</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6"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3">
        <f>IF(SUM(C11,C16:C17)=0,"NO",SUM(C11,C16:C17))</f>
        <v>5189.8433790332683</v>
      </c>
      <c r="D10" s="3463">
        <f>IF(SUM(D11,D16:D17)=0,"NO",SUM(D11,D16:D17))</f>
        <v>-3424.7153181233393</v>
      </c>
      <c r="E10" s="3464"/>
      <c r="F10" s="3465">
        <f>IF(SUM(F11,F16:F17)=0,"NO",SUM(F11,F16:F17))</f>
        <v>1765.128060909929</v>
      </c>
      <c r="G10" s="3466">
        <f>IF(SUM(G11,G16:G17)=0,"NO",SUM(G11,G16:G17))</f>
        <v>-6472.1362233364061</v>
      </c>
      <c r="H10" s="226"/>
      <c r="I10" s="2"/>
      <c r="J10" s="2"/>
    </row>
    <row r="11" spans="1:10" ht="18" customHeight="1" x14ac:dyDescent="0.2">
      <c r="B11" s="592" t="s">
        <v>1722</v>
      </c>
      <c r="C11" s="3467">
        <f>IF(SUM(C13:C15)=0,"NO",SUM(C13:C15))</f>
        <v>1718.9199183398791</v>
      </c>
      <c r="D11" s="3468">
        <f>IF(SUM(D13:D15)=0,"NO",SUM(D13:D15))</f>
        <v>-693.60448139925904</v>
      </c>
      <c r="E11" s="3469"/>
      <c r="F11" s="3470">
        <f>IF(SUM(F13:F15)=0,"NO",SUM(F13:F15))</f>
        <v>1025.3154369406202</v>
      </c>
      <c r="G11" s="3471">
        <f>IF(SUM(G13:G15)=0,"NO",SUM(G13:G15))</f>
        <v>-3759.4899354489403</v>
      </c>
      <c r="H11" s="226"/>
      <c r="I11" s="2"/>
      <c r="J11" s="2"/>
    </row>
    <row r="12" spans="1:10" ht="18" customHeight="1" x14ac:dyDescent="0.2">
      <c r="B12" s="1361" t="s">
        <v>498</v>
      </c>
      <c r="C12" s="3472"/>
      <c r="D12" s="3473"/>
      <c r="E12" s="3473"/>
      <c r="F12" s="3473"/>
      <c r="G12" s="3474"/>
      <c r="H12" s="226"/>
      <c r="I12" s="2"/>
      <c r="J12" s="2"/>
    </row>
    <row r="13" spans="1:10" ht="18" customHeight="1" x14ac:dyDescent="0.2">
      <c r="B13" s="1192" t="s">
        <v>1723</v>
      </c>
      <c r="C13" s="3475">
        <v>1209.7020172393788</v>
      </c>
      <c r="D13" s="3476">
        <f>F13-C13</f>
        <v>-425.26868121223765</v>
      </c>
      <c r="E13" s="3477" t="s">
        <v>205</v>
      </c>
      <c r="F13" s="3478">
        <f>G13/(-44/12)</f>
        <v>784.43333602714119</v>
      </c>
      <c r="G13" s="3479">
        <v>-2876.2555654328507</v>
      </c>
      <c r="H13" s="226"/>
      <c r="I13" s="2"/>
      <c r="J13" s="2"/>
    </row>
    <row r="14" spans="1:10" ht="18" customHeight="1" x14ac:dyDescent="0.2">
      <c r="B14" s="1192" t="s">
        <v>1724</v>
      </c>
      <c r="C14" s="3480">
        <v>509.2179011005004</v>
      </c>
      <c r="D14" s="3481">
        <f>F14-C14</f>
        <v>-268.33580018702139</v>
      </c>
      <c r="E14" s="3202" t="s">
        <v>205</v>
      </c>
      <c r="F14" s="3482">
        <f>G14/(-44/12)</f>
        <v>240.88210091347901</v>
      </c>
      <c r="G14" s="3479">
        <v>-883.23437001608966</v>
      </c>
      <c r="H14" s="226"/>
      <c r="I14" s="2"/>
      <c r="J14" s="2"/>
    </row>
    <row r="15" spans="1:10" ht="18" customHeight="1" x14ac:dyDescent="0.2">
      <c r="B15" s="1192" t="s">
        <v>1725</v>
      </c>
      <c r="C15" s="3483" t="s">
        <v>205</v>
      </c>
      <c r="D15" s="3202" t="s">
        <v>205</v>
      </c>
      <c r="E15" s="3202" t="s">
        <v>205</v>
      </c>
      <c r="F15" s="3198" t="s">
        <v>205</v>
      </c>
      <c r="G15" s="3479" t="s">
        <v>205</v>
      </c>
      <c r="H15" s="226"/>
      <c r="I15" s="2"/>
      <c r="J15" s="2"/>
    </row>
    <row r="16" spans="1:10" ht="18" customHeight="1" x14ac:dyDescent="0.2">
      <c r="B16" s="592" t="s">
        <v>1726</v>
      </c>
      <c r="C16" s="3480">
        <v>2135.9609090037711</v>
      </c>
      <c r="D16" s="3481">
        <f>F16-C16</f>
        <v>-2171.4984713828198</v>
      </c>
      <c r="E16" s="3202" t="s">
        <v>205</v>
      </c>
      <c r="F16" s="3482">
        <f>G16/(-44/12)</f>
        <v>-35.537562379048715</v>
      </c>
      <c r="G16" s="3479">
        <v>130.3043953898453</v>
      </c>
      <c r="H16" s="226"/>
      <c r="I16" s="2"/>
      <c r="J16" s="2"/>
    </row>
    <row r="17" spans="2:10" ht="18" customHeight="1" x14ac:dyDescent="0.2">
      <c r="B17" s="1196" t="s">
        <v>1727</v>
      </c>
      <c r="C17" s="3484">
        <f>C18</f>
        <v>1334.9625516896181</v>
      </c>
      <c r="D17" s="3485">
        <f t="shared" ref="D17:F17" si="0">D18</f>
        <v>-559.61236534126044</v>
      </c>
      <c r="E17" s="3486"/>
      <c r="F17" s="3193">
        <f t="shared" si="0"/>
        <v>775.35018634835762</v>
      </c>
      <c r="G17" s="3479">
        <f>-F17*44/12</f>
        <v>-2842.9506832773113</v>
      </c>
      <c r="H17" s="226"/>
      <c r="I17" s="2"/>
      <c r="J17" s="2"/>
    </row>
    <row r="18" spans="2:10" ht="18" customHeight="1" thickBot="1" x14ac:dyDescent="0.25">
      <c r="B18" s="547" t="s">
        <v>1728</v>
      </c>
      <c r="C18" s="3487">
        <v>1334.9625516896181</v>
      </c>
      <c r="D18" s="3488">
        <f>F18-C18</f>
        <v>-559.61236534126044</v>
      </c>
      <c r="E18" s="3205" t="s">
        <v>205</v>
      </c>
      <c r="F18" s="3489">
        <f>G18/(-44/12)</f>
        <v>775.35018634835762</v>
      </c>
      <c r="G18" s="3490">
        <v>-2842.9506832773113</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5"/>
      <c r="D26" s="2316"/>
      <c r="E26" s="2316"/>
      <c r="F26" s="2316"/>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5"/>
      <c r="D37" s="2316"/>
      <c r="E37" s="2316"/>
      <c r="F37" s="2316"/>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5"/>
      <c r="D48" s="2316"/>
      <c r="E48" s="2316"/>
      <c r="F48" s="2316"/>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5"/>
      <c r="D63" s="2316"/>
      <c r="E63" s="2316"/>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1"/>
      <c r="D95" s="2501"/>
      <c r="E95" s="2501"/>
      <c r="F95" s="2501"/>
      <c r="G95" s="2502"/>
      <c r="H95" s="2"/>
      <c r="I95" s="2"/>
    </row>
    <row r="96" spans="2:10" x14ac:dyDescent="0.2">
      <c r="B96" s="1328"/>
      <c r="C96" s="2499"/>
      <c r="D96" s="2499"/>
      <c r="E96" s="2499"/>
      <c r="F96" s="2499"/>
      <c r="G96" s="2500"/>
      <c r="H96" s="2"/>
      <c r="I96" s="2"/>
    </row>
    <row r="97" spans="2:10" x14ac:dyDescent="0.2">
      <c r="B97" s="1328"/>
      <c r="C97" s="2499"/>
      <c r="D97" s="2499"/>
      <c r="E97" s="2499"/>
      <c r="F97" s="2499"/>
      <c r="G97" s="2500"/>
      <c r="H97" s="2"/>
      <c r="I97" s="2"/>
    </row>
    <row r="98" spans="2:10" x14ac:dyDescent="0.2">
      <c r="B98" s="2503"/>
      <c r="C98" s="2504"/>
      <c r="D98" s="2504"/>
      <c r="E98" s="2504"/>
      <c r="F98" s="2504"/>
      <c r="G98" s="2505"/>
      <c r="H98" s="2"/>
      <c r="I98" s="2"/>
    </row>
    <row r="99" spans="2:10" x14ac:dyDescent="0.2">
      <c r="B99" s="4534" t="s">
        <v>1764</v>
      </c>
      <c r="C99" s="4535"/>
      <c r="D99" s="4535"/>
      <c r="E99" s="4535"/>
      <c r="F99" s="4535"/>
      <c r="G99" s="4536"/>
      <c r="H99" s="2"/>
      <c r="I99" s="2"/>
    </row>
    <row r="100" spans="2:10" ht="26.25" customHeight="1" thickBot="1" x14ac:dyDescent="0.25">
      <c r="B100" s="4537"/>
      <c r="C100" s="4538"/>
      <c r="D100" s="4538"/>
      <c r="E100" s="4538"/>
      <c r="F100" s="4538"/>
      <c r="G100" s="4539"/>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2460</v>
      </c>
      <c r="Q1" s="84"/>
    </row>
    <row r="2" spans="2:25" ht="18.75" x14ac:dyDescent="0.25">
      <c r="B2" s="13" t="s">
        <v>1709</v>
      </c>
      <c r="N2" s="14" t="s">
        <v>2461</v>
      </c>
      <c r="Q2" s="84"/>
    </row>
    <row r="3" spans="2:25" ht="15.75" x14ac:dyDescent="0.25">
      <c r="B3" s="13" t="s">
        <v>872</v>
      </c>
      <c r="N3" s="14" t="s">
        <v>163</v>
      </c>
      <c r="Q3" s="84"/>
    </row>
    <row r="4" spans="2:25" ht="15.75" hidden="1" x14ac:dyDescent="0.25">
      <c r="B4" s="13"/>
      <c r="N4" s="84"/>
      <c r="Q4" s="84"/>
    </row>
    <row r="5" spans="2:25" x14ac:dyDescent="0.2">
      <c r="B5" s="2465"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8">
        <v>2629928</v>
      </c>
      <c r="D10" s="3609">
        <v>1017122</v>
      </c>
      <c r="E10" s="3610">
        <v>117374</v>
      </c>
      <c r="F10" s="3608">
        <v>747786</v>
      </c>
      <c r="G10" s="3609">
        <v>47442</v>
      </c>
      <c r="H10" s="3611">
        <v>1473</v>
      </c>
      <c r="I10" s="3612">
        <v>513000</v>
      </c>
      <c r="J10" s="3609">
        <v>333800</v>
      </c>
      <c r="K10" s="3611">
        <v>11900</v>
      </c>
      <c r="L10" s="2869" t="s">
        <v>205</v>
      </c>
      <c r="M10" s="2870" t="s">
        <v>205</v>
      </c>
      <c r="N10" s="2871" t="s">
        <v>205</v>
      </c>
      <c r="P10" s="2044" t="s">
        <v>590</v>
      </c>
      <c r="Q10" s="159"/>
      <c r="R10" s="159"/>
      <c r="S10" s="159"/>
      <c r="T10" s="159"/>
      <c r="U10" s="159"/>
      <c r="V10" s="159"/>
      <c r="W10" s="159"/>
      <c r="X10" s="159"/>
      <c r="Y10" s="159"/>
    </row>
    <row r="11" spans="2:25" ht="18" customHeight="1" thickBot="1" x14ac:dyDescent="0.25">
      <c r="B11" s="1498">
        <v>1961</v>
      </c>
      <c r="C11" s="3613">
        <v>2743421</v>
      </c>
      <c r="D11" s="3614">
        <v>1005757</v>
      </c>
      <c r="E11" s="3615">
        <v>100970</v>
      </c>
      <c r="F11" s="3613">
        <v>760499</v>
      </c>
      <c r="G11" s="3614">
        <v>45145</v>
      </c>
      <c r="H11" s="3616">
        <v>1847</v>
      </c>
      <c r="I11" s="3617">
        <v>525300</v>
      </c>
      <c r="J11" s="3614">
        <v>435700</v>
      </c>
      <c r="K11" s="3616">
        <v>6830</v>
      </c>
      <c r="L11" s="2872" t="s">
        <v>205</v>
      </c>
      <c r="M11" s="2873" t="s">
        <v>205</v>
      </c>
      <c r="N11" s="2874" t="s">
        <v>205</v>
      </c>
      <c r="P11" s="2586" t="s">
        <v>1775</v>
      </c>
      <c r="Q11" s="159"/>
      <c r="R11" s="159"/>
      <c r="S11" s="159"/>
      <c r="T11" s="159"/>
      <c r="U11" s="159"/>
      <c r="V11" s="159"/>
      <c r="W11" s="159"/>
      <c r="X11" s="159"/>
      <c r="Y11" s="159"/>
    </row>
    <row r="12" spans="2:25" ht="18" customHeight="1" x14ac:dyDescent="0.2">
      <c r="B12" s="1499">
        <v>1962</v>
      </c>
      <c r="C12" s="3613">
        <v>2557843</v>
      </c>
      <c r="D12" s="3614">
        <v>829579</v>
      </c>
      <c r="E12" s="3615">
        <v>114665</v>
      </c>
      <c r="F12" s="3613">
        <v>747456</v>
      </c>
      <c r="G12" s="3614">
        <v>42595</v>
      </c>
      <c r="H12" s="3616">
        <v>2186</v>
      </c>
      <c r="I12" s="3617">
        <v>519600</v>
      </c>
      <c r="J12" s="3614">
        <v>309300</v>
      </c>
      <c r="K12" s="3616">
        <v>20780</v>
      </c>
      <c r="L12" s="2872" t="s">
        <v>205</v>
      </c>
      <c r="M12" s="2873" t="s">
        <v>205</v>
      </c>
      <c r="N12" s="2874" t="s">
        <v>205</v>
      </c>
      <c r="P12" s="590" t="s">
        <v>1776</v>
      </c>
      <c r="Q12" s="3606"/>
      <c r="R12" s="159"/>
      <c r="S12" s="159"/>
      <c r="T12" s="159"/>
      <c r="U12" s="159"/>
      <c r="V12" s="159"/>
      <c r="W12" s="159"/>
      <c r="X12" s="159"/>
      <c r="Y12" s="159"/>
    </row>
    <row r="13" spans="2:25" ht="18" customHeight="1" x14ac:dyDescent="0.2">
      <c r="B13" s="1499">
        <v>1963</v>
      </c>
      <c r="C13" s="3613">
        <v>2591274</v>
      </c>
      <c r="D13" s="3614">
        <v>849706</v>
      </c>
      <c r="E13" s="3615">
        <v>104906</v>
      </c>
      <c r="F13" s="3613">
        <v>772629</v>
      </c>
      <c r="G13" s="3614">
        <v>36143</v>
      </c>
      <c r="H13" s="3616">
        <v>4759</v>
      </c>
      <c r="I13" s="3617">
        <v>597400</v>
      </c>
      <c r="J13" s="3614">
        <v>342200</v>
      </c>
      <c r="K13" s="3616">
        <v>8330</v>
      </c>
      <c r="L13" s="2872" t="s">
        <v>205</v>
      </c>
      <c r="M13" s="2873" t="s">
        <v>205</v>
      </c>
      <c r="N13" s="2874" t="s">
        <v>205</v>
      </c>
      <c r="P13" s="3633" t="s">
        <v>1777</v>
      </c>
      <c r="Q13" s="3607">
        <v>230</v>
      </c>
      <c r="R13" s="159"/>
      <c r="S13" s="159"/>
      <c r="T13" s="159"/>
      <c r="U13" s="159"/>
      <c r="V13" s="159"/>
      <c r="W13" s="159"/>
      <c r="X13" s="159"/>
      <c r="Y13" s="159"/>
    </row>
    <row r="14" spans="2:25" ht="18" customHeight="1" x14ac:dyDescent="0.2">
      <c r="B14" s="1499">
        <v>1964</v>
      </c>
      <c r="C14" s="3613">
        <v>2787049</v>
      </c>
      <c r="D14" s="3614">
        <v>935420</v>
      </c>
      <c r="E14" s="3615">
        <v>110960</v>
      </c>
      <c r="F14" s="3613">
        <v>834501</v>
      </c>
      <c r="G14" s="3614">
        <v>48486</v>
      </c>
      <c r="H14" s="3616">
        <v>7704</v>
      </c>
      <c r="I14" s="3617">
        <v>658300</v>
      </c>
      <c r="J14" s="3614">
        <v>381200</v>
      </c>
      <c r="K14" s="3616">
        <v>16530</v>
      </c>
      <c r="L14" s="2872" t="s">
        <v>205</v>
      </c>
      <c r="M14" s="2873" t="s">
        <v>205</v>
      </c>
      <c r="N14" s="2874" t="s">
        <v>205</v>
      </c>
      <c r="P14" s="3633" t="s">
        <v>1778</v>
      </c>
      <c r="Q14" s="3607">
        <v>315</v>
      </c>
      <c r="R14" s="159"/>
      <c r="S14" s="159"/>
      <c r="T14" s="159"/>
      <c r="U14" s="159"/>
      <c r="V14" s="159"/>
      <c r="W14" s="159"/>
      <c r="X14" s="159"/>
      <c r="Y14" s="159"/>
    </row>
    <row r="15" spans="2:25" ht="18" customHeight="1" x14ac:dyDescent="0.2">
      <c r="B15" s="1499">
        <v>1965</v>
      </c>
      <c r="C15" s="3618">
        <v>2951691</v>
      </c>
      <c r="D15" s="3619">
        <v>998265</v>
      </c>
      <c r="E15" s="3620">
        <v>94029</v>
      </c>
      <c r="F15" s="3618">
        <v>856113</v>
      </c>
      <c r="G15" s="3619">
        <v>47778</v>
      </c>
      <c r="H15" s="3621">
        <v>9750</v>
      </c>
      <c r="I15" s="3622">
        <v>744800</v>
      </c>
      <c r="J15" s="3619">
        <v>439900</v>
      </c>
      <c r="K15" s="3621">
        <v>25510</v>
      </c>
      <c r="L15" s="2867" t="s">
        <v>205</v>
      </c>
      <c r="M15" s="2635" t="s">
        <v>205</v>
      </c>
      <c r="N15" s="2627" t="s">
        <v>205</v>
      </c>
      <c r="P15" s="3633" t="s">
        <v>1779</v>
      </c>
      <c r="Q15" s="3607">
        <v>300</v>
      </c>
      <c r="R15" s="816"/>
      <c r="S15" s="816"/>
      <c r="V15" s="159"/>
      <c r="W15" s="159"/>
      <c r="X15" s="159"/>
      <c r="Y15" s="159"/>
    </row>
    <row r="16" spans="2:25" ht="18" customHeight="1" x14ac:dyDescent="0.2">
      <c r="B16" s="1499">
        <v>1966</v>
      </c>
      <c r="C16" s="3618">
        <v>2899643</v>
      </c>
      <c r="D16" s="3619">
        <v>932352</v>
      </c>
      <c r="E16" s="3620">
        <v>71761</v>
      </c>
      <c r="F16" s="3618">
        <v>839560</v>
      </c>
      <c r="G16" s="3619">
        <v>44536</v>
      </c>
      <c r="H16" s="3621">
        <v>11492</v>
      </c>
      <c r="I16" s="3622">
        <v>774300</v>
      </c>
      <c r="J16" s="3619">
        <v>418800</v>
      </c>
      <c r="K16" s="3621">
        <v>21670</v>
      </c>
      <c r="L16" s="2867" t="s">
        <v>205</v>
      </c>
      <c r="M16" s="2635" t="s">
        <v>205</v>
      </c>
      <c r="N16" s="2627" t="s">
        <v>205</v>
      </c>
      <c r="P16" s="3633" t="s">
        <v>1780</v>
      </c>
      <c r="Q16" s="3607">
        <v>230</v>
      </c>
      <c r="R16" s="594"/>
      <c r="S16" s="594"/>
      <c r="V16" s="594"/>
      <c r="W16" s="594"/>
      <c r="X16" s="594"/>
      <c r="Y16" s="594"/>
    </row>
    <row r="17" spans="2:17" ht="18" customHeight="1" x14ac:dyDescent="0.2">
      <c r="B17" s="1499">
        <v>1967</v>
      </c>
      <c r="C17" s="3618">
        <v>2756109</v>
      </c>
      <c r="D17" s="3619">
        <v>971410</v>
      </c>
      <c r="E17" s="3620">
        <v>118329</v>
      </c>
      <c r="F17" s="3618">
        <v>833589</v>
      </c>
      <c r="G17" s="3619">
        <v>47503</v>
      </c>
      <c r="H17" s="3621">
        <v>11440</v>
      </c>
      <c r="I17" s="3622">
        <v>830200</v>
      </c>
      <c r="J17" s="3619">
        <v>442000</v>
      </c>
      <c r="K17" s="3621">
        <v>34570</v>
      </c>
      <c r="L17" s="2867" t="s">
        <v>205</v>
      </c>
      <c r="M17" s="2635" t="s">
        <v>205</v>
      </c>
      <c r="N17" s="2627" t="s">
        <v>205</v>
      </c>
      <c r="P17" s="3633" t="s">
        <v>1781</v>
      </c>
      <c r="Q17" s="3607">
        <v>270</v>
      </c>
    </row>
    <row r="18" spans="2:17" ht="18" customHeight="1" x14ac:dyDescent="0.2">
      <c r="B18" s="1499">
        <v>1968</v>
      </c>
      <c r="C18" s="3618">
        <v>2796964</v>
      </c>
      <c r="D18" s="3619">
        <v>1045023</v>
      </c>
      <c r="E18" s="3620">
        <v>71128</v>
      </c>
      <c r="F18" s="3618">
        <v>858177</v>
      </c>
      <c r="G18" s="3619">
        <v>54037</v>
      </c>
      <c r="H18" s="3621">
        <v>12129</v>
      </c>
      <c r="I18" s="3622">
        <v>824200</v>
      </c>
      <c r="J18" s="3619">
        <v>470300</v>
      </c>
      <c r="K18" s="3621">
        <v>27670</v>
      </c>
      <c r="L18" s="2867" t="s">
        <v>205</v>
      </c>
      <c r="M18" s="2635" t="s">
        <v>205</v>
      </c>
      <c r="N18" s="2627" t="s">
        <v>205</v>
      </c>
      <c r="P18" s="3633" t="s">
        <v>1782</v>
      </c>
      <c r="Q18" s="3607">
        <v>208</v>
      </c>
    </row>
    <row r="19" spans="2:17" ht="18" customHeight="1" x14ac:dyDescent="0.2">
      <c r="B19" s="1499">
        <v>1969</v>
      </c>
      <c r="C19" s="3618">
        <v>2766283</v>
      </c>
      <c r="D19" s="3619">
        <v>1114706</v>
      </c>
      <c r="E19" s="3620">
        <v>80860</v>
      </c>
      <c r="F19" s="3618">
        <v>918473</v>
      </c>
      <c r="G19" s="3619">
        <v>52497</v>
      </c>
      <c r="H19" s="3621">
        <v>13534</v>
      </c>
      <c r="I19" s="3622">
        <v>921200</v>
      </c>
      <c r="J19" s="3619">
        <v>486900</v>
      </c>
      <c r="K19" s="3621">
        <v>33960</v>
      </c>
      <c r="L19" s="2867" t="s">
        <v>205</v>
      </c>
      <c r="M19" s="2635" t="s">
        <v>205</v>
      </c>
      <c r="N19" s="2627" t="s">
        <v>205</v>
      </c>
      <c r="P19" s="3633" t="s">
        <v>1783</v>
      </c>
      <c r="Q19" s="3607">
        <v>240</v>
      </c>
    </row>
    <row r="20" spans="2:17" ht="18" customHeight="1" x14ac:dyDescent="0.2">
      <c r="B20" s="1499">
        <v>1970</v>
      </c>
      <c r="C20" s="3618">
        <v>2860115</v>
      </c>
      <c r="D20" s="3619">
        <v>1078578</v>
      </c>
      <c r="E20" s="3620">
        <v>91042</v>
      </c>
      <c r="F20" s="3618">
        <v>961746</v>
      </c>
      <c r="G20" s="3619">
        <v>49581</v>
      </c>
      <c r="H20" s="3621">
        <v>15740</v>
      </c>
      <c r="I20" s="3622">
        <v>1044000</v>
      </c>
      <c r="J20" s="3619">
        <v>498800</v>
      </c>
      <c r="K20" s="3621">
        <v>40890</v>
      </c>
      <c r="L20" s="2867" t="s">
        <v>205</v>
      </c>
      <c r="M20" s="2635" t="s">
        <v>205</v>
      </c>
      <c r="N20" s="2627" t="s">
        <v>205</v>
      </c>
      <c r="P20" s="3633" t="s">
        <v>1784</v>
      </c>
      <c r="Q20" s="3607">
        <v>465</v>
      </c>
    </row>
    <row r="21" spans="2:17" ht="18" customHeight="1" x14ac:dyDescent="0.2">
      <c r="B21" s="1499">
        <v>1971</v>
      </c>
      <c r="C21" s="3618">
        <v>2876141</v>
      </c>
      <c r="D21" s="3619">
        <v>1092090</v>
      </c>
      <c r="E21" s="3620">
        <v>96030</v>
      </c>
      <c r="F21" s="3618">
        <v>937434</v>
      </c>
      <c r="G21" s="3619">
        <v>53694</v>
      </c>
      <c r="H21" s="3621">
        <v>19375</v>
      </c>
      <c r="I21" s="3622">
        <v>1071700</v>
      </c>
      <c r="J21" s="3619">
        <v>536400</v>
      </c>
      <c r="K21" s="3621">
        <v>41420</v>
      </c>
      <c r="L21" s="2867" t="s">
        <v>205</v>
      </c>
      <c r="M21" s="2635" t="s">
        <v>205</v>
      </c>
      <c r="N21" s="2627" t="s">
        <v>205</v>
      </c>
      <c r="P21" s="3633" t="s">
        <v>1785</v>
      </c>
      <c r="Q21" s="3607">
        <v>115</v>
      </c>
    </row>
    <row r="22" spans="2:17" ht="18" customHeight="1" x14ac:dyDescent="0.2">
      <c r="B22" s="1499">
        <v>1972</v>
      </c>
      <c r="C22" s="3618">
        <v>2912528</v>
      </c>
      <c r="D22" s="3619">
        <v>1048931</v>
      </c>
      <c r="E22" s="3620">
        <v>90288</v>
      </c>
      <c r="F22" s="3618">
        <v>920670</v>
      </c>
      <c r="G22" s="3619">
        <v>56094</v>
      </c>
      <c r="H22" s="3621">
        <v>17183</v>
      </c>
      <c r="I22" s="3622">
        <v>1597017</v>
      </c>
      <c r="J22" s="3619">
        <v>503000</v>
      </c>
      <c r="K22" s="3621">
        <v>554327</v>
      </c>
      <c r="L22" s="2867" t="s">
        <v>205</v>
      </c>
      <c r="M22" s="2635" t="s">
        <v>205</v>
      </c>
      <c r="N22" s="2627" t="s">
        <v>205</v>
      </c>
      <c r="P22" s="3633" t="s">
        <v>1786</v>
      </c>
      <c r="Q22" s="3607">
        <v>207.5</v>
      </c>
    </row>
    <row r="23" spans="2:17" ht="18" customHeight="1" x14ac:dyDescent="0.2">
      <c r="B23" s="1499">
        <v>1973</v>
      </c>
      <c r="C23" s="3618">
        <v>2803539</v>
      </c>
      <c r="D23" s="3619">
        <v>1235905</v>
      </c>
      <c r="E23" s="3620">
        <v>118736</v>
      </c>
      <c r="F23" s="3618">
        <v>929495</v>
      </c>
      <c r="G23" s="3619">
        <v>75077</v>
      </c>
      <c r="H23" s="3621">
        <v>22731</v>
      </c>
      <c r="I23" s="3622">
        <v>1902244</v>
      </c>
      <c r="J23" s="3619">
        <v>597700</v>
      </c>
      <c r="K23" s="3621">
        <v>801924</v>
      </c>
      <c r="L23" s="2867" t="s">
        <v>205</v>
      </c>
      <c r="M23" s="2635" t="s">
        <v>205</v>
      </c>
      <c r="N23" s="2627" t="s">
        <v>205</v>
      </c>
      <c r="P23" s="3633" t="s">
        <v>1787</v>
      </c>
      <c r="Q23" s="3607">
        <v>315</v>
      </c>
    </row>
    <row r="24" spans="2:17" ht="18" customHeight="1" x14ac:dyDescent="0.2">
      <c r="B24" s="1499">
        <v>1974</v>
      </c>
      <c r="C24" s="3618">
        <v>2868530</v>
      </c>
      <c r="D24" s="3619">
        <v>1355141</v>
      </c>
      <c r="E24" s="3620">
        <v>98851</v>
      </c>
      <c r="F24" s="3618">
        <v>963027</v>
      </c>
      <c r="G24" s="3619">
        <v>88919</v>
      </c>
      <c r="H24" s="3621">
        <v>16686</v>
      </c>
      <c r="I24" s="3622">
        <v>2001336</v>
      </c>
      <c r="J24" s="3619">
        <v>637000</v>
      </c>
      <c r="K24" s="3621">
        <v>757336</v>
      </c>
      <c r="L24" s="2867" t="s">
        <v>205</v>
      </c>
      <c r="M24" s="2635" t="s">
        <v>205</v>
      </c>
      <c r="N24" s="2627" t="s">
        <v>205</v>
      </c>
      <c r="P24" s="3633" t="s">
        <v>1788</v>
      </c>
      <c r="Q24" s="3607">
        <v>395</v>
      </c>
    </row>
    <row r="25" spans="2:17" ht="18" customHeight="1" x14ac:dyDescent="0.2">
      <c r="B25" s="1499">
        <v>1975</v>
      </c>
      <c r="C25" s="3618">
        <v>2775237</v>
      </c>
      <c r="D25" s="3619">
        <v>962796</v>
      </c>
      <c r="E25" s="3620">
        <v>86459</v>
      </c>
      <c r="F25" s="3618">
        <v>922792</v>
      </c>
      <c r="G25" s="3619">
        <v>78409</v>
      </c>
      <c r="H25" s="3621">
        <v>11784</v>
      </c>
      <c r="I25" s="3622">
        <v>1830221</v>
      </c>
      <c r="J25" s="3619">
        <v>652000</v>
      </c>
      <c r="K25" s="3621">
        <v>719021</v>
      </c>
      <c r="L25" s="2867" t="s">
        <v>205</v>
      </c>
      <c r="M25" s="2635" t="s">
        <v>205</v>
      </c>
      <c r="N25" s="2627" t="s">
        <v>205</v>
      </c>
      <c r="P25" s="592" t="s">
        <v>1789</v>
      </c>
      <c r="Q25" s="2868">
        <v>500</v>
      </c>
    </row>
    <row r="26" spans="2:17" ht="18" customHeight="1" thickBot="1" x14ac:dyDescent="0.25">
      <c r="B26" s="1499">
        <v>1976</v>
      </c>
      <c r="C26" s="3618">
        <v>2643684</v>
      </c>
      <c r="D26" s="3619">
        <v>1083920</v>
      </c>
      <c r="E26" s="3620">
        <v>55127</v>
      </c>
      <c r="F26" s="3618">
        <v>929841</v>
      </c>
      <c r="G26" s="3619">
        <v>88924</v>
      </c>
      <c r="H26" s="3621">
        <v>5737</v>
      </c>
      <c r="I26" s="3622">
        <v>1753762</v>
      </c>
      <c r="J26" s="3619">
        <v>436000</v>
      </c>
      <c r="K26" s="3621">
        <v>647932</v>
      </c>
      <c r="L26" s="2867" t="s">
        <v>205</v>
      </c>
      <c r="M26" s="2635" t="s">
        <v>205</v>
      </c>
      <c r="N26" s="2627" t="s">
        <v>205</v>
      </c>
      <c r="P26" s="593" t="s">
        <v>1790</v>
      </c>
      <c r="Q26" s="2880" t="s">
        <v>205</v>
      </c>
    </row>
    <row r="27" spans="2:17" ht="18" customHeight="1" thickBot="1" x14ac:dyDescent="0.25">
      <c r="B27" s="1499">
        <v>1977</v>
      </c>
      <c r="C27" s="3618">
        <v>2849781</v>
      </c>
      <c r="D27" s="3619">
        <v>1219246</v>
      </c>
      <c r="E27" s="3620">
        <v>51841</v>
      </c>
      <c r="F27" s="3618">
        <v>990194</v>
      </c>
      <c r="G27" s="3619">
        <v>92063</v>
      </c>
      <c r="H27" s="3621">
        <v>1868</v>
      </c>
      <c r="I27" s="3622">
        <v>2094992</v>
      </c>
      <c r="J27" s="3619">
        <v>619000</v>
      </c>
      <c r="K27" s="3621">
        <v>900392</v>
      </c>
      <c r="L27" s="2867" t="s">
        <v>205</v>
      </c>
      <c r="M27" s="2635" t="s">
        <v>205</v>
      </c>
      <c r="N27" s="2627" t="s">
        <v>205</v>
      </c>
      <c r="P27" s="2879" t="s">
        <v>1728</v>
      </c>
      <c r="Q27" s="2881" t="s">
        <v>205</v>
      </c>
    </row>
    <row r="28" spans="2:17" ht="18" customHeight="1" x14ac:dyDescent="0.2">
      <c r="B28" s="1499">
        <v>1978</v>
      </c>
      <c r="C28" s="3618">
        <v>2819990</v>
      </c>
      <c r="D28" s="3619">
        <v>964112</v>
      </c>
      <c r="E28" s="3620">
        <v>57923</v>
      </c>
      <c r="F28" s="3618">
        <v>1005004</v>
      </c>
      <c r="G28" s="3619">
        <v>77700</v>
      </c>
      <c r="H28" s="3621">
        <v>1183</v>
      </c>
      <c r="I28" s="3622">
        <v>2068703</v>
      </c>
      <c r="J28" s="3619">
        <v>549700</v>
      </c>
      <c r="K28" s="3621">
        <v>884473</v>
      </c>
      <c r="L28" s="2867" t="s">
        <v>205</v>
      </c>
      <c r="M28" s="2635" t="s">
        <v>205</v>
      </c>
      <c r="N28" s="2627" t="s">
        <v>205</v>
      </c>
      <c r="P28" s="816" t="s">
        <v>1791</v>
      </c>
      <c r="Q28" s="816"/>
    </row>
    <row r="29" spans="2:17" ht="18" customHeight="1" x14ac:dyDescent="0.2">
      <c r="B29" s="1499">
        <v>1979</v>
      </c>
      <c r="C29" s="3618">
        <v>2784334</v>
      </c>
      <c r="D29" s="3619">
        <v>977061</v>
      </c>
      <c r="E29" s="3620">
        <v>69396</v>
      </c>
      <c r="F29" s="3618">
        <v>1008059</v>
      </c>
      <c r="G29" s="3619">
        <v>89793</v>
      </c>
      <c r="H29" s="3621">
        <v>2159</v>
      </c>
      <c r="I29" s="3622">
        <v>2211372</v>
      </c>
      <c r="J29" s="3619">
        <v>632000</v>
      </c>
      <c r="K29" s="3621">
        <v>940502</v>
      </c>
      <c r="L29" s="2867" t="s">
        <v>205</v>
      </c>
      <c r="M29" s="2635" t="s">
        <v>205</v>
      </c>
      <c r="N29" s="2627" t="s">
        <v>205</v>
      </c>
      <c r="P29" s="1441" t="s">
        <v>1792</v>
      </c>
      <c r="Q29" s="594"/>
    </row>
    <row r="30" spans="2:17" ht="18" customHeight="1" x14ac:dyDescent="0.2">
      <c r="B30" s="1499">
        <v>1980</v>
      </c>
      <c r="C30" s="3618">
        <v>3019316</v>
      </c>
      <c r="D30" s="3619">
        <v>982511</v>
      </c>
      <c r="E30" s="3620">
        <v>83310</v>
      </c>
      <c r="F30" s="3618">
        <v>1109430</v>
      </c>
      <c r="G30" s="3619">
        <v>91140</v>
      </c>
      <c r="H30" s="3621">
        <v>16344</v>
      </c>
      <c r="I30" s="3622">
        <v>2627929</v>
      </c>
      <c r="J30" s="3619">
        <v>694600</v>
      </c>
      <c r="K30" s="3621">
        <v>1292709</v>
      </c>
      <c r="L30" s="2867" t="s">
        <v>205</v>
      </c>
      <c r="M30" s="2635" t="s">
        <v>205</v>
      </c>
      <c r="N30" s="2627" t="s">
        <v>205</v>
      </c>
    </row>
    <row r="31" spans="2:17" ht="18" customHeight="1" x14ac:dyDescent="0.2">
      <c r="B31" s="1499">
        <v>1981</v>
      </c>
      <c r="C31" s="3618">
        <v>3118722</v>
      </c>
      <c r="D31" s="3619">
        <v>1056079</v>
      </c>
      <c r="E31" s="3620">
        <v>63285</v>
      </c>
      <c r="F31" s="3618">
        <v>1103905</v>
      </c>
      <c r="G31" s="3619">
        <v>104968</v>
      </c>
      <c r="H31" s="3621">
        <v>11064</v>
      </c>
      <c r="I31" s="3622">
        <v>2562076</v>
      </c>
      <c r="J31" s="3619">
        <v>703500</v>
      </c>
      <c r="K31" s="3621">
        <v>1223396</v>
      </c>
      <c r="L31" s="2867" t="s">
        <v>205</v>
      </c>
      <c r="M31" s="2635" t="s">
        <v>205</v>
      </c>
      <c r="N31" s="2627" t="s">
        <v>205</v>
      </c>
    </row>
    <row r="32" spans="2:17" ht="18" customHeight="1" x14ac:dyDescent="0.2">
      <c r="B32" s="1499">
        <v>1982</v>
      </c>
      <c r="C32" s="3618">
        <v>2963399</v>
      </c>
      <c r="D32" s="3619">
        <v>1136226</v>
      </c>
      <c r="E32" s="3620">
        <v>55742</v>
      </c>
      <c r="F32" s="3618">
        <v>1092692</v>
      </c>
      <c r="G32" s="3619">
        <v>118923</v>
      </c>
      <c r="H32" s="3621">
        <v>6879</v>
      </c>
      <c r="I32" s="3622">
        <v>2491321</v>
      </c>
      <c r="J32" s="3619">
        <v>747600</v>
      </c>
      <c r="K32" s="3621">
        <v>1106123</v>
      </c>
      <c r="L32" s="2867" t="s">
        <v>205</v>
      </c>
      <c r="M32" s="2635" t="s">
        <v>205</v>
      </c>
      <c r="N32" s="2627" t="s">
        <v>205</v>
      </c>
    </row>
    <row r="33" spans="2:14" ht="18" customHeight="1" x14ac:dyDescent="0.2">
      <c r="B33" s="1499">
        <v>1983</v>
      </c>
      <c r="C33" s="3618">
        <v>2542938</v>
      </c>
      <c r="D33" s="3619">
        <v>821733</v>
      </c>
      <c r="E33" s="3620">
        <v>51280</v>
      </c>
      <c r="F33" s="3618">
        <v>936452</v>
      </c>
      <c r="G33" s="3619">
        <v>98264</v>
      </c>
      <c r="H33" s="3621">
        <v>14999</v>
      </c>
      <c r="I33" s="3622">
        <v>2420545</v>
      </c>
      <c r="J33" s="3619">
        <v>521300</v>
      </c>
      <c r="K33" s="3621">
        <v>1063269</v>
      </c>
      <c r="L33" s="2867" t="s">
        <v>205</v>
      </c>
      <c r="M33" s="2635" t="s">
        <v>205</v>
      </c>
      <c r="N33" s="2627" t="s">
        <v>205</v>
      </c>
    </row>
    <row r="34" spans="2:14" ht="18" customHeight="1" x14ac:dyDescent="0.2">
      <c r="B34" s="1499">
        <v>1984</v>
      </c>
      <c r="C34" s="3618">
        <v>2721568</v>
      </c>
      <c r="D34" s="3619">
        <v>1065816</v>
      </c>
      <c r="E34" s="3620">
        <v>44691</v>
      </c>
      <c r="F34" s="3618">
        <v>1070273</v>
      </c>
      <c r="G34" s="3619">
        <v>115204</v>
      </c>
      <c r="H34" s="3621">
        <v>7193</v>
      </c>
      <c r="I34" s="3622">
        <v>2713508</v>
      </c>
      <c r="J34" s="3619">
        <v>650400</v>
      </c>
      <c r="K34" s="3621">
        <v>1250032</v>
      </c>
      <c r="L34" s="2867" t="s">
        <v>205</v>
      </c>
      <c r="M34" s="2635" t="s">
        <v>205</v>
      </c>
      <c r="N34" s="2627" t="s">
        <v>205</v>
      </c>
    </row>
    <row r="35" spans="2:14" ht="18" customHeight="1" x14ac:dyDescent="0.2">
      <c r="B35" s="1499">
        <v>1985</v>
      </c>
      <c r="C35" s="3618">
        <v>3055950</v>
      </c>
      <c r="D35" s="3619">
        <v>1374134</v>
      </c>
      <c r="E35" s="3620">
        <v>39370</v>
      </c>
      <c r="F35" s="3618">
        <v>1192866</v>
      </c>
      <c r="G35" s="3619">
        <v>143881</v>
      </c>
      <c r="H35" s="3621">
        <v>6591</v>
      </c>
      <c r="I35" s="3622">
        <v>2778311</v>
      </c>
      <c r="J35" s="3619">
        <v>814300</v>
      </c>
      <c r="K35" s="3621">
        <v>1307892</v>
      </c>
      <c r="L35" s="2867" t="s">
        <v>205</v>
      </c>
      <c r="M35" s="2635" t="s">
        <v>205</v>
      </c>
      <c r="N35" s="2627" t="s">
        <v>205</v>
      </c>
    </row>
    <row r="36" spans="2:14" ht="18" customHeight="1" x14ac:dyDescent="0.2">
      <c r="B36" s="1499">
        <v>1986</v>
      </c>
      <c r="C36" s="3618">
        <v>3131899</v>
      </c>
      <c r="D36" s="3619">
        <v>1243722</v>
      </c>
      <c r="E36" s="3620">
        <v>41583</v>
      </c>
      <c r="F36" s="3618">
        <v>1192066</v>
      </c>
      <c r="G36" s="3619">
        <v>151372</v>
      </c>
      <c r="H36" s="3621">
        <v>7630</v>
      </c>
      <c r="I36" s="3622">
        <v>2789401</v>
      </c>
      <c r="J36" s="3619">
        <v>709500</v>
      </c>
      <c r="K36" s="3621">
        <v>1280946</v>
      </c>
      <c r="L36" s="2867" t="s">
        <v>205</v>
      </c>
      <c r="M36" s="2635" t="s">
        <v>205</v>
      </c>
      <c r="N36" s="2627" t="s">
        <v>205</v>
      </c>
    </row>
    <row r="37" spans="2:14" ht="18" customHeight="1" x14ac:dyDescent="0.2">
      <c r="B37" s="1499">
        <v>1987</v>
      </c>
      <c r="C37" s="3618">
        <v>2839367</v>
      </c>
      <c r="D37" s="3619">
        <v>1054748</v>
      </c>
      <c r="E37" s="3620">
        <v>38873</v>
      </c>
      <c r="F37" s="3618">
        <v>1104356</v>
      </c>
      <c r="G37" s="3619">
        <v>133003</v>
      </c>
      <c r="H37" s="3621">
        <v>1097</v>
      </c>
      <c r="I37" s="3622">
        <v>3017894</v>
      </c>
      <c r="J37" s="3619">
        <v>735900</v>
      </c>
      <c r="K37" s="3621">
        <v>1462278</v>
      </c>
      <c r="L37" s="2867" t="s">
        <v>205</v>
      </c>
      <c r="M37" s="2635" t="s">
        <v>205</v>
      </c>
      <c r="N37" s="2627" t="s">
        <v>205</v>
      </c>
    </row>
    <row r="38" spans="2:14" ht="18" customHeight="1" x14ac:dyDescent="0.2">
      <c r="B38" s="1499">
        <v>1988</v>
      </c>
      <c r="C38" s="3618">
        <v>2782138</v>
      </c>
      <c r="D38" s="3619">
        <v>1247423</v>
      </c>
      <c r="E38" s="3620">
        <v>34511</v>
      </c>
      <c r="F38" s="3618">
        <v>1158237</v>
      </c>
      <c r="G38" s="3619">
        <v>151123</v>
      </c>
      <c r="H38" s="3621">
        <v>1285</v>
      </c>
      <c r="I38" s="3622">
        <v>3088034</v>
      </c>
      <c r="J38" s="3619">
        <v>932700</v>
      </c>
      <c r="K38" s="3621">
        <v>1453898</v>
      </c>
      <c r="L38" s="2867" t="s">
        <v>205</v>
      </c>
      <c r="M38" s="2635" t="s">
        <v>205</v>
      </c>
      <c r="N38" s="2627" t="s">
        <v>205</v>
      </c>
    </row>
    <row r="39" spans="2:14" ht="18" customHeight="1" x14ac:dyDescent="0.2">
      <c r="B39" s="1499">
        <v>1989</v>
      </c>
      <c r="C39" s="3618">
        <v>2882578</v>
      </c>
      <c r="D39" s="3619">
        <v>1705361</v>
      </c>
      <c r="E39" s="3620">
        <v>39419</v>
      </c>
      <c r="F39" s="3618">
        <v>1245676</v>
      </c>
      <c r="G39" s="3619">
        <v>198141</v>
      </c>
      <c r="H39" s="3621">
        <v>7029</v>
      </c>
      <c r="I39" s="3622">
        <v>3372900</v>
      </c>
      <c r="J39" s="3619">
        <v>994135</v>
      </c>
      <c r="K39" s="3621">
        <v>1658514</v>
      </c>
      <c r="L39" s="2867" t="s">
        <v>205</v>
      </c>
      <c r="M39" s="2635" t="s">
        <v>205</v>
      </c>
      <c r="N39" s="2627" t="s">
        <v>205</v>
      </c>
    </row>
    <row r="40" spans="2:14" ht="18" customHeight="1" x14ac:dyDescent="0.2">
      <c r="B40" s="1499">
        <v>1990</v>
      </c>
      <c r="C40" s="3618">
        <v>3128463</v>
      </c>
      <c r="D40" s="3619">
        <v>1388592</v>
      </c>
      <c r="E40" s="3620">
        <v>30036</v>
      </c>
      <c r="F40" s="3618">
        <v>1323235</v>
      </c>
      <c r="G40" s="3619">
        <v>189550</v>
      </c>
      <c r="H40" s="3621">
        <v>43185</v>
      </c>
      <c r="I40" s="3622">
        <v>3373572</v>
      </c>
      <c r="J40" s="3619">
        <v>930565</v>
      </c>
      <c r="K40" s="3621">
        <v>1671358</v>
      </c>
      <c r="L40" s="2867" t="s">
        <v>205</v>
      </c>
      <c r="M40" s="2635" t="s">
        <v>205</v>
      </c>
      <c r="N40" s="2627" t="s">
        <v>205</v>
      </c>
    </row>
    <row r="41" spans="2:14" ht="18" customHeight="1" x14ac:dyDescent="0.2">
      <c r="B41" s="1499">
        <v>1991</v>
      </c>
      <c r="C41" s="3618">
        <v>3016975</v>
      </c>
      <c r="D41" s="3619">
        <v>1206701</v>
      </c>
      <c r="E41" s="3620">
        <v>36704</v>
      </c>
      <c r="F41" s="3618">
        <v>1310011</v>
      </c>
      <c r="G41" s="3619">
        <v>201433</v>
      </c>
      <c r="H41" s="3621">
        <v>79827</v>
      </c>
      <c r="I41" s="3622">
        <v>3503011</v>
      </c>
      <c r="J41" s="3619">
        <v>777396</v>
      </c>
      <c r="K41" s="3621">
        <v>1703102</v>
      </c>
      <c r="L41" s="2867" t="s">
        <v>205</v>
      </c>
      <c r="M41" s="2635" t="s">
        <v>205</v>
      </c>
      <c r="N41" s="2627" t="s">
        <v>205</v>
      </c>
    </row>
    <row r="42" spans="2:14" ht="18" customHeight="1" x14ac:dyDescent="0.2">
      <c r="B42" s="1499">
        <v>1992</v>
      </c>
      <c r="C42" s="3618">
        <v>3112116</v>
      </c>
      <c r="D42" s="3619">
        <v>1174033</v>
      </c>
      <c r="E42" s="3620">
        <v>53350</v>
      </c>
      <c r="F42" s="3618">
        <v>1372733</v>
      </c>
      <c r="G42" s="3619">
        <v>217741</v>
      </c>
      <c r="H42" s="3621">
        <v>135861</v>
      </c>
      <c r="I42" s="3622">
        <v>3550907</v>
      </c>
      <c r="J42" s="3619">
        <v>906145</v>
      </c>
      <c r="K42" s="3621">
        <v>1704940</v>
      </c>
      <c r="L42" s="2867" t="s">
        <v>205</v>
      </c>
      <c r="M42" s="2635" t="s">
        <v>205</v>
      </c>
      <c r="N42" s="2627" t="s">
        <v>205</v>
      </c>
    </row>
    <row r="43" spans="2:14" ht="18" customHeight="1" x14ac:dyDescent="0.2">
      <c r="B43" s="1499">
        <v>1993</v>
      </c>
      <c r="C43" s="3618">
        <v>3232519</v>
      </c>
      <c r="D43" s="3619">
        <v>1224738</v>
      </c>
      <c r="E43" s="3620">
        <v>72541</v>
      </c>
      <c r="F43" s="3618">
        <v>1495986</v>
      </c>
      <c r="G43" s="3619">
        <v>213010</v>
      </c>
      <c r="H43" s="3621">
        <v>134189</v>
      </c>
      <c r="I43" s="3622">
        <v>3720216</v>
      </c>
      <c r="J43" s="3619">
        <v>957450</v>
      </c>
      <c r="K43" s="3621">
        <v>1841391</v>
      </c>
      <c r="L43" s="2867" t="s">
        <v>205</v>
      </c>
      <c r="M43" s="2635" t="s">
        <v>205</v>
      </c>
      <c r="N43" s="2627" t="s">
        <v>205</v>
      </c>
    </row>
    <row r="44" spans="2:14" ht="18" customHeight="1" x14ac:dyDescent="0.2">
      <c r="B44" s="1499">
        <v>1994</v>
      </c>
      <c r="C44" s="3618">
        <v>3631010</v>
      </c>
      <c r="D44" s="3619">
        <v>1088379</v>
      </c>
      <c r="E44" s="3620">
        <v>185164</v>
      </c>
      <c r="F44" s="3618">
        <v>1725557</v>
      </c>
      <c r="G44" s="3619">
        <v>174922</v>
      </c>
      <c r="H44" s="3621">
        <v>174822</v>
      </c>
      <c r="I44" s="3622">
        <v>4071899</v>
      </c>
      <c r="J44" s="3619">
        <v>1044655</v>
      </c>
      <c r="K44" s="3621">
        <v>2101965</v>
      </c>
      <c r="L44" s="2867" t="s">
        <v>205</v>
      </c>
      <c r="M44" s="2635" t="s">
        <v>205</v>
      </c>
      <c r="N44" s="2627" t="s">
        <v>205</v>
      </c>
    </row>
    <row r="45" spans="2:14" ht="18" customHeight="1" x14ac:dyDescent="0.2">
      <c r="B45" s="1499">
        <v>1995</v>
      </c>
      <c r="C45" s="3618">
        <v>3462627</v>
      </c>
      <c r="D45" s="3619">
        <v>1040044</v>
      </c>
      <c r="E45" s="3620">
        <v>151096</v>
      </c>
      <c r="F45" s="3618">
        <v>1752573</v>
      </c>
      <c r="G45" s="3619">
        <v>227616</v>
      </c>
      <c r="H45" s="3621">
        <v>163481</v>
      </c>
      <c r="I45" s="3622">
        <v>4285085</v>
      </c>
      <c r="J45" s="3619">
        <v>1359356</v>
      </c>
      <c r="K45" s="3621">
        <v>2232752</v>
      </c>
      <c r="L45" s="2867" t="s">
        <v>205</v>
      </c>
      <c r="M45" s="2635" t="s">
        <v>205</v>
      </c>
      <c r="N45" s="2627" t="s">
        <v>205</v>
      </c>
    </row>
    <row r="46" spans="2:14" ht="18" customHeight="1" x14ac:dyDescent="0.2">
      <c r="B46" s="1499">
        <v>1996</v>
      </c>
      <c r="C46" s="3618">
        <v>3519843</v>
      </c>
      <c r="D46" s="3619">
        <v>729436</v>
      </c>
      <c r="E46" s="3620">
        <v>138232</v>
      </c>
      <c r="F46" s="3618">
        <v>1683021</v>
      </c>
      <c r="G46" s="3619">
        <v>180977</v>
      </c>
      <c r="H46" s="3621">
        <v>182280</v>
      </c>
      <c r="I46" s="3622">
        <v>4151917</v>
      </c>
      <c r="J46" s="3619">
        <v>1110705</v>
      </c>
      <c r="K46" s="3621">
        <v>2066563</v>
      </c>
      <c r="L46" s="2867" t="s">
        <v>205</v>
      </c>
      <c r="M46" s="2635" t="s">
        <v>205</v>
      </c>
      <c r="N46" s="2627" t="s">
        <v>205</v>
      </c>
    </row>
    <row r="47" spans="2:14" ht="18" customHeight="1" x14ac:dyDescent="0.2">
      <c r="B47" s="1499">
        <v>1997</v>
      </c>
      <c r="C47" s="3618">
        <v>4014988</v>
      </c>
      <c r="D47" s="3619">
        <v>747233</v>
      </c>
      <c r="E47" s="3620">
        <v>556833</v>
      </c>
      <c r="F47" s="3618">
        <v>1708357</v>
      </c>
      <c r="G47" s="3619">
        <v>183994</v>
      </c>
      <c r="H47" s="3621">
        <v>167195</v>
      </c>
      <c r="I47" s="3622">
        <v>4179555</v>
      </c>
      <c r="J47" s="3619">
        <v>1217747</v>
      </c>
      <c r="K47" s="3621">
        <v>2170582</v>
      </c>
      <c r="L47" s="2867" t="s">
        <v>205</v>
      </c>
      <c r="M47" s="2635" t="s">
        <v>205</v>
      </c>
      <c r="N47" s="2627" t="s">
        <v>205</v>
      </c>
    </row>
    <row r="48" spans="2:14" ht="18" customHeight="1" x14ac:dyDescent="0.2">
      <c r="B48" s="1499">
        <v>1998</v>
      </c>
      <c r="C48" s="3618">
        <v>4162515</v>
      </c>
      <c r="D48" s="3619">
        <v>790705</v>
      </c>
      <c r="E48" s="3620">
        <v>377148</v>
      </c>
      <c r="F48" s="3618">
        <v>1901698</v>
      </c>
      <c r="G48" s="3619">
        <v>192284</v>
      </c>
      <c r="H48" s="3621">
        <v>177409</v>
      </c>
      <c r="I48" s="3622">
        <v>4789606</v>
      </c>
      <c r="J48" s="3619">
        <v>1339247</v>
      </c>
      <c r="K48" s="3621">
        <v>2685545</v>
      </c>
      <c r="L48" s="2867" t="s">
        <v>205</v>
      </c>
      <c r="M48" s="2635" t="s">
        <v>205</v>
      </c>
      <c r="N48" s="2627" t="s">
        <v>205</v>
      </c>
    </row>
    <row r="49" spans="2:14" ht="18" customHeight="1" x14ac:dyDescent="0.2">
      <c r="B49" s="1499">
        <v>1999</v>
      </c>
      <c r="C49" s="3618">
        <v>4331639</v>
      </c>
      <c r="D49" s="3619">
        <v>751650</v>
      </c>
      <c r="E49" s="3620">
        <v>829495</v>
      </c>
      <c r="F49" s="3618">
        <v>1884316</v>
      </c>
      <c r="G49" s="3619">
        <v>229409</v>
      </c>
      <c r="H49" s="3621">
        <v>196541</v>
      </c>
      <c r="I49" s="3622">
        <v>4581822</v>
      </c>
      <c r="J49" s="3619">
        <v>1297220</v>
      </c>
      <c r="K49" s="3621">
        <v>2437325</v>
      </c>
      <c r="L49" s="2867" t="s">
        <v>205</v>
      </c>
      <c r="M49" s="2635" t="s">
        <v>205</v>
      </c>
      <c r="N49" s="2627" t="s">
        <v>205</v>
      </c>
    </row>
    <row r="50" spans="2:14" ht="18" customHeight="1" x14ac:dyDescent="0.2">
      <c r="B50" s="1499">
        <v>2000</v>
      </c>
      <c r="C50" s="3618">
        <v>5013507</v>
      </c>
      <c r="D50" s="3619">
        <v>951795</v>
      </c>
      <c r="E50" s="3620">
        <v>1186718</v>
      </c>
      <c r="F50" s="3618">
        <v>2108507</v>
      </c>
      <c r="G50" s="3619">
        <v>320102</v>
      </c>
      <c r="H50" s="3621">
        <v>232395</v>
      </c>
      <c r="I50" s="3622">
        <v>5269897</v>
      </c>
      <c r="J50" s="3619">
        <v>1510592</v>
      </c>
      <c r="K50" s="3621">
        <v>2931670</v>
      </c>
      <c r="L50" s="2867" t="s">
        <v>205</v>
      </c>
      <c r="M50" s="2635" t="s">
        <v>205</v>
      </c>
      <c r="N50" s="2627" t="s">
        <v>205</v>
      </c>
    </row>
    <row r="51" spans="2:14" ht="18" customHeight="1" x14ac:dyDescent="0.2">
      <c r="B51" s="1499">
        <v>2001</v>
      </c>
      <c r="C51" s="3618">
        <v>4922474</v>
      </c>
      <c r="D51" s="3619">
        <v>718921</v>
      </c>
      <c r="E51" s="3620">
        <v>1075547</v>
      </c>
      <c r="F51" s="3618">
        <v>2121655</v>
      </c>
      <c r="G51" s="3619">
        <v>259535</v>
      </c>
      <c r="H51" s="3621">
        <v>428641</v>
      </c>
      <c r="I51" s="3622">
        <v>5343029</v>
      </c>
      <c r="J51" s="3619">
        <v>1409822</v>
      </c>
      <c r="K51" s="3621">
        <v>3195120</v>
      </c>
      <c r="L51" s="2867" t="s">
        <v>205</v>
      </c>
      <c r="M51" s="2635" t="s">
        <v>205</v>
      </c>
      <c r="N51" s="2627" t="s">
        <v>205</v>
      </c>
    </row>
    <row r="52" spans="2:14" ht="18" customHeight="1" x14ac:dyDescent="0.2">
      <c r="B52" s="1499">
        <v>2002</v>
      </c>
      <c r="C52" s="3618">
        <v>5248711</v>
      </c>
      <c r="D52" s="3619">
        <v>755902</v>
      </c>
      <c r="E52" s="3620">
        <v>1225335</v>
      </c>
      <c r="F52" s="3618">
        <v>2211730</v>
      </c>
      <c r="G52" s="3619">
        <v>279442</v>
      </c>
      <c r="H52" s="3621">
        <v>451150</v>
      </c>
      <c r="I52" s="3622">
        <v>5388635</v>
      </c>
      <c r="J52" s="3619">
        <v>1335502</v>
      </c>
      <c r="K52" s="3621">
        <v>3238015</v>
      </c>
      <c r="L52" s="2867" t="s">
        <v>205</v>
      </c>
      <c r="M52" s="2635" t="s">
        <v>205</v>
      </c>
      <c r="N52" s="2627" t="s">
        <v>205</v>
      </c>
    </row>
    <row r="53" spans="2:14" ht="18" customHeight="1" x14ac:dyDescent="0.2">
      <c r="B53" s="1499">
        <v>2003</v>
      </c>
      <c r="C53" s="3618">
        <v>5353035</v>
      </c>
      <c r="D53" s="3619">
        <v>820830</v>
      </c>
      <c r="E53" s="3620">
        <v>1306239</v>
      </c>
      <c r="F53" s="3618">
        <v>2286314</v>
      </c>
      <c r="G53" s="3619">
        <v>310816</v>
      </c>
      <c r="H53" s="3621">
        <v>422459</v>
      </c>
      <c r="I53" s="3622">
        <v>5887073</v>
      </c>
      <c r="J53" s="3619">
        <v>1465836</v>
      </c>
      <c r="K53" s="3621">
        <v>3569752</v>
      </c>
      <c r="L53" s="2867" t="s">
        <v>205</v>
      </c>
      <c r="M53" s="2635" t="s">
        <v>205</v>
      </c>
      <c r="N53" s="2627" t="s">
        <v>205</v>
      </c>
    </row>
    <row r="54" spans="2:14" ht="18" customHeight="1" x14ac:dyDescent="0.2">
      <c r="B54" s="1499">
        <v>2004</v>
      </c>
      <c r="C54" s="3618">
        <v>5592980</v>
      </c>
      <c r="D54" s="3619">
        <v>874977</v>
      </c>
      <c r="E54" s="3620">
        <v>1428441</v>
      </c>
      <c r="F54" s="3618">
        <v>2321078</v>
      </c>
      <c r="G54" s="3619">
        <v>252927</v>
      </c>
      <c r="H54" s="3621">
        <v>415494</v>
      </c>
      <c r="I54" s="3622">
        <v>5907309</v>
      </c>
      <c r="J54" s="3619">
        <v>1740469</v>
      </c>
      <c r="K54" s="3621">
        <v>3540233</v>
      </c>
      <c r="L54" s="2867" t="s">
        <v>205</v>
      </c>
      <c r="M54" s="2635" t="s">
        <v>205</v>
      </c>
      <c r="N54" s="2627" t="s">
        <v>205</v>
      </c>
    </row>
    <row r="55" spans="2:14" ht="18" customHeight="1" x14ac:dyDescent="0.2">
      <c r="B55" s="1499">
        <v>2005</v>
      </c>
      <c r="C55" s="3618">
        <v>5235684</v>
      </c>
      <c r="D55" s="3619">
        <v>883895</v>
      </c>
      <c r="E55" s="3620">
        <v>997455</v>
      </c>
      <c r="F55" s="3618">
        <v>2259595</v>
      </c>
      <c r="G55" s="3619">
        <v>236835</v>
      </c>
      <c r="H55" s="3621">
        <v>471259</v>
      </c>
      <c r="I55" s="3622">
        <v>6158913</v>
      </c>
      <c r="J55" s="3619">
        <v>1889003</v>
      </c>
      <c r="K55" s="3621">
        <v>3698686</v>
      </c>
      <c r="L55" s="2867" t="s">
        <v>205</v>
      </c>
      <c r="M55" s="2635" t="s">
        <v>205</v>
      </c>
      <c r="N55" s="2627" t="s">
        <v>205</v>
      </c>
    </row>
    <row r="56" spans="2:14" ht="18" customHeight="1" x14ac:dyDescent="0.2">
      <c r="B56" s="1499">
        <v>2006</v>
      </c>
      <c r="C56" s="3618">
        <v>5379067</v>
      </c>
      <c r="D56" s="3619">
        <v>741530</v>
      </c>
      <c r="E56" s="3620">
        <v>1156623</v>
      </c>
      <c r="F56" s="3618">
        <v>2328506</v>
      </c>
      <c r="G56" s="3619">
        <v>251517</v>
      </c>
      <c r="H56" s="3621">
        <v>441290</v>
      </c>
      <c r="I56" s="3622">
        <v>5990338</v>
      </c>
      <c r="J56" s="3619">
        <v>2125367</v>
      </c>
      <c r="K56" s="3621">
        <v>3597130</v>
      </c>
      <c r="L56" s="2867" t="s">
        <v>205</v>
      </c>
      <c r="M56" s="2635" t="s">
        <v>205</v>
      </c>
      <c r="N56" s="2627" t="s">
        <v>205</v>
      </c>
    </row>
    <row r="57" spans="2:14" ht="18" customHeight="1" x14ac:dyDescent="0.2">
      <c r="B57" s="1499">
        <v>2007</v>
      </c>
      <c r="C57" s="3618">
        <v>5584512</v>
      </c>
      <c r="D57" s="3619">
        <v>705607</v>
      </c>
      <c r="E57" s="3620">
        <v>1566851</v>
      </c>
      <c r="F57" s="3618">
        <v>2171043</v>
      </c>
      <c r="G57" s="3619">
        <v>297053</v>
      </c>
      <c r="H57" s="3621">
        <v>304140</v>
      </c>
      <c r="I57" s="3622">
        <v>6300467</v>
      </c>
      <c r="J57" s="3619">
        <v>1882321</v>
      </c>
      <c r="K57" s="3621">
        <v>3910866</v>
      </c>
      <c r="L57" s="2867" t="s">
        <v>205</v>
      </c>
      <c r="M57" s="2635" t="s">
        <v>205</v>
      </c>
      <c r="N57" s="2627" t="s">
        <v>205</v>
      </c>
    </row>
    <row r="58" spans="2:14" ht="18" customHeight="1" x14ac:dyDescent="0.2">
      <c r="B58" s="1499">
        <v>2008</v>
      </c>
      <c r="C58" s="3618">
        <v>5494963</v>
      </c>
      <c r="D58" s="3619">
        <v>838301</v>
      </c>
      <c r="E58" s="3620">
        <v>1409286</v>
      </c>
      <c r="F58" s="3618">
        <v>2214581</v>
      </c>
      <c r="G58" s="3619">
        <v>324165</v>
      </c>
      <c r="H58" s="3621">
        <v>262214</v>
      </c>
      <c r="I58" s="3622">
        <v>6496912</v>
      </c>
      <c r="J58" s="3619">
        <v>1853508</v>
      </c>
      <c r="K58" s="3621">
        <v>4014466</v>
      </c>
      <c r="L58" s="2867" t="s">
        <v>205</v>
      </c>
      <c r="M58" s="2635" t="s">
        <v>205</v>
      </c>
      <c r="N58" s="2627" t="s">
        <v>205</v>
      </c>
    </row>
    <row r="59" spans="2:14" ht="18" customHeight="1" x14ac:dyDescent="0.2">
      <c r="B59" s="1501">
        <v>2009</v>
      </c>
      <c r="C59" s="3623">
        <v>4824620</v>
      </c>
      <c r="D59" s="3624">
        <v>672185</v>
      </c>
      <c r="E59" s="3625">
        <v>1617783</v>
      </c>
      <c r="F59" s="3623">
        <v>2025652</v>
      </c>
      <c r="G59" s="3624">
        <v>263746</v>
      </c>
      <c r="H59" s="3626">
        <v>373529</v>
      </c>
      <c r="I59" s="3627">
        <v>6060057</v>
      </c>
      <c r="J59" s="3624">
        <v>1676985</v>
      </c>
      <c r="K59" s="3626">
        <v>3564672</v>
      </c>
      <c r="L59" s="2875" t="s">
        <v>205</v>
      </c>
      <c r="M59" s="2876" t="s">
        <v>205</v>
      </c>
      <c r="N59" s="2877" t="s">
        <v>205</v>
      </c>
    </row>
    <row r="60" spans="2:14" ht="18" customHeight="1" x14ac:dyDescent="0.2">
      <c r="B60" s="1501">
        <v>2010</v>
      </c>
      <c r="C60" s="3623">
        <v>5390434</v>
      </c>
      <c r="D60" s="3624">
        <v>772824</v>
      </c>
      <c r="E60" s="3625">
        <v>2030401</v>
      </c>
      <c r="F60" s="3623">
        <v>2030749</v>
      </c>
      <c r="G60" s="3624">
        <v>296507</v>
      </c>
      <c r="H60" s="3626">
        <v>250782</v>
      </c>
      <c r="I60" s="3627">
        <v>5647021</v>
      </c>
      <c r="J60" s="3624">
        <v>1748610</v>
      </c>
      <c r="K60" s="3626">
        <v>3534185</v>
      </c>
      <c r="L60" s="2875" t="s">
        <v>205</v>
      </c>
      <c r="M60" s="2876" t="s">
        <v>205</v>
      </c>
      <c r="N60" s="2877" t="s">
        <v>205</v>
      </c>
    </row>
    <row r="61" spans="2:14" ht="18" customHeight="1" x14ac:dyDescent="0.2">
      <c r="B61" s="1501">
        <v>2011</v>
      </c>
      <c r="C61" s="3623">
        <v>5279554</v>
      </c>
      <c r="D61" s="3624">
        <v>865973</v>
      </c>
      <c r="E61" s="3625">
        <v>2220664</v>
      </c>
      <c r="F61" s="3623">
        <v>2038098</v>
      </c>
      <c r="G61" s="3624">
        <v>333489</v>
      </c>
      <c r="H61" s="3626">
        <v>249892</v>
      </c>
      <c r="I61" s="3627">
        <v>5888338</v>
      </c>
      <c r="J61" s="3624">
        <v>1895493</v>
      </c>
      <c r="K61" s="3626">
        <v>3772473</v>
      </c>
      <c r="L61" s="2875" t="s">
        <v>205</v>
      </c>
      <c r="M61" s="2876" t="s">
        <v>205</v>
      </c>
      <c r="N61" s="2877" t="s">
        <v>205</v>
      </c>
    </row>
    <row r="62" spans="2:14" ht="18" customHeight="1" x14ac:dyDescent="0.2">
      <c r="B62" s="1501">
        <v>2012</v>
      </c>
      <c r="C62" s="3623">
        <v>5305540</v>
      </c>
      <c r="D62" s="3624">
        <v>806882</v>
      </c>
      <c r="E62" s="3625">
        <v>2099783</v>
      </c>
      <c r="F62" s="3623">
        <v>1790524</v>
      </c>
      <c r="G62" s="3624">
        <v>369225</v>
      </c>
      <c r="H62" s="3626">
        <v>141993</v>
      </c>
      <c r="I62" s="3627">
        <v>5423042</v>
      </c>
      <c r="J62" s="3624">
        <v>1745770</v>
      </c>
      <c r="K62" s="3626">
        <v>3365184</v>
      </c>
      <c r="L62" s="2875" t="s">
        <v>205</v>
      </c>
      <c r="M62" s="2876" t="s">
        <v>205</v>
      </c>
      <c r="N62" s="2877" t="s">
        <v>205</v>
      </c>
    </row>
    <row r="63" spans="2:14" ht="18" customHeight="1" x14ac:dyDescent="0.2">
      <c r="B63" s="1501">
        <v>2013</v>
      </c>
      <c r="C63" s="3623">
        <v>4929326</v>
      </c>
      <c r="D63" s="3624">
        <v>767916</v>
      </c>
      <c r="E63" s="3625">
        <v>1679170</v>
      </c>
      <c r="F63" s="3623">
        <v>1755951</v>
      </c>
      <c r="G63" s="3624">
        <v>347861</v>
      </c>
      <c r="H63" s="3626">
        <v>81328</v>
      </c>
      <c r="I63" s="3627">
        <v>5083150</v>
      </c>
      <c r="J63" s="3624">
        <v>1798195</v>
      </c>
      <c r="K63" s="3626">
        <v>3200416</v>
      </c>
      <c r="L63" s="2875" t="s">
        <v>205</v>
      </c>
      <c r="M63" s="2876" t="s">
        <v>205</v>
      </c>
      <c r="N63" s="2877" t="s">
        <v>205</v>
      </c>
    </row>
    <row r="64" spans="2:14" ht="18" customHeight="1" x14ac:dyDescent="0.2">
      <c r="B64" s="1501">
        <v>2014</v>
      </c>
      <c r="C64" s="3623">
        <v>5679959</v>
      </c>
      <c r="D64" s="3624">
        <v>828621</v>
      </c>
      <c r="E64" s="3625">
        <v>2456442</v>
      </c>
      <c r="F64" s="3623">
        <v>1789257</v>
      </c>
      <c r="G64" s="3624">
        <v>371799</v>
      </c>
      <c r="H64" s="3626">
        <v>190216</v>
      </c>
      <c r="I64" s="3627">
        <v>5671653</v>
      </c>
      <c r="J64" s="3624">
        <v>1728724</v>
      </c>
      <c r="K64" s="3626">
        <v>3838174</v>
      </c>
      <c r="L64" s="2875" t="s">
        <v>205</v>
      </c>
      <c r="M64" s="2876" t="s">
        <v>205</v>
      </c>
      <c r="N64" s="2877" t="s">
        <v>205</v>
      </c>
    </row>
    <row r="65" spans="2:14" ht="18" customHeight="1" x14ac:dyDescent="0.2">
      <c r="B65" s="1501">
        <v>2015</v>
      </c>
      <c r="C65" s="3623">
        <v>5973096</v>
      </c>
      <c r="D65" s="3624">
        <v>988643</v>
      </c>
      <c r="E65" s="3625">
        <v>2766224</v>
      </c>
      <c r="F65" s="3623">
        <v>1862034</v>
      </c>
      <c r="G65" s="3624">
        <v>428482</v>
      </c>
      <c r="H65" s="3626">
        <v>174616</v>
      </c>
      <c r="I65" s="3627">
        <v>6277543</v>
      </c>
      <c r="J65" s="3624">
        <v>1650722</v>
      </c>
      <c r="K65" s="3626">
        <v>4309520</v>
      </c>
      <c r="L65" s="2875" t="s">
        <v>205</v>
      </c>
      <c r="M65" s="2876" t="s">
        <v>205</v>
      </c>
      <c r="N65" s="2877" t="s">
        <v>205</v>
      </c>
    </row>
    <row r="66" spans="2:14" ht="18" customHeight="1" x14ac:dyDescent="0.2">
      <c r="B66" s="1501">
        <v>2016</v>
      </c>
      <c r="C66" s="3623">
        <v>6646908</v>
      </c>
      <c r="D66" s="3624">
        <v>904288</v>
      </c>
      <c r="E66" s="3625">
        <v>3391818</v>
      </c>
      <c r="F66" s="3623">
        <v>1946580</v>
      </c>
      <c r="G66" s="3624">
        <v>432348</v>
      </c>
      <c r="H66" s="3626">
        <v>124264</v>
      </c>
      <c r="I66" s="3627">
        <v>6774219</v>
      </c>
      <c r="J66" s="3624">
        <v>1594790</v>
      </c>
      <c r="K66" s="3626">
        <v>4687708</v>
      </c>
      <c r="L66" s="2875" t="s">
        <v>205</v>
      </c>
      <c r="M66" s="2876" t="s">
        <v>205</v>
      </c>
      <c r="N66" s="2877" t="s">
        <v>205</v>
      </c>
    </row>
    <row r="67" spans="2:14" ht="18" customHeight="1" x14ac:dyDescent="0.2">
      <c r="B67" s="1501">
        <v>2017</v>
      </c>
      <c r="C67" s="3623">
        <v>7382443</v>
      </c>
      <c r="D67" s="3624">
        <v>871804</v>
      </c>
      <c r="E67" s="3625">
        <v>3882792</v>
      </c>
      <c r="F67" s="3623">
        <v>2017446</v>
      </c>
      <c r="G67" s="3624">
        <v>500232</v>
      </c>
      <c r="H67" s="3626">
        <v>106309</v>
      </c>
      <c r="I67" s="3627">
        <v>7185947</v>
      </c>
      <c r="J67" s="3624">
        <v>1516482</v>
      </c>
      <c r="K67" s="3626">
        <v>5203301</v>
      </c>
      <c r="L67" s="2875" t="s">
        <v>205</v>
      </c>
      <c r="M67" s="2876" t="s">
        <v>205</v>
      </c>
      <c r="N67" s="2877" t="s">
        <v>205</v>
      </c>
    </row>
    <row r="68" spans="2:14" ht="18" customHeight="1" x14ac:dyDescent="0.2">
      <c r="B68" s="1501">
        <v>2018</v>
      </c>
      <c r="C68" s="3623">
        <v>7610831</v>
      </c>
      <c r="D68" s="3624">
        <v>1107258</v>
      </c>
      <c r="E68" s="3625">
        <v>4298783</v>
      </c>
      <c r="F68" s="3623">
        <v>1998938</v>
      </c>
      <c r="G68" s="3624">
        <v>656539</v>
      </c>
      <c r="H68" s="3626">
        <v>80333</v>
      </c>
      <c r="I68" s="3627">
        <v>7334007</v>
      </c>
      <c r="J68" s="3624">
        <v>1453200</v>
      </c>
      <c r="K68" s="3626">
        <v>5268380</v>
      </c>
      <c r="L68" s="2875" t="s">
        <v>205</v>
      </c>
      <c r="M68" s="2876" t="s">
        <v>205</v>
      </c>
      <c r="N68" s="2877" t="s">
        <v>205</v>
      </c>
    </row>
    <row r="69" spans="2:14" ht="18" customHeight="1" x14ac:dyDescent="0.2">
      <c r="B69" s="1501">
        <v>2019</v>
      </c>
      <c r="C69" s="3623">
        <v>7283129</v>
      </c>
      <c r="D69" s="3624">
        <v>1075727</v>
      </c>
      <c r="E69" s="3625">
        <v>3999822</v>
      </c>
      <c r="F69" s="3623">
        <v>1995256</v>
      </c>
      <c r="G69" s="3624">
        <v>580147</v>
      </c>
      <c r="H69" s="3626">
        <v>71969</v>
      </c>
      <c r="I69" s="3627">
        <v>7327814</v>
      </c>
      <c r="J69" s="3624">
        <v>1404845</v>
      </c>
      <c r="K69" s="3626">
        <v>5253009</v>
      </c>
      <c r="L69" s="2875" t="s">
        <v>205</v>
      </c>
      <c r="M69" s="2876" t="s">
        <v>205</v>
      </c>
      <c r="N69" s="2877" t="s">
        <v>205</v>
      </c>
    </row>
    <row r="70" spans="2:14" ht="18" customHeight="1" x14ac:dyDescent="0.2">
      <c r="B70" s="1501">
        <v>2020</v>
      </c>
      <c r="C70" s="3623">
        <v>7364966</v>
      </c>
      <c r="D70" s="3624">
        <v>743448</v>
      </c>
      <c r="E70" s="3625">
        <v>3965519</v>
      </c>
      <c r="F70" s="3623">
        <v>2027191</v>
      </c>
      <c r="G70" s="3624">
        <v>471711</v>
      </c>
      <c r="H70" s="3626">
        <v>94888</v>
      </c>
      <c r="I70" s="3627">
        <v>6067339</v>
      </c>
      <c r="J70" s="3624">
        <v>1335821</v>
      </c>
      <c r="K70" s="3626">
        <v>4118838</v>
      </c>
      <c r="L70" s="2875" t="s">
        <v>205</v>
      </c>
      <c r="M70" s="2876" t="s">
        <v>205</v>
      </c>
      <c r="N70" s="2877" t="s">
        <v>205</v>
      </c>
    </row>
    <row r="71" spans="2:14" ht="18" customHeight="1" x14ac:dyDescent="0.2">
      <c r="B71" s="1501">
        <v>2021</v>
      </c>
      <c r="C71" s="3623">
        <v>6647266</v>
      </c>
      <c r="D71" s="3624">
        <v>896160</v>
      </c>
      <c r="E71" s="3625">
        <v>2887458</v>
      </c>
      <c r="F71" s="3623">
        <v>2077614</v>
      </c>
      <c r="G71" s="3624">
        <v>550171</v>
      </c>
      <c r="H71" s="3626">
        <v>99003</v>
      </c>
      <c r="I71" s="3627">
        <v>5659919</v>
      </c>
      <c r="J71" s="3624">
        <v>1138116</v>
      </c>
      <c r="K71" s="3626">
        <v>3719705</v>
      </c>
      <c r="L71" s="2875" t="s">
        <v>205</v>
      </c>
      <c r="M71" s="2876" t="s">
        <v>205</v>
      </c>
      <c r="N71" s="2877" t="s">
        <v>205</v>
      </c>
    </row>
    <row r="72" spans="2:14" ht="18" customHeight="1" thickBot="1" x14ac:dyDescent="0.25">
      <c r="B72" s="1500">
        <v>2022</v>
      </c>
      <c r="C72" s="3628">
        <v>4984659</v>
      </c>
      <c r="D72" s="3629">
        <v>1338709</v>
      </c>
      <c r="E72" s="3630">
        <v>1240616</v>
      </c>
      <c r="F72" s="3628">
        <v>2055311</v>
      </c>
      <c r="G72" s="3629">
        <v>671466</v>
      </c>
      <c r="H72" s="3631">
        <v>160763</v>
      </c>
      <c r="I72" s="3632">
        <v>5981460</v>
      </c>
      <c r="J72" s="3629">
        <v>1187466</v>
      </c>
      <c r="K72" s="3631">
        <v>3959080</v>
      </c>
      <c r="L72" s="2878" t="s">
        <v>205</v>
      </c>
      <c r="M72" s="2643" t="s">
        <v>205</v>
      </c>
      <c r="N72" s="2633"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34" t="s">
        <v>1793</v>
      </c>
      <c r="C85" s="4535"/>
      <c r="D85" s="4535"/>
      <c r="E85" s="4535"/>
      <c r="F85" s="4535"/>
      <c r="G85" s="4535"/>
      <c r="H85" s="4535"/>
      <c r="I85" s="4535"/>
      <c r="J85" s="4535"/>
      <c r="K85" s="4535"/>
      <c r="L85" s="4535"/>
      <c r="M85" s="4535"/>
      <c r="N85" s="4536"/>
    </row>
    <row r="86" spans="2:14" ht="13.5" thickBot="1" x14ac:dyDescent="0.25">
      <c r="B86" s="4537"/>
      <c r="C86" s="4538"/>
      <c r="D86" s="4538"/>
      <c r="E86" s="4538"/>
      <c r="F86" s="4538"/>
      <c r="G86" s="4538"/>
      <c r="H86" s="4538"/>
      <c r="I86" s="4538"/>
      <c r="J86" s="4538"/>
      <c r="K86" s="4538"/>
      <c r="L86" s="4538"/>
      <c r="M86" s="4538"/>
      <c r="N86" s="4539"/>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topLeftCell="A10" workbookViewId="0">
      <selection activeCell="J10" sqref="J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2460</v>
      </c>
    </row>
    <row r="2" spans="1:10" ht="15.75" customHeight="1" x14ac:dyDescent="0.2">
      <c r="B2" s="138" t="s">
        <v>162</v>
      </c>
      <c r="I2" s="2"/>
      <c r="J2" s="14" t="s">
        <v>2461</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5" t="s">
        <v>62</v>
      </c>
      <c r="I7" s="137"/>
    </row>
    <row r="8" spans="1:10" ht="25.5" x14ac:dyDescent="0.2">
      <c r="B8" s="4540" t="s">
        <v>1795</v>
      </c>
      <c r="C8" s="1875" t="s">
        <v>1796</v>
      </c>
      <c r="D8" s="1875" t="s">
        <v>166</v>
      </c>
      <c r="E8" s="1875" t="s">
        <v>167</v>
      </c>
      <c r="F8" s="1875" t="s">
        <v>616</v>
      </c>
      <c r="G8" s="1876" t="s">
        <v>75</v>
      </c>
      <c r="H8" s="1877" t="s">
        <v>143</v>
      </c>
      <c r="I8" s="1878" t="s">
        <v>1797</v>
      </c>
      <c r="J8" s="2492" t="s">
        <v>1798</v>
      </c>
    </row>
    <row r="9" spans="1:10" ht="12.75" customHeight="1" thickBot="1" x14ac:dyDescent="0.25">
      <c r="A9" s="83"/>
      <c r="B9" s="4541"/>
      <c r="C9" s="1879" t="s">
        <v>171</v>
      </c>
      <c r="D9" s="1880"/>
      <c r="E9" s="1880"/>
      <c r="F9" s="1880"/>
      <c r="G9" s="1880"/>
      <c r="H9" s="1880"/>
      <c r="I9" s="1881"/>
      <c r="J9" s="1803" t="s">
        <v>921</v>
      </c>
    </row>
    <row r="10" spans="1:10" ht="18" customHeight="1" thickTop="1" thickBot="1" x14ac:dyDescent="0.25">
      <c r="B10" s="1502" t="s">
        <v>1799</v>
      </c>
      <c r="C10" s="1882">
        <f>IF(SUM(C11,C15,C18,C21)=0,"NO",SUM(C11,C15,C18,C21))</f>
        <v>29.670531219562221</v>
      </c>
      <c r="D10" s="1882">
        <f t="shared" ref="D10:I10" si="0">IF(SUM(D11,D15,D18,D21)=0,"NO",SUM(D11,D15,D18,D21))</f>
        <v>555.8630278007106</v>
      </c>
      <c r="E10" s="1882">
        <f t="shared" si="0"/>
        <v>0.97212226391401435</v>
      </c>
      <c r="F10" s="1882" t="str">
        <f t="shared" si="0"/>
        <v>NO</v>
      </c>
      <c r="G10" s="1882" t="str">
        <f t="shared" si="0"/>
        <v>NO</v>
      </c>
      <c r="H10" s="1882">
        <f t="shared" si="0"/>
        <v>260.30048395635589</v>
      </c>
      <c r="I10" s="1883" t="str">
        <f t="shared" si="0"/>
        <v>NO</v>
      </c>
      <c r="J10" s="4487">
        <f>IF(SUM(C10:E10)=0,"NO",SUM(C10,IFERROR(28*D10,0),IFERROR(265*E10,0)))</f>
        <v>15851.447709576674</v>
      </c>
    </row>
    <row r="11" spans="1:10" ht="18" customHeight="1" x14ac:dyDescent="0.2">
      <c r="B11" s="1503" t="s">
        <v>1800</v>
      </c>
      <c r="C11" s="2893"/>
      <c r="D11" s="2894">
        <f>IF(SUM(D12:D14)=0,"NO",SUM(D12:D14))</f>
        <v>438.2765275142724</v>
      </c>
      <c r="E11" s="2893"/>
      <c r="F11" s="1886" t="str">
        <f>IF(SUM(F12:F14)=0,"NO",SUM(F12:F14))</f>
        <v>NO</v>
      </c>
      <c r="G11" s="1886" t="str">
        <f t="shared" ref="G11:H11" si="1">IF(SUM(G12:G14)=0,"NO",SUM(G12:G14))</f>
        <v>NO</v>
      </c>
      <c r="H11" s="1886">
        <f t="shared" si="1"/>
        <v>2.906117900063431</v>
      </c>
      <c r="I11" s="2994"/>
      <c r="J11" s="1886">
        <f t="shared" ref="J11:J18" si="2">IF(SUM(C11:E11)=0,"NO",SUM(C11,IFERROR(28*D11,0),IFERROR(265*E11,0)))</f>
        <v>12271.742770399627</v>
      </c>
    </row>
    <row r="12" spans="1:10" ht="18" customHeight="1" x14ac:dyDescent="0.2">
      <c r="B12" s="1269" t="s">
        <v>1801</v>
      </c>
      <c r="C12" s="1885"/>
      <c r="D12" s="1884">
        <f>IF(SUM(Table5.A!F10:H10)=0,"NO",SUM(Table5.A!F10))</f>
        <v>438.2765275142724</v>
      </c>
      <c r="E12" s="1885"/>
      <c r="F12" s="2916" t="s">
        <v>205</v>
      </c>
      <c r="G12" s="2916" t="s">
        <v>205</v>
      </c>
      <c r="H12" s="2916">
        <v>2.906117900063431</v>
      </c>
      <c r="I12" s="2940"/>
      <c r="J12" s="1887">
        <f t="shared" si="2"/>
        <v>12271.742770399627</v>
      </c>
    </row>
    <row r="13" spans="1:10" ht="18" customHeight="1" x14ac:dyDescent="0.2">
      <c r="B13" s="1269" t="s">
        <v>1802</v>
      </c>
      <c r="C13" s="1885"/>
      <c r="D13" s="1884" t="str">
        <f>Table5.A!F29</f>
        <v>NO</v>
      </c>
      <c r="E13" s="1885"/>
      <c r="F13" s="2916" t="s">
        <v>199</v>
      </c>
      <c r="G13" s="2916" t="s">
        <v>199</v>
      </c>
      <c r="H13" s="2916" t="s">
        <v>199</v>
      </c>
      <c r="I13" s="2940"/>
      <c r="J13" s="1887" t="str">
        <f t="shared" si="2"/>
        <v>NO</v>
      </c>
    </row>
    <row r="14" spans="1:10" ht="18" customHeight="1" thickBot="1" x14ac:dyDescent="0.25">
      <c r="B14" s="2895" t="s">
        <v>1803</v>
      </c>
      <c r="C14" s="1889"/>
      <c r="D14" s="1888" t="str">
        <f>Table5.A!F35</f>
        <v>NO</v>
      </c>
      <c r="E14" s="1889"/>
      <c r="F14" s="2995" t="s">
        <v>199</v>
      </c>
      <c r="G14" s="2995" t="s">
        <v>199</v>
      </c>
      <c r="H14" s="2995" t="s">
        <v>199</v>
      </c>
      <c r="I14" s="2948"/>
      <c r="J14" s="1890" t="str">
        <f t="shared" si="2"/>
        <v>NO</v>
      </c>
    </row>
    <row r="15" spans="1:10" ht="18" customHeight="1" x14ac:dyDescent="0.2">
      <c r="B15" s="1505" t="s">
        <v>1804</v>
      </c>
      <c r="C15" s="2996"/>
      <c r="D15" s="2892">
        <f>IF(SUM(D16:D17)=0,"NO",SUM(D16:D17))</f>
        <v>2.6635267499999999</v>
      </c>
      <c r="E15" s="2892">
        <f t="shared" ref="E15" si="3">IF(SUM(E16:E17)=0,"NO",SUM(E16:E17))</f>
        <v>0.34093142400000004</v>
      </c>
      <c r="F15" s="2892" t="s">
        <v>1805</v>
      </c>
      <c r="G15" s="2892" t="s">
        <v>1805</v>
      </c>
      <c r="H15" s="2892" t="s">
        <v>1805</v>
      </c>
      <c r="I15" s="2997"/>
      <c r="J15" s="2884">
        <f t="shared" si="2"/>
        <v>164.92557636000001</v>
      </c>
    </row>
    <row r="16" spans="1:10" ht="18" customHeight="1" x14ac:dyDescent="0.2">
      <c r="B16" s="1891" t="s">
        <v>1806</v>
      </c>
      <c r="C16" s="2998"/>
      <c r="D16" s="1884">
        <f>Table5.B!F10</f>
        <v>2.6635267499999999</v>
      </c>
      <c r="E16" s="1884">
        <f>Table5.B!G10</f>
        <v>0.34093142400000004</v>
      </c>
      <c r="F16" s="699" t="s">
        <v>205</v>
      </c>
      <c r="G16" s="699" t="s">
        <v>205</v>
      </c>
      <c r="H16" s="699" t="s">
        <v>205</v>
      </c>
      <c r="I16" s="2940"/>
      <c r="J16" s="1887">
        <f t="shared" si="2"/>
        <v>164.92557636000001</v>
      </c>
    </row>
    <row r="17" spans="2:12" ht="18" customHeight="1" thickBot="1" x14ac:dyDescent="0.25">
      <c r="B17" s="1892" t="s">
        <v>1807</v>
      </c>
      <c r="C17" s="2999"/>
      <c r="D17" s="1888" t="str">
        <f>Table5.B!F14</f>
        <v>NO,NE</v>
      </c>
      <c r="E17" s="1888" t="str">
        <f>Table5.B!G14</f>
        <v>NO,NE</v>
      </c>
      <c r="F17" s="1562" t="s">
        <v>221</v>
      </c>
      <c r="G17" s="1562" t="s">
        <v>221</v>
      </c>
      <c r="H17" s="1562" t="s">
        <v>221</v>
      </c>
      <c r="I17" s="2948"/>
      <c r="J17" s="1890" t="str">
        <f t="shared" si="2"/>
        <v>NO</v>
      </c>
    </row>
    <row r="18" spans="2:12" ht="18" customHeight="1" x14ac:dyDescent="0.2">
      <c r="B18" s="1505" t="s">
        <v>1808</v>
      </c>
      <c r="C18" s="2883">
        <f>IF(SUM(C19:C20)=0,"NO",SUM(C19:C20))</f>
        <v>29.670531219562221</v>
      </c>
      <c r="D18" s="2883" t="str">
        <f>IF(SUM(D19:D20)=0,"NO,NE",SUM(D19:D20))</f>
        <v>NO,NE</v>
      </c>
      <c r="E18" s="2883" t="str">
        <f>IF(SUM(E19:E20)=0,"NO,NE",SUM(E19:E20))</f>
        <v>NO,NE</v>
      </c>
      <c r="F18" s="2883" t="s">
        <v>205</v>
      </c>
      <c r="G18" s="2883" t="s">
        <v>205</v>
      </c>
      <c r="H18" s="2883" t="s">
        <v>205</v>
      </c>
      <c r="I18" s="2883" t="s">
        <v>205</v>
      </c>
      <c r="J18" s="2885">
        <f t="shared" si="2"/>
        <v>29.670531219562221</v>
      </c>
    </row>
    <row r="19" spans="2:12" ht="18" customHeight="1" x14ac:dyDescent="0.2">
      <c r="B19" s="1269" t="s">
        <v>1809</v>
      </c>
      <c r="C19" s="1884">
        <f>Table5.C!G10</f>
        <v>29.670531219562221</v>
      </c>
      <c r="D19" s="1884" t="str">
        <f>Table5.C!H10</f>
        <v>NO,NE</v>
      </c>
      <c r="E19" s="1884" t="str">
        <f>Table5.C!I10</f>
        <v>NO,NE</v>
      </c>
      <c r="F19" s="700" t="s">
        <v>205</v>
      </c>
      <c r="G19" s="700" t="s">
        <v>205</v>
      </c>
      <c r="H19" s="700" t="s">
        <v>205</v>
      </c>
      <c r="I19" s="700" t="s">
        <v>205</v>
      </c>
      <c r="J19" s="1887">
        <f>IF(SUM(C19:E19)=0,"NO",SUM(C19,IFERROR(28*D19,0),IFERROR(265*E19,0)))</f>
        <v>29.670531219562221</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3">
        <f>IF(SUM(D22:D24)=0,"NO",SUM(D22:D24))</f>
        <v>114.92297353643815</v>
      </c>
      <c r="E21" s="2883">
        <f t="shared" ref="E21:H21" si="5">IF(SUM(E22:E24)=0,"NO",SUM(E22:E24))</f>
        <v>0.63119083991401437</v>
      </c>
      <c r="F21" s="2883" t="str">
        <f t="shared" si="5"/>
        <v>NO</v>
      </c>
      <c r="G21" s="2883" t="str">
        <f t="shared" si="5"/>
        <v>NO</v>
      </c>
      <c r="H21" s="2883">
        <f t="shared" si="5"/>
        <v>257.39436605629248</v>
      </c>
      <c r="I21" s="3000"/>
      <c r="J21" s="2885">
        <f t="shared" si="4"/>
        <v>3385.1088315974821</v>
      </c>
    </row>
    <row r="22" spans="2:12" ht="18" customHeight="1" x14ac:dyDescent="0.2">
      <c r="B22" s="1269" t="s">
        <v>1812</v>
      </c>
      <c r="C22" s="1894"/>
      <c r="D22" s="1884">
        <f>IF(SUM(Table5.D!H10)=0,"NO",SUM(Table5.D!H10))</f>
        <v>59.826498501401552</v>
      </c>
      <c r="E22" s="1884">
        <f>IF(SUM(Table5.D!I10:J10)=0,"NO",SUM(Table5.D!I10:J10))</f>
        <v>0.63119083991401437</v>
      </c>
      <c r="F22" s="2916" t="s">
        <v>205</v>
      </c>
      <c r="G22" s="2916" t="s">
        <v>205</v>
      </c>
      <c r="H22" s="2916">
        <v>6.9273058214162031</v>
      </c>
      <c r="I22" s="2940"/>
      <c r="J22" s="1887">
        <f t="shared" si="4"/>
        <v>1842.4075306164573</v>
      </c>
    </row>
    <row r="23" spans="2:12" ht="18" customHeight="1" x14ac:dyDescent="0.2">
      <c r="B23" s="1269" t="s">
        <v>1813</v>
      </c>
      <c r="C23" s="1894"/>
      <c r="D23" s="1884">
        <f>IF(SUM(Table5.D!H11)=0,"NO",SUM(Table5.D!H11))</f>
        <v>55.096475035036605</v>
      </c>
      <c r="E23" s="1884" t="str">
        <f>IF(SUM(Table5.D!I11:J11)=0,"IE",SUM(Table5.D!I11:J11))</f>
        <v>IE</v>
      </c>
      <c r="F23" s="2916" t="s">
        <v>205</v>
      </c>
      <c r="G23" s="2916" t="s">
        <v>205</v>
      </c>
      <c r="H23" s="2916">
        <v>250.4670602348763</v>
      </c>
      <c r="I23" s="2940"/>
      <c r="J23" s="1887">
        <f t="shared" si="4"/>
        <v>1542.7013009810248</v>
      </c>
    </row>
    <row r="24" spans="2:12" ht="18" customHeight="1" thickBot="1" x14ac:dyDescent="0.25">
      <c r="B24" s="1270" t="s">
        <v>1814</v>
      </c>
      <c r="C24" s="1895"/>
      <c r="D24" s="1888" t="str">
        <f>Table5.D!H12</f>
        <v>NO</v>
      </c>
      <c r="E24" s="1888" t="str">
        <f>IF(SUM(Table5.D!I12:J12)=0,"NO",SUM(Table5.D!I12:J12))</f>
        <v>NO</v>
      </c>
      <c r="F24" s="2995" t="s">
        <v>199</v>
      </c>
      <c r="G24" s="2995" t="s">
        <v>199</v>
      </c>
      <c r="H24" s="2995" t="s">
        <v>199</v>
      </c>
      <c r="I24" s="2948"/>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2"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212"/>
      <c r="D27" s="4213"/>
      <c r="E27" s="4213"/>
      <c r="F27" s="4213"/>
      <c r="G27" s="4213"/>
      <c r="H27" s="4213"/>
      <c r="I27" s="4214"/>
      <c r="J27" s="1901"/>
      <c r="K27"/>
      <c r="L27"/>
    </row>
    <row r="28" spans="2:12" ht="18" customHeight="1" x14ac:dyDescent="0.2">
      <c r="B28" s="1891" t="s">
        <v>1818</v>
      </c>
      <c r="C28" s="1902">
        <v>263961.04090265837</v>
      </c>
      <c r="D28" s="1903"/>
      <c r="E28" s="1903"/>
      <c r="F28" s="1903"/>
      <c r="G28" s="1903"/>
      <c r="H28" s="1903"/>
      <c r="I28" s="1904"/>
      <c r="J28" s="1907"/>
      <c r="K28"/>
      <c r="L28"/>
    </row>
    <row r="29" spans="2:12" ht="18" customHeight="1" x14ac:dyDescent="0.2">
      <c r="B29" s="4215" t="s">
        <v>1819</v>
      </c>
      <c r="C29" s="1905">
        <v>5574.4991503713272</v>
      </c>
      <c r="D29" s="1906"/>
      <c r="E29" s="1906"/>
      <c r="F29" s="1906"/>
      <c r="G29" s="1906"/>
      <c r="H29" s="1906"/>
      <c r="I29" s="1907"/>
      <c r="J29" s="1907"/>
      <c r="K29"/>
      <c r="L29"/>
    </row>
    <row r="30" spans="2:12" ht="18" customHeight="1" thickBot="1" x14ac:dyDescent="0.25">
      <c r="B30" s="4216" t="s">
        <v>1820</v>
      </c>
      <c r="C30" s="1899">
        <v>3526.9224964004025</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topLeftCell="A5" workbookViewId="0">
      <selection activeCell="K9" sqref="K9"/>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2460</v>
      </c>
      <c r="J1" s="2"/>
      <c r="K1" s="2"/>
    </row>
    <row r="2" spans="1:13" ht="15.75" customHeight="1" x14ac:dyDescent="0.2">
      <c r="B2" s="138" t="s">
        <v>1823</v>
      </c>
      <c r="H2" s="14" t="s">
        <v>2461</v>
      </c>
      <c r="J2" s="2"/>
      <c r="K2" s="2"/>
    </row>
    <row r="3" spans="1:13" ht="15.75" customHeight="1" x14ac:dyDescent="0.2">
      <c r="B3" s="138" t="s">
        <v>162</v>
      </c>
      <c r="E3" s="125"/>
      <c r="F3" s="125"/>
      <c r="H3" s="14" t="s">
        <v>163</v>
      </c>
      <c r="J3" s="2"/>
      <c r="K3" s="2"/>
    </row>
    <row r="4" spans="1:13" ht="12.75" x14ac:dyDescent="0.2">
      <c r="B4" s="2260"/>
      <c r="M4" s="136"/>
    </row>
    <row r="5" spans="1:13" ht="12.75" customHeight="1" thickBot="1" x14ac:dyDescent="0.25">
      <c r="B5" s="2465"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7">
        <f>C11</f>
        <v>21366.908456783021</v>
      </c>
      <c r="D10" s="3678"/>
      <c r="E10" s="4121">
        <f>IF(SUM(C10)=0,"NA",(F10-SUM(G10:H10))/C10)</f>
        <v>3.060229929083149E-2</v>
      </c>
      <c r="F10" s="3679">
        <f>F11</f>
        <v>438.2765275142724</v>
      </c>
      <c r="G10" s="3679" t="str">
        <f>G11</f>
        <v>IE</v>
      </c>
      <c r="H10" s="3680">
        <f>H11</f>
        <v>-215.6</v>
      </c>
      <c r="I10" s="44"/>
    </row>
    <row r="11" spans="1:13" ht="18" customHeight="1" x14ac:dyDescent="0.2">
      <c r="B11" s="1753" t="s">
        <v>1834</v>
      </c>
      <c r="C11" s="3681">
        <f>IF(SUM(C13:C16)=0,"NO",SUM(C13:C16))</f>
        <v>21366.908456783021</v>
      </c>
      <c r="D11" s="3681">
        <v>1</v>
      </c>
      <c r="E11" s="4121">
        <f>IF(SUM(C11)=0,"NA",(F11-SUM(G11:H11))/C11)</f>
        <v>3.060229929083149E-2</v>
      </c>
      <c r="F11" s="4227">
        <f>IF(SUM(F13:F16)=0,"NO",SUM(F13:F16))</f>
        <v>438.2765275142724</v>
      </c>
      <c r="G11" s="3682" t="s">
        <v>274</v>
      </c>
      <c r="H11" s="3683">
        <v>-215.6</v>
      </c>
      <c r="I11" s="4493"/>
    </row>
    <row r="12" spans="1:13" ht="18" customHeight="1" x14ac:dyDescent="0.2">
      <c r="B12" s="1241" t="s">
        <v>1835</v>
      </c>
      <c r="C12" s="3684"/>
      <c r="D12" s="3685"/>
      <c r="E12" s="3686"/>
      <c r="F12" s="3685"/>
      <c r="G12" s="3685"/>
      <c r="H12" s="3687"/>
      <c r="I12" s="44"/>
    </row>
    <row r="13" spans="1:13" ht="18" customHeight="1" x14ac:dyDescent="0.2">
      <c r="B13" s="1754" t="s">
        <v>1836</v>
      </c>
      <c r="C13" s="3688">
        <v>12787.557915938458</v>
      </c>
      <c r="D13" s="3688">
        <v>1</v>
      </c>
      <c r="E13" s="4218" t="s">
        <v>274</v>
      </c>
      <c r="F13" s="3688">
        <v>16.253579145961719</v>
      </c>
      <c r="G13" s="3689"/>
      <c r="H13" s="3690"/>
      <c r="I13" s="44"/>
    </row>
    <row r="14" spans="1:13" ht="18" customHeight="1" x14ac:dyDescent="0.2">
      <c r="B14" s="1754" t="s">
        <v>1837</v>
      </c>
      <c r="C14" s="3688">
        <v>2930.2238621143542</v>
      </c>
      <c r="D14" s="3688">
        <v>1</v>
      </c>
      <c r="E14" s="3681" t="s">
        <v>274</v>
      </c>
      <c r="F14" s="3688">
        <v>190.27167299093188</v>
      </c>
      <c r="G14" s="3689"/>
      <c r="H14" s="3690"/>
      <c r="I14" s="44"/>
    </row>
    <row r="15" spans="1:13" ht="18" customHeight="1" x14ac:dyDescent="0.2">
      <c r="B15" s="1754" t="s">
        <v>1838</v>
      </c>
      <c r="C15" s="3688">
        <v>5649.1266787302075</v>
      </c>
      <c r="D15" s="3688">
        <v>1</v>
      </c>
      <c r="E15" s="4121" t="s">
        <v>274</v>
      </c>
      <c r="F15" s="3688">
        <v>231.75127537737882</v>
      </c>
      <c r="G15" s="3689"/>
      <c r="H15" s="3690"/>
      <c r="I15" s="44"/>
    </row>
    <row r="16" spans="1:13" ht="18" customHeight="1" x14ac:dyDescent="0.2">
      <c r="B16" s="1754" t="s">
        <v>1839</v>
      </c>
      <c r="C16" s="3688" t="s">
        <v>205</v>
      </c>
      <c r="D16" s="3688" t="s">
        <v>205</v>
      </c>
      <c r="E16" s="3681" t="str">
        <f>IF(SUM(C16)=0,"NA",F16/C16)</f>
        <v>NA</v>
      </c>
      <c r="F16" s="3688" t="s">
        <v>205</v>
      </c>
      <c r="G16" s="3689"/>
      <c r="H16" s="3690"/>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7"/>
      <c r="D18" s="2318"/>
      <c r="E18" s="2312"/>
      <c r="F18" s="2318"/>
      <c r="G18" s="2318"/>
      <c r="H18" s="2319"/>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7"/>
      <c r="D24" s="2318"/>
      <c r="E24" s="2312"/>
      <c r="F24" s="2318"/>
      <c r="G24" s="2318"/>
      <c r="H24" s="2319"/>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7"/>
      <c r="D30" s="2318"/>
      <c r="E30" s="2312"/>
      <c r="F30" s="2318"/>
      <c r="G30" s="2318"/>
      <c r="H30" s="2319"/>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7"/>
      <c r="D36" s="2318"/>
      <c r="E36" s="2312"/>
      <c r="F36" s="2318"/>
      <c r="G36" s="2318"/>
      <c r="H36" s="2319"/>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topLeftCell="A10" workbookViewId="0">
      <selection activeCell="S10" sqref="S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2460</v>
      </c>
    </row>
    <row r="2" spans="1:9" ht="15.75" x14ac:dyDescent="0.2">
      <c r="B2" s="818" t="s">
        <v>1843</v>
      </c>
      <c r="C2" s="818"/>
      <c r="I2" s="14" t="s">
        <v>2461</v>
      </c>
    </row>
    <row r="3" spans="1:9" ht="15.75" x14ac:dyDescent="0.2">
      <c r="B3" s="138" t="s">
        <v>162</v>
      </c>
      <c r="I3" s="14" t="s">
        <v>163</v>
      </c>
    </row>
    <row r="4" spans="1:9" ht="15.75" hidden="1" x14ac:dyDescent="0.2">
      <c r="B4" s="138"/>
      <c r="I4" s="2"/>
    </row>
    <row r="5" spans="1:9" ht="13.5" thickBot="1" x14ac:dyDescent="0.25">
      <c r="B5" s="2477" t="s">
        <v>62</v>
      </c>
    </row>
    <row r="6" spans="1:9" ht="24" x14ac:dyDescent="0.2">
      <c r="B6" s="2478"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3551.3690000000001</v>
      </c>
      <c r="D10" s="1938">
        <f>IF(SUM($C10)=0,"NA",F10*1000/$C10)</f>
        <v>0.75</v>
      </c>
      <c r="E10" s="1938">
        <f>IF(SUM($C10)=0,"NA",G10*1000/$C10)</f>
        <v>9.6000000000000016E-2</v>
      </c>
      <c r="F10" s="1934">
        <f>IF(SUM(F11:F12)=0,"NO",SUM(F11:F12))</f>
        <v>2.6635267499999999</v>
      </c>
      <c r="G10" s="1934">
        <f>IF(SUM(G11:G12)=0,"NO",SUM(G11:G12))</f>
        <v>0.34093142400000004</v>
      </c>
      <c r="H10" s="1935"/>
      <c r="I10" s="1936"/>
    </row>
    <row r="11" spans="1:9" ht="18" customHeight="1" x14ac:dyDescent="0.2">
      <c r="B11" s="1525" t="s">
        <v>1851</v>
      </c>
      <c r="C11" s="1937">
        <v>3551.3690000000001</v>
      </c>
      <c r="D11" s="1938">
        <f>IF(SUM($C11)=0,"NA",F11*1000/$C11)</f>
        <v>0.75</v>
      </c>
      <c r="E11" s="1938">
        <f>IF(SUM($C11)=0,"NA",G11*1000/$C11)</f>
        <v>9.6000000000000016E-2</v>
      </c>
      <c r="F11" s="1937">
        <v>2.6635267499999999</v>
      </c>
      <c r="G11" s="1937">
        <v>0.34093142400000004</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6"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7"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8" t="str">
        <f>C17</f>
        <v>NO</v>
      </c>
      <c r="D16" s="1938" t="str">
        <f t="shared" si="0"/>
        <v>NA</v>
      </c>
      <c r="E16" s="1938" t="str">
        <f t="shared" si="1"/>
        <v>NA</v>
      </c>
      <c r="F16" s="2888" t="str">
        <f>F17</f>
        <v>NO</v>
      </c>
      <c r="G16" s="2888" t="str">
        <f>G17</f>
        <v>NO</v>
      </c>
      <c r="H16" s="2888" t="str">
        <f>H17</f>
        <v>NO</v>
      </c>
      <c r="I16" s="2889" t="str">
        <f>I17</f>
        <v>NO</v>
      </c>
    </row>
    <row r="17" spans="2:10" ht="18" customHeight="1" thickBot="1" x14ac:dyDescent="0.25">
      <c r="B17" s="2890" t="s">
        <v>205</v>
      </c>
      <c r="C17" s="141" t="s">
        <v>199</v>
      </c>
      <c r="D17" s="2891" t="str">
        <f t="shared" si="0"/>
        <v>NA</v>
      </c>
      <c r="E17" s="2891"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C23" sqref="C23"/>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2460</v>
      </c>
    </row>
    <row r="2" spans="1:9" ht="15.75" x14ac:dyDescent="0.2">
      <c r="B2" s="818" t="s">
        <v>1857</v>
      </c>
      <c r="C2" s="214"/>
      <c r="D2" s="214"/>
      <c r="E2" s="214"/>
      <c r="F2" s="214"/>
      <c r="G2" s="214"/>
      <c r="H2" s="214"/>
      <c r="I2" s="14" t="s">
        <v>2461</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9"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70" t="s">
        <v>1864</v>
      </c>
      <c r="C10" s="2897">
        <f>IF(SUM(C11,C21)=0,"NO",SUM(C11,C21))</f>
        <v>19.764926093684785</v>
      </c>
      <c r="D10" s="2898">
        <f t="shared" ref="D10:D20" si="0">IF(SUM(G10)=0,"NA",G10*1000/$C10)</f>
        <v>1501.1708659534243</v>
      </c>
      <c r="E10" s="2898" t="str">
        <f t="shared" ref="E10:E20" si="1">IF(SUM(H10)=0,"NA",H10*1000/$C10)</f>
        <v>NA</v>
      </c>
      <c r="F10" s="2898" t="str">
        <f t="shared" ref="F10:F20" si="2">IF(SUM(I10)=0,"NA",I10*1000/$C10)</f>
        <v>NA</v>
      </c>
      <c r="G10" s="2898">
        <f>IF(SUM(G11,G21)=0,"NO",SUM(G11,G21))</f>
        <v>29.670531219562221</v>
      </c>
      <c r="H10" s="2898" t="str">
        <f>IF(SUM(H11,H21)=0,"NO,NE",SUM(H11,H21))</f>
        <v>NO,NE</v>
      </c>
      <c r="I10" s="2899" t="str">
        <f>IF(SUM(I11,I21)=0,"NO,NE",SUM(I11,I21))</f>
        <v>NO,NE</v>
      </c>
    </row>
    <row r="11" spans="1:9" ht="18" customHeight="1" x14ac:dyDescent="0.2">
      <c r="B11" s="1366" t="s">
        <v>1865</v>
      </c>
      <c r="C11" s="2900" t="str">
        <f>IF(SUM(C12:C13)=0,"NO",SUM(C12:C13))</f>
        <v>NO</v>
      </c>
      <c r="D11" s="2904" t="str">
        <f t="shared" si="0"/>
        <v>NA</v>
      </c>
      <c r="E11" s="2904" t="str">
        <f t="shared" si="1"/>
        <v>NA</v>
      </c>
      <c r="F11" s="2904" t="str">
        <f t="shared" si="2"/>
        <v>NA</v>
      </c>
      <c r="G11" s="2900" t="str">
        <f>IF(SUM(G12:G13)=0,"NO",SUM(G12:G13))</f>
        <v>NO</v>
      </c>
      <c r="H11" s="116" t="str">
        <f>IF(SUM(H12:H13)=0,"NO",SUM(H12:H13))</f>
        <v>NO</v>
      </c>
      <c r="I11" s="2901"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900"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217" t="s">
        <v>1868</v>
      </c>
      <c r="C14" s="2320"/>
      <c r="D14" s="2321"/>
      <c r="E14" s="2321"/>
      <c r="F14" s="2321"/>
      <c r="G14" s="2321"/>
      <c r="H14" s="2321"/>
      <c r="I14" s="2322"/>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5" t="str">
        <f>I20</f>
        <v>NO</v>
      </c>
    </row>
    <row r="20" spans="2:9" ht="18" customHeight="1" x14ac:dyDescent="0.2">
      <c r="B20" s="2902"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900">
        <f>IF(SUM(C22:C23)=0,"NO",SUM(C22:C23))</f>
        <v>19.764926093684785</v>
      </c>
      <c r="D21" s="116">
        <f>IF(SUM(G21)=0,"NA",G21*1000/$C21)</f>
        <v>1501.1708659534243</v>
      </c>
      <c r="E21" s="116" t="str">
        <f t="shared" ref="E21:F21" si="3">IF(SUM(H21)=0,"NA",H21*1000/$C21)</f>
        <v>NA</v>
      </c>
      <c r="F21" s="116" t="str">
        <f t="shared" si="3"/>
        <v>NA</v>
      </c>
      <c r="G21" s="2900">
        <f>IF(SUM(G22:G23)=0,"NO",SUM(G22:G23))</f>
        <v>29.670531219562221</v>
      </c>
      <c r="H21" s="116" t="str">
        <f>IF(SUM(H22:H23)=0,"NO,NE",SUM(H22:H23))</f>
        <v>NO,NE</v>
      </c>
      <c r="I21" s="2901" t="str">
        <f>IF(SUM(I22:I23)=0,"NO,NE",SUM(I22:I23))</f>
        <v>NO,NE</v>
      </c>
    </row>
    <row r="22" spans="2:9" ht="18" customHeight="1" x14ac:dyDescent="0.2">
      <c r="B22" s="1525" t="s">
        <v>1875</v>
      </c>
      <c r="C22" s="143" t="s">
        <v>199</v>
      </c>
      <c r="D22" s="116" t="str">
        <f t="shared" ref="D22:D38" si="4">IF(SUM(G22)=0,"NA",G22*1000/$C22)</f>
        <v>NA</v>
      </c>
      <c r="E22" s="116" t="str">
        <f t="shared" ref="E22:E38" si="5">IF(SUM(H22)=0,"NA",H22*1000/$C22)</f>
        <v>NA</v>
      </c>
      <c r="F22" s="116" t="str">
        <f t="shared" ref="F22:F38" si="6">IF(SUM(I22)=0,"NA",I22*1000/$C22)</f>
        <v>NA</v>
      </c>
      <c r="G22" s="143" t="s">
        <v>199</v>
      </c>
      <c r="H22" s="143" t="s">
        <v>199</v>
      </c>
      <c r="I22" s="140" t="s">
        <v>199</v>
      </c>
    </row>
    <row r="23" spans="2:9" ht="18" customHeight="1" x14ac:dyDescent="0.2">
      <c r="B23" s="1525" t="s">
        <v>1876</v>
      </c>
      <c r="C23" s="2900">
        <f>IF(SUM(C25:C30)=0,"NO",SUM(C25:C30))</f>
        <v>19.764926093684785</v>
      </c>
      <c r="D23" s="116">
        <f t="shared" si="4"/>
        <v>1501.1708659534243</v>
      </c>
      <c r="E23" s="151" t="str">
        <f t="shared" si="5"/>
        <v>NA</v>
      </c>
      <c r="F23" s="151" t="str">
        <f t="shared" si="6"/>
        <v>NA</v>
      </c>
      <c r="G23" s="151">
        <f>IF(SUM(G25:G30)=0,"NO",SUM(G25:G30))</f>
        <v>29.670531219562221</v>
      </c>
      <c r="H23" s="151" t="str">
        <f>IF(SUM(H25:H30)=0,"NE",SUM(H25:H30))</f>
        <v>NE</v>
      </c>
      <c r="I23" s="152" t="str">
        <f>IF(SUM(I25:I30)=0,"NE",SUM(I25:I30))</f>
        <v>NE</v>
      </c>
    </row>
    <row r="24" spans="2:9" ht="18" customHeight="1" x14ac:dyDescent="0.2">
      <c r="B24" s="4217" t="s">
        <v>1868</v>
      </c>
      <c r="C24" s="2320"/>
      <c r="D24" s="2321"/>
      <c r="E24" s="2321"/>
      <c r="F24" s="2321"/>
      <c r="G24" s="2321"/>
      <c r="H24" s="2321"/>
      <c r="I24" s="2322"/>
    </row>
    <row r="25" spans="2:9" ht="18" customHeight="1" x14ac:dyDescent="0.2">
      <c r="B25" s="1539" t="s">
        <v>1877</v>
      </c>
      <c r="C25" s="2906" t="s">
        <v>199</v>
      </c>
      <c r="D25" s="116" t="str">
        <f t="shared" si="4"/>
        <v>NA</v>
      </c>
      <c r="E25" s="116" t="str">
        <f t="shared" si="5"/>
        <v>NA</v>
      </c>
      <c r="F25" s="116" t="str">
        <f t="shared" si="6"/>
        <v>NA</v>
      </c>
      <c r="G25" s="2906" t="s">
        <v>199</v>
      </c>
      <c r="H25" s="2906" t="s">
        <v>199</v>
      </c>
      <c r="I25" s="2907" t="s">
        <v>199</v>
      </c>
    </row>
    <row r="26" spans="2:9" ht="18" customHeight="1" x14ac:dyDescent="0.2">
      <c r="B26" s="1539" t="s">
        <v>1878</v>
      </c>
      <c r="C26" s="2906" t="s">
        <v>199</v>
      </c>
      <c r="D26" s="116" t="str">
        <f t="shared" si="4"/>
        <v>NA</v>
      </c>
      <c r="E26" s="116" t="str">
        <f t="shared" si="5"/>
        <v>NA</v>
      </c>
      <c r="F26" s="116" t="str">
        <f t="shared" si="6"/>
        <v>NA</v>
      </c>
      <c r="G26" s="2906" t="s">
        <v>199</v>
      </c>
      <c r="H26" s="2906" t="s">
        <v>199</v>
      </c>
      <c r="I26" s="2907" t="s">
        <v>199</v>
      </c>
    </row>
    <row r="27" spans="2:9" ht="18" customHeight="1" x14ac:dyDescent="0.2">
      <c r="B27" s="1539" t="s">
        <v>1879</v>
      </c>
      <c r="C27" s="3706">
        <v>14.150605507842638</v>
      </c>
      <c r="D27" s="116">
        <f t="shared" si="4"/>
        <v>879.99999999999989</v>
      </c>
      <c r="E27" s="116" t="str">
        <f t="shared" si="5"/>
        <v>NA</v>
      </c>
      <c r="F27" s="116" t="str">
        <f t="shared" si="6"/>
        <v>NA</v>
      </c>
      <c r="G27" s="2908">
        <v>12.452532846901521</v>
      </c>
      <c r="H27" s="2906" t="s">
        <v>221</v>
      </c>
      <c r="I27" s="2907" t="s">
        <v>221</v>
      </c>
    </row>
    <row r="28" spans="2:9" ht="18" customHeight="1" x14ac:dyDescent="0.2">
      <c r="B28" s="1539" t="s">
        <v>1880</v>
      </c>
      <c r="C28" s="2906" t="s">
        <v>199</v>
      </c>
      <c r="D28" s="116" t="str">
        <f t="shared" si="4"/>
        <v>NA</v>
      </c>
      <c r="E28" s="116" t="str">
        <f t="shared" si="5"/>
        <v>NA</v>
      </c>
      <c r="F28" s="116" t="str">
        <f t="shared" si="6"/>
        <v>NA</v>
      </c>
      <c r="G28" s="2906" t="s">
        <v>199</v>
      </c>
      <c r="H28" s="2906" t="s">
        <v>199</v>
      </c>
      <c r="I28" s="2907" t="s">
        <v>199</v>
      </c>
    </row>
    <row r="29" spans="2:9" ht="18" customHeight="1" x14ac:dyDescent="0.2">
      <c r="B29" s="1539" t="s">
        <v>1881</v>
      </c>
      <c r="C29" s="2906" t="s">
        <v>199</v>
      </c>
      <c r="D29" s="116" t="str">
        <f t="shared" si="4"/>
        <v>NA</v>
      </c>
      <c r="E29" s="116" t="str">
        <f t="shared" si="5"/>
        <v>NA</v>
      </c>
      <c r="F29" s="116" t="str">
        <f t="shared" si="6"/>
        <v>NA</v>
      </c>
      <c r="G29" s="2906" t="s">
        <v>199</v>
      </c>
      <c r="H29" s="2906" t="s">
        <v>199</v>
      </c>
      <c r="I29" s="2907" t="s">
        <v>199</v>
      </c>
    </row>
    <row r="30" spans="2:9" ht="18" customHeight="1" x14ac:dyDescent="0.2">
      <c r="B30" s="1539" t="s">
        <v>1882</v>
      </c>
      <c r="C30" s="1540">
        <f>C31</f>
        <v>5.6143205858421483</v>
      </c>
      <c r="D30" s="116">
        <f t="shared" si="4"/>
        <v>3066.7999999999997</v>
      </c>
      <c r="E30" s="153" t="str">
        <f t="shared" si="5"/>
        <v>NA</v>
      </c>
      <c r="F30" s="153" t="str">
        <f t="shared" si="6"/>
        <v>NA</v>
      </c>
      <c r="G30" s="1540">
        <f>G31</f>
        <v>17.217998372660698</v>
      </c>
      <c r="H30" s="1540" t="str">
        <f>H31</f>
        <v>NE</v>
      </c>
      <c r="I30" s="2905" t="str">
        <f>I31</f>
        <v>NE</v>
      </c>
    </row>
    <row r="31" spans="2:9" ht="18" customHeight="1" x14ac:dyDescent="0.2">
      <c r="B31" s="2902" t="s">
        <v>1883</v>
      </c>
      <c r="C31" s="162">
        <v>5.6143205858421483</v>
      </c>
      <c r="D31" s="116">
        <f t="shared" si="4"/>
        <v>3066.7999999999997</v>
      </c>
      <c r="E31" s="153" t="str">
        <f t="shared" si="5"/>
        <v>NA</v>
      </c>
      <c r="F31" s="153" t="str">
        <f t="shared" si="6"/>
        <v>NA</v>
      </c>
      <c r="G31" s="161">
        <v>17.217998372660698</v>
      </c>
      <c r="H31" s="2906" t="s">
        <v>221</v>
      </c>
      <c r="I31" s="2907"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8" t="s">
        <v>199</v>
      </c>
      <c r="D34" s="116" t="str">
        <f t="shared" si="4"/>
        <v>NA</v>
      </c>
      <c r="E34" s="116" t="str">
        <f t="shared" si="5"/>
        <v>NA</v>
      </c>
      <c r="F34" s="116" t="str">
        <f t="shared" si="6"/>
        <v>NA</v>
      </c>
      <c r="G34" s="2906" t="s">
        <v>199</v>
      </c>
      <c r="H34" s="2906" t="s">
        <v>199</v>
      </c>
      <c r="I34" s="2909" t="s">
        <v>199</v>
      </c>
    </row>
    <row r="35" spans="2:9" ht="18" customHeight="1" x14ac:dyDescent="0.2">
      <c r="B35" s="1525" t="s">
        <v>1886</v>
      </c>
      <c r="C35" s="2910" t="s">
        <v>199</v>
      </c>
      <c r="D35" s="151" t="str">
        <f t="shared" si="4"/>
        <v>NA</v>
      </c>
      <c r="E35" s="151" t="str">
        <f t="shared" si="5"/>
        <v>NA</v>
      </c>
      <c r="F35" s="151" t="str">
        <f t="shared" si="6"/>
        <v>NA</v>
      </c>
      <c r="G35" s="2911" t="s">
        <v>199</v>
      </c>
      <c r="H35" s="2911" t="s">
        <v>199</v>
      </c>
      <c r="I35" s="2912" t="s">
        <v>199</v>
      </c>
    </row>
    <row r="36" spans="2:9" ht="18" customHeight="1" x14ac:dyDescent="0.2">
      <c r="B36" s="2903" t="s">
        <v>205</v>
      </c>
      <c r="C36" s="2908" t="s">
        <v>199</v>
      </c>
      <c r="D36" s="151" t="str">
        <f t="shared" si="4"/>
        <v>NA</v>
      </c>
      <c r="E36" s="151" t="str">
        <f t="shared" si="5"/>
        <v>NA</v>
      </c>
      <c r="F36" s="151" t="str">
        <f t="shared" si="6"/>
        <v>NA</v>
      </c>
      <c r="G36" s="2906" t="s">
        <v>199</v>
      </c>
      <c r="H36" s="2906" t="s">
        <v>199</v>
      </c>
      <c r="I36" s="2913"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6" t="s">
        <v>199</v>
      </c>
      <c r="D38" s="116" t="str">
        <f t="shared" si="4"/>
        <v>NA</v>
      </c>
      <c r="E38" s="116" t="str">
        <f t="shared" si="5"/>
        <v>NA</v>
      </c>
      <c r="F38" s="116" t="str">
        <f t="shared" si="6"/>
        <v>NA</v>
      </c>
      <c r="G38" s="2906" t="s">
        <v>199</v>
      </c>
      <c r="H38" s="2906" t="s">
        <v>199</v>
      </c>
      <c r="I38" s="2909"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6"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E10" sqref="E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2460</v>
      </c>
      <c r="M1"/>
      <c r="N1"/>
      <c r="O1"/>
    </row>
    <row r="2" spans="1:15" ht="15.75" customHeight="1" x14ac:dyDescent="0.2">
      <c r="A2"/>
      <c r="B2" s="213" t="s">
        <v>1891</v>
      </c>
      <c r="C2" s="213"/>
      <c r="D2"/>
      <c r="E2"/>
      <c r="F2"/>
      <c r="G2"/>
      <c r="H2"/>
      <c r="I2"/>
      <c r="J2"/>
      <c r="K2" s="226"/>
      <c r="L2" s="14" t="s">
        <v>2461</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5"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2">
        <v>20829.017</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7">
        <v>35.255416038214449</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3">
        <v>0.16</v>
      </c>
    </row>
    <row r="10" spans="1:15" ht="18" customHeight="1" thickTop="1" x14ac:dyDescent="0.2">
      <c r="A10"/>
      <c r="B10" s="1777" t="s">
        <v>1812</v>
      </c>
      <c r="C10" s="3399">
        <v>2430.9725254999598</v>
      </c>
      <c r="D10" s="3399">
        <v>1867.2225155098099</v>
      </c>
      <c r="E10" s="3399">
        <v>118.87542458396321</v>
      </c>
      <c r="F10" s="3400">
        <f>(SUM(H10)-SUM(K10:L10))/C10</f>
        <v>4.6030655850442304E-2</v>
      </c>
      <c r="G10" s="3400">
        <f>SUM(I10:J10)/E10/(44/28)</f>
        <v>3.3788892829013425E-3</v>
      </c>
      <c r="H10" s="3398">
        <v>59.826498501401552</v>
      </c>
      <c r="I10" s="3190">
        <v>0.63119083991401437</v>
      </c>
      <c r="J10" s="3190" t="s">
        <v>274</v>
      </c>
      <c r="K10" s="3401" t="s">
        <v>274</v>
      </c>
      <c r="L10" s="2921">
        <v>-52.072761201767683</v>
      </c>
      <c r="M10"/>
      <c r="N10" s="1773" t="s">
        <v>1910</v>
      </c>
      <c r="O10" s="3403">
        <v>1</v>
      </c>
    </row>
    <row r="11" spans="1:15" ht="18" customHeight="1" x14ac:dyDescent="0.2">
      <c r="A11"/>
      <c r="B11" s="1752" t="s">
        <v>1813</v>
      </c>
      <c r="C11" s="3399">
        <v>834.89020078292106</v>
      </c>
      <c r="D11" s="3399">
        <v>123.7171120790925</v>
      </c>
      <c r="E11" s="699" t="s">
        <v>274</v>
      </c>
      <c r="F11" s="3134">
        <f>(SUM(H11)-SUM(K11:L11))/C11</f>
        <v>6.9030035648033602E-2</v>
      </c>
      <c r="G11" s="3134" t="s">
        <v>205</v>
      </c>
      <c r="H11" s="699">
        <v>55.096475035036605</v>
      </c>
      <c r="I11" s="699" t="s">
        <v>274</v>
      </c>
      <c r="J11" s="699" t="s">
        <v>274</v>
      </c>
      <c r="K11" s="3125" t="s">
        <v>274</v>
      </c>
      <c r="L11" s="2921">
        <v>-2.5360252872023623</v>
      </c>
      <c r="M11"/>
      <c r="N11" s="275" t="s">
        <v>1911</v>
      </c>
      <c r="O11" s="3403">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4">
        <v>1</v>
      </c>
    </row>
    <row r="13" spans="1:15" ht="18" customHeight="1" thickBot="1" x14ac:dyDescent="0.25">
      <c r="A13"/>
      <c r="B13" s="2882" t="s">
        <v>205</v>
      </c>
      <c r="C13" s="2914" t="s">
        <v>199</v>
      </c>
      <c r="D13" s="2914" t="s">
        <v>199</v>
      </c>
      <c r="E13" s="2914" t="s">
        <v>199</v>
      </c>
      <c r="F13" s="2915" t="s">
        <v>205</v>
      </c>
      <c r="G13" s="2915"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42"/>
      <c r="C33" s="4543"/>
      <c r="D33" s="4543"/>
      <c r="E33" s="4543"/>
      <c r="F33" s="4543"/>
      <c r="G33" s="4543"/>
      <c r="H33" s="4543"/>
      <c r="I33" s="4543"/>
      <c r="J33" s="4543"/>
      <c r="K33" s="4543"/>
      <c r="L33" s="4544"/>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O10" sqref="O10"/>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2460</v>
      </c>
    </row>
    <row r="2" spans="1:15" ht="15.75" x14ac:dyDescent="0.25">
      <c r="A2" s="1123"/>
      <c r="B2" s="3" t="s">
        <v>162</v>
      </c>
      <c r="N2" s="2"/>
      <c r="O2" s="14" t="s">
        <v>2461</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80" t="s">
        <v>62</v>
      </c>
      <c r="D7" s="1124"/>
      <c r="N7" s="597"/>
      <c r="O7" s="597"/>
    </row>
    <row r="8" spans="1:15" ht="38.25" x14ac:dyDescent="0.25">
      <c r="B8" s="1120" t="s">
        <v>164</v>
      </c>
      <c r="C8" s="1125" t="s">
        <v>1915</v>
      </c>
      <c r="D8" s="598" t="s">
        <v>597</v>
      </c>
      <c r="E8" s="598" t="s">
        <v>598</v>
      </c>
      <c r="F8" s="2493" t="s">
        <v>611</v>
      </c>
      <c r="G8" s="2494" t="s">
        <v>612</v>
      </c>
      <c r="H8" s="2495" t="s">
        <v>1916</v>
      </c>
      <c r="I8" s="2496" t="s">
        <v>614</v>
      </c>
      <c r="J8" s="2497" t="s">
        <v>1917</v>
      </c>
      <c r="K8" s="2496" t="s">
        <v>616</v>
      </c>
      <c r="L8" s="2498" t="s">
        <v>1918</v>
      </c>
      <c r="M8" s="2498"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7">
        <f t="shared" ref="C10:G10" si="0">SUM(C11,C22,C31,C42,C51)</f>
        <v>453220.0228116769</v>
      </c>
      <c r="D10" s="3798">
        <f t="shared" si="0"/>
        <v>5242.0059224718152</v>
      </c>
      <c r="E10" s="3798">
        <f t="shared" si="0"/>
        <v>78.160699374874739</v>
      </c>
      <c r="F10" s="3798">
        <f t="shared" si="0"/>
        <v>4706.3765189513433</v>
      </c>
      <c r="G10" s="3798">
        <f t="shared" si="0"/>
        <v>524.05752254650565</v>
      </c>
      <c r="H10" s="3798" t="str">
        <f>IF(SUM(H11,H22,H31,H42,H51)=0,"NO",SUM(H11,H22,H31,H42,H51))</f>
        <v>NO</v>
      </c>
      <c r="I10" s="3798">
        <f t="shared" ref="I10:N10" si="1">IF(SUM(I11,I22,I31,I42,I51)=0,"NO",SUM(I11,I22,I31,I42,I51))</f>
        <v>7.6810372273039083E-3</v>
      </c>
      <c r="J10" s="3826" t="str">
        <f t="shared" si="1"/>
        <v>NO</v>
      </c>
      <c r="K10" s="3798">
        <f t="shared" si="1"/>
        <v>3215.9752181599524</v>
      </c>
      <c r="L10" s="3798">
        <f t="shared" si="1"/>
        <v>30065.86924529283</v>
      </c>
      <c r="M10" s="3798">
        <f t="shared" si="1"/>
        <v>2011.5187374326579</v>
      </c>
      <c r="N10" s="3799">
        <f t="shared" si="1"/>
        <v>2444.6160214429033</v>
      </c>
      <c r="O10" s="3800">
        <f>IF(SUM(C10:J10)=0,"NO",SUM(C10,F10:H10)+28*SUM(D10)+265*SUM(E10)+23500*SUM(I10)+16100*SUM(J10))</f>
        <v>626119.71239156916</v>
      </c>
    </row>
    <row r="11" spans="1:15" ht="18" customHeight="1" x14ac:dyDescent="0.25">
      <c r="B11" s="1116" t="s">
        <v>1921</v>
      </c>
      <c r="C11" s="2572">
        <f>Table1!C10</f>
        <v>372938.50135631009</v>
      </c>
      <c r="D11" s="3766">
        <f>Table1!D10</f>
        <v>1484.1467133997639</v>
      </c>
      <c r="E11" s="3766">
        <f>Table1!E10</f>
        <v>12.691427854044349</v>
      </c>
      <c r="F11" s="1553"/>
      <c r="G11" s="1553"/>
      <c r="H11" s="3714"/>
      <c r="I11" s="1553"/>
      <c r="J11" s="98"/>
      <c r="K11" s="3766">
        <f>Table1!F10</f>
        <v>2158.8652258263442</v>
      </c>
      <c r="L11" s="3713">
        <f>Table1!G10</f>
        <v>3169.1880086236638</v>
      </c>
      <c r="M11" s="3713">
        <f>Table1!H10</f>
        <v>694.25055244311727</v>
      </c>
      <c r="N11" s="960">
        <f>Table1!I10</f>
        <v>763.1895034549168</v>
      </c>
      <c r="O11" s="3715">
        <f t="shared" ref="O11:O58" si="2">IF(SUM(C11:J11)=0,"NO",SUM(C11,F11:H11)+28*SUM(D11)+265*SUM(E11)+23500*SUM(I11)+16100*SUM(J11))</f>
        <v>417857.83771282528</v>
      </c>
    </row>
    <row r="12" spans="1:15" ht="18" customHeight="1" x14ac:dyDescent="0.25">
      <c r="B12" s="1369" t="s">
        <v>1922</v>
      </c>
      <c r="C12" s="3794">
        <f>Table1!C11</f>
        <v>365433.45730423921</v>
      </c>
      <c r="D12" s="617">
        <f>Table1!D11</f>
        <v>82.650852150785511</v>
      </c>
      <c r="E12" s="617">
        <f>Table1!E11</f>
        <v>12.600964652673378</v>
      </c>
      <c r="F12" s="69"/>
      <c r="G12" s="69"/>
      <c r="H12" s="69"/>
      <c r="I12" s="69"/>
      <c r="J12" s="69"/>
      <c r="K12" s="617">
        <f>Table1!F11</f>
        <v>2156.0415392129335</v>
      </c>
      <c r="L12" s="617">
        <f>Table1!G11</f>
        <v>3152.8124188571369</v>
      </c>
      <c r="M12" s="617">
        <f>Table1!H11</f>
        <v>494.65676951781506</v>
      </c>
      <c r="N12" s="619">
        <f>Table1!I11</f>
        <v>763.1895034549168</v>
      </c>
      <c r="O12" s="3716">
        <f t="shared" si="2"/>
        <v>371086.93679741962</v>
      </c>
    </row>
    <row r="13" spans="1:15" ht="18" customHeight="1" x14ac:dyDescent="0.25">
      <c r="B13" s="1370" t="s">
        <v>1923</v>
      </c>
      <c r="C13" s="3794">
        <f>Table1!C12</f>
        <v>222727.89215060015</v>
      </c>
      <c r="D13" s="617">
        <f>Table1!D12</f>
        <v>12.976423252243976</v>
      </c>
      <c r="E13" s="617">
        <f>Table1!E12</f>
        <v>3.7612196537347939</v>
      </c>
      <c r="F13" s="69"/>
      <c r="G13" s="69"/>
      <c r="H13" s="69"/>
      <c r="I13" s="69"/>
      <c r="J13" s="69"/>
      <c r="K13" s="617">
        <f>Table1!F12</f>
        <v>925.89908171321508</v>
      </c>
      <c r="L13" s="617">
        <f>Table1!G12</f>
        <v>169.17300665691886</v>
      </c>
      <c r="M13" s="617">
        <f>Table1!H12</f>
        <v>36.912890057789745</v>
      </c>
      <c r="N13" s="619">
        <f>Table1!I12</f>
        <v>630.58180481275531</v>
      </c>
      <c r="O13" s="3717">
        <f t="shared" si="2"/>
        <v>224087.95520990269</v>
      </c>
    </row>
    <row r="14" spans="1:15" ht="18" customHeight="1" x14ac:dyDescent="0.25">
      <c r="B14" s="1370" t="s">
        <v>1924</v>
      </c>
      <c r="C14" s="3794">
        <f>Table1!C16</f>
        <v>40457.906147434805</v>
      </c>
      <c r="D14" s="3718">
        <f>Table1!D16</f>
        <v>2.3972548946445911</v>
      </c>
      <c r="E14" s="3718">
        <f>Table1!E16</f>
        <v>1.3715263252857557</v>
      </c>
      <c r="F14" s="3719"/>
      <c r="G14" s="3719"/>
      <c r="H14" s="3719"/>
      <c r="I14" s="3719"/>
      <c r="J14" s="69"/>
      <c r="K14" s="3718">
        <f>Table1!F16</f>
        <v>553.98226275236061</v>
      </c>
      <c r="L14" s="3718">
        <f>Table1!G16</f>
        <v>175.60836775353175</v>
      </c>
      <c r="M14" s="3718">
        <f>Table1!H16</f>
        <v>70.106821987791108</v>
      </c>
      <c r="N14" s="3720">
        <f>Table1!I16</f>
        <v>95.518215015732054</v>
      </c>
      <c r="O14" s="3721">
        <f t="shared" si="2"/>
        <v>40888.48376068558</v>
      </c>
    </row>
    <row r="15" spans="1:15" ht="18" customHeight="1" x14ac:dyDescent="0.25">
      <c r="B15" s="1370" t="s">
        <v>1925</v>
      </c>
      <c r="C15" s="3794">
        <f>Table1!C24</f>
        <v>82772.894979733159</v>
      </c>
      <c r="D15" s="617">
        <f>Table1!D24</f>
        <v>19.84797658284041</v>
      </c>
      <c r="E15" s="617">
        <f>Table1!E24</f>
        <v>6.7968941140769177</v>
      </c>
      <c r="F15" s="69"/>
      <c r="G15" s="69"/>
      <c r="H15" s="69"/>
      <c r="I15" s="69"/>
      <c r="J15" s="69"/>
      <c r="K15" s="617">
        <f>Table1!F24</f>
        <v>321.54172438541775</v>
      </c>
      <c r="L15" s="617">
        <f>Table1!G24</f>
        <v>2043.8386100457883</v>
      </c>
      <c r="M15" s="617">
        <f>Table1!H24</f>
        <v>264.16444111633228</v>
      </c>
      <c r="N15" s="619">
        <f>Table1!I24</f>
        <v>29.325038651348681</v>
      </c>
      <c r="O15" s="3717">
        <f t="shared" si="2"/>
        <v>85129.815264283068</v>
      </c>
    </row>
    <row r="16" spans="1:15" ht="18" customHeight="1" x14ac:dyDescent="0.25">
      <c r="B16" s="1370" t="s">
        <v>1926</v>
      </c>
      <c r="C16" s="3794">
        <f>Table1!C30</f>
        <v>18698.623052534163</v>
      </c>
      <c r="D16" s="617">
        <f>Table1!D30</f>
        <v>47.398315614454816</v>
      </c>
      <c r="E16" s="617">
        <f>Table1!E30</f>
        <v>0.64964649649280681</v>
      </c>
      <c r="F16" s="69"/>
      <c r="G16" s="69"/>
      <c r="H16" s="69"/>
      <c r="I16" s="69"/>
      <c r="J16" s="69"/>
      <c r="K16" s="617">
        <f>Table1!F30</f>
        <v>347.89035528949313</v>
      </c>
      <c r="L16" s="617">
        <f>Table1!G30</f>
        <v>759.5805987361914</v>
      </c>
      <c r="M16" s="617">
        <f>Table1!H30</f>
        <v>122.96449625823476</v>
      </c>
      <c r="N16" s="619">
        <f>Table1!I30</f>
        <v>7.5078125791174806</v>
      </c>
      <c r="O16" s="3717">
        <f t="shared" si="2"/>
        <v>20197.932211309493</v>
      </c>
    </row>
    <row r="17" spans="2:15" ht="18" customHeight="1" x14ac:dyDescent="0.25">
      <c r="B17" s="1370" t="s">
        <v>1927</v>
      </c>
      <c r="C17" s="3794">
        <f>Table1!C34</f>
        <v>776.14097393694124</v>
      </c>
      <c r="D17" s="617">
        <f>Table1!D34</f>
        <v>3.088180660170637E-2</v>
      </c>
      <c r="E17" s="617">
        <f>Table1!E34</f>
        <v>2.1678063083103615E-2</v>
      </c>
      <c r="F17" s="69"/>
      <c r="G17" s="69"/>
      <c r="H17" s="69"/>
      <c r="I17" s="69"/>
      <c r="J17" s="69"/>
      <c r="K17" s="617">
        <f>Table1!F34</f>
        <v>6.7281150724468493</v>
      </c>
      <c r="L17" s="617">
        <f>Table1!G34</f>
        <v>4.6118356647066676</v>
      </c>
      <c r="M17" s="617">
        <f>Table1!H34</f>
        <v>0.50812009766714739</v>
      </c>
      <c r="N17" s="619">
        <f>Table1!I34</f>
        <v>0.2566323959632148</v>
      </c>
      <c r="O17" s="3717">
        <f t="shared" si="2"/>
        <v>782.75035123881139</v>
      </c>
    </row>
    <row r="18" spans="2:15" ht="18" customHeight="1" x14ac:dyDescent="0.25">
      <c r="B18" s="1369" t="s">
        <v>201</v>
      </c>
      <c r="C18" s="3711">
        <f>Table1!C37</f>
        <v>7505.0440520709017</v>
      </c>
      <c r="D18" s="3795">
        <f>Table1!D37</f>
        <v>1401.4958612489784</v>
      </c>
      <c r="E18" s="3795">
        <f>Table1!E37</f>
        <v>9.0463201370971594E-2</v>
      </c>
      <c r="F18" s="69"/>
      <c r="G18" s="69"/>
      <c r="H18" s="69"/>
      <c r="I18" s="69"/>
      <c r="J18" s="69"/>
      <c r="K18" s="3795">
        <f>Table1!F37</f>
        <v>2.8236866134105467</v>
      </c>
      <c r="L18" s="617">
        <f>Table1!G37</f>
        <v>16.375589766527067</v>
      </c>
      <c r="M18" s="617">
        <f>Table1!H37</f>
        <v>199.59378292530224</v>
      </c>
      <c r="N18" s="619" t="str">
        <f>Table1!I37</f>
        <v>NO</v>
      </c>
      <c r="O18" s="3717">
        <f t="shared" si="2"/>
        <v>46770.900915405604</v>
      </c>
    </row>
    <row r="19" spans="2:15" ht="18" customHeight="1" x14ac:dyDescent="0.25">
      <c r="B19" s="1370" t="s">
        <v>1928</v>
      </c>
      <c r="C19" s="3712">
        <f>Table1!C38</f>
        <v>1284.9645005780499</v>
      </c>
      <c r="D19" s="3722">
        <f>Table1!D38</f>
        <v>1192.8147241358829</v>
      </c>
      <c r="E19" s="3795">
        <f>Table1!E38</f>
        <v>1.2741952051547868E-4</v>
      </c>
      <c r="F19" s="69"/>
      <c r="G19" s="69"/>
      <c r="H19" s="69"/>
      <c r="I19" s="69"/>
      <c r="J19" s="69"/>
      <c r="K19" s="3795" t="str">
        <f>Table1!F38</f>
        <v>NO</v>
      </c>
      <c r="L19" s="617" t="str">
        <f>Table1!G38</f>
        <v>NO</v>
      </c>
      <c r="M19" s="617" t="str">
        <f>Table1!H38</f>
        <v>NO</v>
      </c>
      <c r="N19" s="619" t="str">
        <f>Table1!I38</f>
        <v>NO</v>
      </c>
      <c r="O19" s="3717">
        <f t="shared" si="2"/>
        <v>34683.810542555708</v>
      </c>
    </row>
    <row r="20" spans="2:15" ht="18" customHeight="1" x14ac:dyDescent="0.25">
      <c r="B20" s="1371" t="s">
        <v>1929</v>
      </c>
      <c r="C20" s="3712">
        <f>Table1!C42</f>
        <v>6220.0795514928514</v>
      </c>
      <c r="D20" s="3796">
        <f>Table1!D42</f>
        <v>208.6811371130955</v>
      </c>
      <c r="E20" s="3795">
        <f>Table1!E42</f>
        <v>9.0335781850456112E-2</v>
      </c>
      <c r="F20" s="3719"/>
      <c r="G20" s="3719"/>
      <c r="H20" s="3719"/>
      <c r="I20" s="3719"/>
      <c r="J20" s="69"/>
      <c r="K20" s="3795">
        <f>Table1!F42</f>
        <v>2.8236866134105467</v>
      </c>
      <c r="L20" s="3718">
        <f>Table1!G42</f>
        <v>16.375589766527067</v>
      </c>
      <c r="M20" s="3718">
        <f>Table1!H42</f>
        <v>199.59378292530224</v>
      </c>
      <c r="N20" s="3720" t="str">
        <f>Table1!I42</f>
        <v>NO</v>
      </c>
      <c r="O20" s="3721">
        <f t="shared" si="2"/>
        <v>12087.090372849896</v>
      </c>
    </row>
    <row r="21" spans="2:15" ht="18" customHeight="1" thickBot="1" x14ac:dyDescent="0.3">
      <c r="B21" s="1372" t="s">
        <v>1930</v>
      </c>
      <c r="C21" s="3710" t="str">
        <f>Table1!C47</f>
        <v>NO</v>
      </c>
      <c r="D21" s="3723"/>
      <c r="E21" s="3723"/>
      <c r="F21" s="3719"/>
      <c r="G21" s="3719"/>
      <c r="H21" s="3719"/>
      <c r="I21" s="3719"/>
      <c r="J21" s="3719"/>
      <c r="K21" s="3724"/>
      <c r="L21" s="3724"/>
      <c r="M21" s="3724"/>
      <c r="N21" s="3725"/>
      <c r="O21" s="3721" t="str">
        <f t="shared" si="2"/>
        <v>NO</v>
      </c>
    </row>
    <row r="22" spans="2:15" ht="18" customHeight="1" x14ac:dyDescent="0.25">
      <c r="B22" s="1373" t="s">
        <v>1931</v>
      </c>
      <c r="C22" s="3726">
        <f>'Table2(I)'!C10</f>
        <v>24691.051147405644</v>
      </c>
      <c r="D22" s="3727">
        <f>'Table2(I)'!D10</f>
        <v>3.5721409116313096</v>
      </c>
      <c r="E22" s="3728">
        <f>'Table2(I)'!E10</f>
        <v>9.2731974041721461</v>
      </c>
      <c r="F22" s="3713">
        <f>'Table2(I)'!F10</f>
        <v>4706.3765189513433</v>
      </c>
      <c r="G22" s="3713">
        <f>'Table2(I)'!G10</f>
        <v>524.05752254650565</v>
      </c>
      <c r="H22" s="3713" t="str">
        <f>'Table2(I)'!H10</f>
        <v>NO</v>
      </c>
      <c r="I22" s="3713">
        <f>'Table2(I)'!I10</f>
        <v>7.6810372273039083E-3</v>
      </c>
      <c r="J22" s="3713" t="str">
        <f>'Table2(I)'!J10</f>
        <v>NO</v>
      </c>
      <c r="K22" s="3713">
        <f>'Table2(I)'!K10</f>
        <v>40.261420616691055</v>
      </c>
      <c r="L22" s="3713">
        <f>'Table2(I)'!L10</f>
        <v>10.825383446352516</v>
      </c>
      <c r="M22" s="3713">
        <f>'Table2(I)'!M10</f>
        <v>236.76993726994959</v>
      </c>
      <c r="N22" s="960">
        <f>'Table2(I)'!N10</f>
        <v>1681.4265179879865</v>
      </c>
      <c r="O22" s="3715">
        <f t="shared" si="2"/>
        <v>32659.406821376433</v>
      </c>
    </row>
    <row r="23" spans="2:15" ht="18" customHeight="1" x14ac:dyDescent="0.25">
      <c r="B23" s="1129" t="s">
        <v>1932</v>
      </c>
      <c r="C23" s="3729">
        <f>'Table2(I)'!C11</f>
        <v>6985.4738057376535</v>
      </c>
      <c r="D23" s="3730"/>
      <c r="E23" s="98"/>
      <c r="F23" s="98"/>
      <c r="G23" s="98"/>
      <c r="H23" s="98"/>
      <c r="I23" s="98"/>
      <c r="J23" s="69"/>
      <c r="K23" s="620" t="str">
        <f>'Table2(I)'!K11</f>
        <v>NO</v>
      </c>
      <c r="L23" s="620" t="str">
        <f>'Table2(I)'!L11</f>
        <v>NO</v>
      </c>
      <c r="M23" s="620" t="str">
        <f>'Table2(I)'!M11</f>
        <v>NO</v>
      </c>
      <c r="N23" s="622" t="str">
        <f>'Table2(I)'!N11</f>
        <v>NO</v>
      </c>
      <c r="O23" s="3716">
        <f t="shared" si="2"/>
        <v>6985.4738057376535</v>
      </c>
    </row>
    <row r="24" spans="2:15" ht="18" customHeight="1" x14ac:dyDescent="0.25">
      <c r="B24" s="1129" t="s">
        <v>846</v>
      </c>
      <c r="C24" s="3729">
        <f>'Table2(I)'!C16</f>
        <v>4015.7436099825823</v>
      </c>
      <c r="D24" s="3731">
        <f>'Table2(I)'!D16</f>
        <v>0.57348379999999999</v>
      </c>
      <c r="E24" s="3732">
        <f>'Table2(I)'!E16</f>
        <v>9.1940933223425514</v>
      </c>
      <c r="F24" s="617" t="str">
        <f>'Table2(I)'!F16</f>
        <v>NO</v>
      </c>
      <c r="G24" s="617" t="str">
        <f>'Table2(I)'!G16</f>
        <v>NO</v>
      </c>
      <c r="H24" s="617" t="str">
        <f>'Table2(I)'!H16</f>
        <v>NO</v>
      </c>
      <c r="I24" s="617" t="str">
        <f>'Table2(I)'!I16</f>
        <v>NO</v>
      </c>
      <c r="J24" s="602" t="str">
        <f>'Table2(I)'!J16</f>
        <v>NO</v>
      </c>
      <c r="K24" s="617" t="str">
        <f>'Table2(I)'!K16</f>
        <v>NO</v>
      </c>
      <c r="L24" s="617" t="str">
        <f>'Table2(I)'!L16</f>
        <v>NO</v>
      </c>
      <c r="M24" s="617">
        <f>'Table2(I)'!M16</f>
        <v>2.8425606806999988</v>
      </c>
      <c r="N24" s="619" t="str">
        <f>'Table2(I)'!N16</f>
        <v>NO</v>
      </c>
      <c r="O24" s="3717">
        <f t="shared" si="2"/>
        <v>6468.2358868033589</v>
      </c>
    </row>
    <row r="25" spans="2:15" ht="18" customHeight="1" x14ac:dyDescent="0.25">
      <c r="B25" s="1129" t="s">
        <v>637</v>
      </c>
      <c r="C25" s="3729">
        <f>'Table2(I)'!C27</f>
        <v>13315.672838033806</v>
      </c>
      <c r="D25" s="3731">
        <f>'Table2(I)'!D27</f>
        <v>2.9986571116313097</v>
      </c>
      <c r="E25" s="3732">
        <f>'Table2(I)'!E27</f>
        <v>7.9104081829594969E-2</v>
      </c>
      <c r="F25" s="617" t="str">
        <f>'Table2(I)'!F27</f>
        <v>NO</v>
      </c>
      <c r="G25" s="617">
        <f>'Table2(I)'!G27</f>
        <v>524.05752254650565</v>
      </c>
      <c r="H25" s="617" t="str">
        <f>'Table2(I)'!H27</f>
        <v>NO</v>
      </c>
      <c r="I25" s="617" t="str">
        <f>'Table2(I)'!I27</f>
        <v>NO</v>
      </c>
      <c r="J25" s="617" t="str">
        <f>'Table2(I)'!J27</f>
        <v>NO</v>
      </c>
      <c r="K25" s="617">
        <f>'Table2(I)'!K27</f>
        <v>40.261420616691055</v>
      </c>
      <c r="L25" s="617">
        <f>'Table2(I)'!L27</f>
        <v>10.825383446352516</v>
      </c>
      <c r="M25" s="617">
        <f>'Table2(I)'!M27</f>
        <v>9.8379954112451859E-2</v>
      </c>
      <c r="N25" s="619">
        <f>'Table2(I)'!N27</f>
        <v>1681.4265179879865</v>
      </c>
      <c r="O25" s="3717">
        <f t="shared" si="2"/>
        <v>13944.65534139083</v>
      </c>
    </row>
    <row r="26" spans="2:15" ht="18" customHeight="1" x14ac:dyDescent="0.25">
      <c r="B26" s="1129" t="s">
        <v>1933</v>
      </c>
      <c r="C26" s="3729">
        <f>'Table2(I)'!C35</f>
        <v>225.87504949999993</v>
      </c>
      <c r="D26" s="3733" t="str">
        <f>'Table2(I)'!D35</f>
        <v>NO</v>
      </c>
      <c r="E26" s="602" t="str">
        <f>'Table2(I)'!E35</f>
        <v>NO</v>
      </c>
      <c r="F26" s="69"/>
      <c r="G26" s="69"/>
      <c r="H26" s="69"/>
      <c r="I26" s="69"/>
      <c r="J26" s="69"/>
      <c r="K26" s="602" t="str">
        <f>'Table2(I)'!K35</f>
        <v>NO</v>
      </c>
      <c r="L26" s="3732" t="str">
        <f>'Table2(I)'!L35</f>
        <v>NO</v>
      </c>
      <c r="M26" s="3732">
        <f>'Table2(I)'!M35</f>
        <v>179.3367171519466</v>
      </c>
      <c r="N26" s="3734" t="str">
        <f>'Table2(I)'!N35</f>
        <v>NO</v>
      </c>
      <c r="O26" s="3717">
        <f t="shared" si="2"/>
        <v>225.87504949999993</v>
      </c>
    </row>
    <row r="27" spans="2:15" ht="18" customHeight="1" x14ac:dyDescent="0.25">
      <c r="B27" s="1129" t="s">
        <v>1934</v>
      </c>
      <c r="C27" s="3735"/>
      <c r="D27" s="3736"/>
      <c r="E27" s="602" t="str">
        <f>'Table2(I)'!E39</f>
        <v>NO</v>
      </c>
      <c r="F27" s="602" t="str">
        <f>'Table2(I)'!F39</f>
        <v>NO</v>
      </c>
      <c r="G27" s="602" t="str">
        <f>'Table2(I)'!G39</f>
        <v>NO</v>
      </c>
      <c r="H27" s="602" t="str">
        <f>'Table2(I)'!H39</f>
        <v>NO</v>
      </c>
      <c r="I27" s="602" t="str">
        <f>'Table2(I)'!I39</f>
        <v>NO</v>
      </c>
      <c r="J27" s="602" t="str">
        <f>'Table2(I)'!J39</f>
        <v>NO</v>
      </c>
      <c r="K27" s="3719"/>
      <c r="L27" s="3719"/>
      <c r="M27" s="3719"/>
      <c r="N27" s="3738"/>
      <c r="O27" s="3721" t="str">
        <f t="shared" si="2"/>
        <v>NO</v>
      </c>
    </row>
    <row r="28" spans="2:15" ht="18" customHeight="1" x14ac:dyDescent="0.25">
      <c r="B28" s="1129" t="s">
        <v>1935</v>
      </c>
      <c r="C28" s="3735"/>
      <c r="D28" s="3736"/>
      <c r="E28" s="3719"/>
      <c r="F28" s="3718">
        <f>'Table2(I)'!F45</f>
        <v>4706.3765189513433</v>
      </c>
      <c r="G28" s="3718" t="str">
        <f>'Table2(I)'!G45</f>
        <v>NO</v>
      </c>
      <c r="H28" s="3718" t="str">
        <f>'Table2(I)'!H45</f>
        <v>NO</v>
      </c>
      <c r="I28" s="3718" t="str">
        <f>'Table2(I)'!I45</f>
        <v>NO</v>
      </c>
      <c r="J28" s="3718" t="str">
        <f>'Table2(I)'!J45</f>
        <v>NO</v>
      </c>
      <c r="K28" s="3719"/>
      <c r="L28" s="3719"/>
      <c r="M28" s="3719"/>
      <c r="N28" s="3738"/>
      <c r="O28" s="3721">
        <f t="shared" si="2"/>
        <v>4706.3765189513433</v>
      </c>
    </row>
    <row r="29" spans="2:15" ht="18" customHeight="1" x14ac:dyDescent="0.25">
      <c r="B29" s="1129" t="s">
        <v>662</v>
      </c>
      <c r="C29" s="3739" t="str">
        <f>'Table2(I)'!C52</f>
        <v>NO</v>
      </c>
      <c r="D29" s="3740" t="str">
        <f>'Table2(I)'!D52</f>
        <v>NO</v>
      </c>
      <c r="E29" s="3741" t="str">
        <f>'Table2(I)'!E52</f>
        <v>IE</v>
      </c>
      <c r="F29" s="3737" t="str">
        <f>'Table2(I)'!F52</f>
        <v>NO</v>
      </c>
      <c r="G29" s="3737" t="str">
        <f>'Table2(I)'!G52</f>
        <v>NO</v>
      </c>
      <c r="H29" s="3737" t="str">
        <f>'Table2(I)'!H52</f>
        <v>NO</v>
      </c>
      <c r="I29" s="3737">
        <f>'Table2(I)'!I52</f>
        <v>7.6810372273039083E-3</v>
      </c>
      <c r="J29" s="602" t="str">
        <f>'Table2(I)'!J52</f>
        <v>NO</v>
      </c>
      <c r="K29" s="3741" t="str">
        <f>'Table2(I)'!K52</f>
        <v>NO</v>
      </c>
      <c r="L29" s="3741" t="str">
        <f>'Table2(I)'!L52</f>
        <v>NO</v>
      </c>
      <c r="M29" s="3741" t="str">
        <f>'Table2(I)'!M52</f>
        <v>NO</v>
      </c>
      <c r="N29" s="3742" t="str">
        <f>'Table2(I)'!N52</f>
        <v>NO</v>
      </c>
      <c r="O29" s="3721">
        <f t="shared" si="2"/>
        <v>180.50437484164183</v>
      </c>
    </row>
    <row r="30" spans="2:15" ht="18" customHeight="1" thickBot="1" x14ac:dyDescent="0.3">
      <c r="B30" s="1374" t="s">
        <v>1936</v>
      </c>
      <c r="C30" s="3743">
        <f>'Table2(I)'!C57</f>
        <v>148.28584415160208</v>
      </c>
      <c r="D30" s="3744" t="str">
        <f>'Table2(I)'!D57</f>
        <v>NO</v>
      </c>
      <c r="E30" s="3745" t="str">
        <f>'Table2(I)'!E57</f>
        <v>NO</v>
      </c>
      <c r="F30" s="3745" t="str">
        <f>'Table2(I)'!F57</f>
        <v>NO</v>
      </c>
      <c r="G30" s="3745" t="str">
        <f>'Table2(I)'!G57</f>
        <v>NO</v>
      </c>
      <c r="H30" s="3745" t="str">
        <f>'Table2(I)'!H57</f>
        <v>NO</v>
      </c>
      <c r="I30" s="3745" t="str">
        <f>'Table2(I)'!I57</f>
        <v>NO</v>
      </c>
      <c r="J30" s="603" t="str">
        <f>'Table2(I)'!J57</f>
        <v>NO</v>
      </c>
      <c r="K30" s="3745" t="str">
        <f>'Table2(I)'!K57</f>
        <v>NA</v>
      </c>
      <c r="L30" s="3745" t="str">
        <f>'Table2(I)'!L57</f>
        <v>NA</v>
      </c>
      <c r="M30" s="3745">
        <f>'Table2(I)'!M57</f>
        <v>54.492279483190543</v>
      </c>
      <c r="N30" s="3746" t="str">
        <f>'Table2(I)'!N57</f>
        <v>NA</v>
      </c>
      <c r="O30" s="3747">
        <f t="shared" si="2"/>
        <v>148.28584415160208</v>
      </c>
    </row>
    <row r="31" spans="2:15" ht="18" customHeight="1" x14ac:dyDescent="0.25">
      <c r="B31" s="1130" t="s">
        <v>1937</v>
      </c>
      <c r="C31" s="3789">
        <f>Table3!C10</f>
        <v>1815.7872546355406</v>
      </c>
      <c r="D31" s="3748">
        <f>Table3!D10</f>
        <v>2428.0258024593377</v>
      </c>
      <c r="E31" s="3749">
        <f>Table3!E10</f>
        <v>36.776579359602195</v>
      </c>
      <c r="F31" s="3750"/>
      <c r="G31" s="3750"/>
      <c r="H31" s="3750"/>
      <c r="I31" s="3750"/>
      <c r="J31" s="3750"/>
      <c r="K31" s="3751">
        <f>Table3!F10</f>
        <v>11.532718650733093</v>
      </c>
      <c r="L31" s="3751">
        <f>Table3!G10</f>
        <v>199.73085384221017</v>
      </c>
      <c r="M31" s="3751">
        <f>Table3!H10</f>
        <v>11.650966474128925</v>
      </c>
      <c r="N31" s="3752" t="str">
        <f>Table3!I10</f>
        <v>NO</v>
      </c>
      <c r="O31" s="3716">
        <f t="shared" si="2"/>
        <v>79546.303253791571</v>
      </c>
    </row>
    <row r="32" spans="2:15" ht="18" customHeight="1" x14ac:dyDescent="0.25">
      <c r="B32" s="1131" t="s">
        <v>1938</v>
      </c>
      <c r="C32" s="3735"/>
      <c r="D32" s="3753">
        <f>Table3!D11</f>
        <v>2170.8874174141565</v>
      </c>
      <c r="E32" s="98"/>
      <c r="F32" s="3754"/>
      <c r="G32" s="3754"/>
      <c r="H32" s="3730"/>
      <c r="I32" s="3754"/>
      <c r="J32" s="3730"/>
      <c r="K32" s="98"/>
      <c r="L32" s="98"/>
      <c r="M32" s="98"/>
      <c r="N32" s="3755"/>
      <c r="O32" s="3716">
        <f t="shared" si="2"/>
        <v>60784.847687596382</v>
      </c>
    </row>
    <row r="33" spans="2:15" ht="18" customHeight="1" x14ac:dyDescent="0.25">
      <c r="B33" s="1131" t="s">
        <v>1939</v>
      </c>
      <c r="C33" s="3735"/>
      <c r="D33" s="3722">
        <f>Table3!D21</f>
        <v>248.85737366850927</v>
      </c>
      <c r="E33" s="3722">
        <f>Table3!E21</f>
        <v>2.0342399420231261</v>
      </c>
      <c r="F33" s="3754"/>
      <c r="G33" s="3754"/>
      <c r="H33" s="3754"/>
      <c r="I33" s="3754"/>
      <c r="J33" s="3754"/>
      <c r="K33" s="69"/>
      <c r="L33" s="69"/>
      <c r="M33" s="3756" t="str">
        <f>Table3!H21</f>
        <v>NE</v>
      </c>
      <c r="N33" s="3757"/>
      <c r="O33" s="3717">
        <f t="shared" si="2"/>
        <v>7507.0800473543877</v>
      </c>
    </row>
    <row r="34" spans="2:15" ht="18" customHeight="1" x14ac:dyDescent="0.25">
      <c r="B34" s="1131" t="s">
        <v>1940</v>
      </c>
      <c r="C34" s="3735"/>
      <c r="D34" s="3722">
        <f>Table3!D32</f>
        <v>3.1597074319999998</v>
      </c>
      <c r="E34" s="69"/>
      <c r="F34" s="3754"/>
      <c r="G34" s="3754"/>
      <c r="H34" s="3754"/>
      <c r="I34" s="3754"/>
      <c r="J34" s="3754"/>
      <c r="K34" s="69"/>
      <c r="L34" s="69"/>
      <c r="M34" s="3756" t="str">
        <f>Table3!H32</f>
        <v>NE</v>
      </c>
      <c r="N34" s="3757"/>
      <c r="O34" s="3717">
        <f t="shared" si="2"/>
        <v>88.47180809599999</v>
      </c>
    </row>
    <row r="35" spans="2:15" ht="18" customHeight="1" x14ac:dyDescent="0.25">
      <c r="B35" s="1131" t="s">
        <v>1941</v>
      </c>
      <c r="C35" s="3758"/>
      <c r="D35" s="3722" t="str">
        <f>Table3!D33</f>
        <v>NE</v>
      </c>
      <c r="E35" s="3722">
        <f>Table3!E33</f>
        <v>34.542725488137805</v>
      </c>
      <c r="F35" s="3754"/>
      <c r="G35" s="3754"/>
      <c r="H35" s="3754"/>
      <c r="I35" s="3754"/>
      <c r="J35" s="3754"/>
      <c r="K35" s="3756" t="str">
        <f>Table3!F33</f>
        <v>NO</v>
      </c>
      <c r="L35" s="3756" t="str">
        <f>Table3!G33</f>
        <v>NO</v>
      </c>
      <c r="M35" s="3756" t="str">
        <f>Table3!H33</f>
        <v>NO</v>
      </c>
      <c r="N35" s="3757"/>
      <c r="O35" s="3717">
        <f t="shared" si="2"/>
        <v>9153.8222543565189</v>
      </c>
    </row>
    <row r="36" spans="2:15" ht="18" customHeight="1" x14ac:dyDescent="0.25">
      <c r="B36" s="1131" t="s">
        <v>1942</v>
      </c>
      <c r="C36" s="3735"/>
      <c r="D36" s="3722" t="str">
        <f>Table3!D43</f>
        <v>IE</v>
      </c>
      <c r="E36" s="3722" t="str">
        <f>Table3!E43</f>
        <v>IE</v>
      </c>
      <c r="F36" s="3754"/>
      <c r="G36" s="3754"/>
      <c r="H36" s="3754"/>
      <c r="I36" s="3754"/>
      <c r="J36" s="3754"/>
      <c r="K36" s="3756" t="str">
        <f>Table3!F43</f>
        <v>IE</v>
      </c>
      <c r="L36" s="3756" t="str">
        <f>Table3!G43</f>
        <v>IE</v>
      </c>
      <c r="M36" s="3756" t="str">
        <f>Table3!H43</f>
        <v>IE</v>
      </c>
      <c r="N36" s="3756" t="str">
        <f>Table3!I43</f>
        <v>IE</v>
      </c>
      <c r="O36" s="3717" t="s">
        <v>205</v>
      </c>
    </row>
    <row r="37" spans="2:15" ht="18" customHeight="1" x14ac:dyDescent="0.25">
      <c r="B37" s="1131" t="s">
        <v>1943</v>
      </c>
      <c r="C37" s="3735"/>
      <c r="D37" s="3722">
        <f>Table3!D44</f>
        <v>5.1213039446720545</v>
      </c>
      <c r="E37" s="3722">
        <f>Table3!E44</f>
        <v>0.19961392944126019</v>
      </c>
      <c r="F37" s="3754"/>
      <c r="G37" s="3754"/>
      <c r="H37" s="3754"/>
      <c r="I37" s="3754"/>
      <c r="J37" s="3754"/>
      <c r="K37" s="3756">
        <f>Table3!F44</f>
        <v>11.532718650733093</v>
      </c>
      <c r="L37" s="3756">
        <f>Table3!G44</f>
        <v>199.73085384221017</v>
      </c>
      <c r="M37" s="3756">
        <f>Table3!H44</f>
        <v>11.650966474128925</v>
      </c>
      <c r="N37" s="3756" t="str">
        <f>Table3!I44</f>
        <v>NO</v>
      </c>
      <c r="O37" s="3717">
        <f t="shared" si="2"/>
        <v>196.29420175275146</v>
      </c>
    </row>
    <row r="38" spans="2:15" ht="18" customHeight="1" x14ac:dyDescent="0.25">
      <c r="B38" s="1132" t="s">
        <v>955</v>
      </c>
      <c r="C38" s="3739">
        <f>Table3!C45</f>
        <v>1069.5072182802071</v>
      </c>
      <c r="D38" s="3759"/>
      <c r="E38" s="3759"/>
      <c r="F38" s="3736"/>
      <c r="G38" s="3736"/>
      <c r="H38" s="3736"/>
      <c r="I38" s="3736"/>
      <c r="J38" s="3736"/>
      <c r="K38" s="3760"/>
      <c r="L38" s="3760"/>
      <c r="M38" s="3760"/>
      <c r="N38" s="3738"/>
      <c r="O38" s="3721">
        <f t="shared" si="2"/>
        <v>1069.5072182802071</v>
      </c>
    </row>
    <row r="39" spans="2:15" ht="18" customHeight="1" x14ac:dyDescent="0.25">
      <c r="B39" s="1132" t="s">
        <v>956</v>
      </c>
      <c r="C39" s="3761">
        <f>Table3!C46</f>
        <v>746.28003635533344</v>
      </c>
      <c r="D39" s="3759"/>
      <c r="E39" s="3759"/>
      <c r="F39" s="3736"/>
      <c r="G39" s="3736"/>
      <c r="H39" s="3736"/>
      <c r="I39" s="3736"/>
      <c r="J39" s="3736"/>
      <c r="K39" s="3760"/>
      <c r="L39" s="3760"/>
      <c r="M39" s="3760"/>
      <c r="N39" s="3738"/>
      <c r="O39" s="3721">
        <f t="shared" si="2"/>
        <v>746.28003635533344</v>
      </c>
    </row>
    <row r="40" spans="2:15" ht="18" customHeight="1" x14ac:dyDescent="0.25">
      <c r="B40" s="1132" t="s">
        <v>1944</v>
      </c>
      <c r="C40" s="3761" t="str">
        <f>Table3!C47</f>
        <v>NE</v>
      </c>
      <c r="D40" s="3759"/>
      <c r="E40" s="3759"/>
      <c r="F40" s="3736"/>
      <c r="G40" s="3736"/>
      <c r="H40" s="3736"/>
      <c r="I40" s="3736"/>
      <c r="J40" s="3736"/>
      <c r="K40" s="3760"/>
      <c r="L40" s="3760"/>
      <c r="M40" s="3760"/>
      <c r="N40" s="3738"/>
      <c r="O40" s="3721" t="s">
        <v>221</v>
      </c>
    </row>
    <row r="41" spans="2:15" ht="18" customHeight="1" thickBot="1" x14ac:dyDescent="0.3">
      <c r="B41" s="1375" t="s">
        <v>1945</v>
      </c>
      <c r="C41" s="3824" t="str">
        <f>Table3!C48</f>
        <v>NO</v>
      </c>
      <c r="D41" s="3744" t="str">
        <f>Table3!D48</f>
        <v>NO</v>
      </c>
      <c r="E41" s="3745" t="str">
        <f>Table3!E48</f>
        <v>NO</v>
      </c>
      <c r="F41" s="3762"/>
      <c r="G41" s="3762"/>
      <c r="H41" s="3762"/>
      <c r="I41" s="3762"/>
      <c r="J41" s="87"/>
      <c r="K41" s="3756" t="str">
        <f>Table3!F48</f>
        <v>NO</v>
      </c>
      <c r="L41" s="3756" t="str">
        <f>Table3!G48</f>
        <v>NO</v>
      </c>
      <c r="M41" s="3756" t="str">
        <f>Table3!H48</f>
        <v>NO</v>
      </c>
      <c r="N41" s="3763" t="str">
        <f>Table3!I48</f>
        <v>NO</v>
      </c>
      <c r="O41" s="3747" t="str">
        <f t="shared" si="2"/>
        <v>NO</v>
      </c>
    </row>
    <row r="42" spans="2:15" ht="18" customHeight="1" x14ac:dyDescent="0.25">
      <c r="B42" s="1130" t="s">
        <v>1946</v>
      </c>
      <c r="C42" s="3764">
        <f>Table4!C10</f>
        <v>53745.012522106052</v>
      </c>
      <c r="D42" s="3765">
        <f>Table4!D10</f>
        <v>770.39823790037201</v>
      </c>
      <c r="E42" s="3766">
        <f>Table4!E10</f>
        <v>18.447372493142026</v>
      </c>
      <c r="F42" s="3750"/>
      <c r="G42" s="3750"/>
      <c r="H42" s="3750"/>
      <c r="I42" s="3750"/>
      <c r="J42" s="3750"/>
      <c r="K42" s="3767">
        <f>Table4!F10</f>
        <v>1005.3158530661846</v>
      </c>
      <c r="L42" s="3767">
        <f>Table4!G10</f>
        <v>26686.124999380601</v>
      </c>
      <c r="M42" s="3767">
        <f>Table4!H10</f>
        <v>808.54679728910628</v>
      </c>
      <c r="N42" s="3768" t="str">
        <f>N50</f>
        <v>NO</v>
      </c>
      <c r="O42" s="3715">
        <f t="shared" si="2"/>
        <v>80204.71689399911</v>
      </c>
    </row>
    <row r="43" spans="2:15" ht="18" customHeight="1" x14ac:dyDescent="0.25">
      <c r="B43" s="1131" t="s">
        <v>1947</v>
      </c>
      <c r="C43" s="3769">
        <f>Table4!C11</f>
        <v>-39411.955402476699</v>
      </c>
      <c r="D43" s="3770">
        <f>Table4!D11</f>
        <v>283.90008259136266</v>
      </c>
      <c r="E43" s="3771">
        <f>Table4!E11</f>
        <v>5.4116143689676184</v>
      </c>
      <c r="F43" s="3736"/>
      <c r="G43" s="3736"/>
      <c r="H43" s="3736"/>
      <c r="I43" s="3736"/>
      <c r="J43" s="3736"/>
      <c r="K43" s="3756">
        <f>Table4!F11</f>
        <v>286.45095235107425</v>
      </c>
      <c r="L43" s="3756">
        <f>Table4!G11</f>
        <v>7760.3629566133877</v>
      </c>
      <c r="M43" s="3756">
        <f>Table4!H11</f>
        <v>281.44566444708789</v>
      </c>
      <c r="N43" s="3772"/>
      <c r="O43" s="3773">
        <f t="shared" si="2"/>
        <v>-30028.675282142125</v>
      </c>
    </row>
    <row r="44" spans="2:15" ht="18" customHeight="1" x14ac:dyDescent="0.25">
      <c r="B44" s="1131" t="s">
        <v>1948</v>
      </c>
      <c r="C44" s="3769">
        <f>Table4!C14</f>
        <v>9016.0798520951339</v>
      </c>
      <c r="D44" s="3774">
        <f>Table4!D14</f>
        <v>3.5173822008307143</v>
      </c>
      <c r="E44" s="3774">
        <f>Table4!E14</f>
        <v>0.22167883968747498</v>
      </c>
      <c r="F44" s="3754"/>
      <c r="G44" s="3754"/>
      <c r="H44" s="3754"/>
      <c r="I44" s="3754"/>
      <c r="J44" s="3754"/>
      <c r="K44" s="3756">
        <f>Table4!F14</f>
        <v>2.6485050500302707</v>
      </c>
      <c r="L44" s="3756">
        <f>Table4!G14</f>
        <v>103.73020657079471</v>
      </c>
      <c r="M44" s="3756">
        <f>Table4!H14</f>
        <v>12.538816178887268</v>
      </c>
      <c r="N44" s="3775"/>
      <c r="O44" s="3717">
        <f t="shared" si="2"/>
        <v>9173.3114462355752</v>
      </c>
    </row>
    <row r="45" spans="2:15" ht="18" customHeight="1" x14ac:dyDescent="0.25">
      <c r="B45" s="1131" t="s">
        <v>1949</v>
      </c>
      <c r="C45" s="3769">
        <f>Table4!C17</f>
        <v>84789.598346893748</v>
      </c>
      <c r="D45" s="3774">
        <f>Table4!D17</f>
        <v>405.75634088485094</v>
      </c>
      <c r="E45" s="3774">
        <f>Table4!E17</f>
        <v>12.213681916345003</v>
      </c>
      <c r="F45" s="3754"/>
      <c r="G45" s="3754"/>
      <c r="H45" s="3754"/>
      <c r="I45" s="3754"/>
      <c r="J45" s="3754"/>
      <c r="K45" s="3756">
        <f>Table4!F17</f>
        <v>685.07398068812176</v>
      </c>
      <c r="L45" s="3756">
        <f>Table4!G17</f>
        <v>18027.261215480416</v>
      </c>
      <c r="M45" s="3756">
        <f>Table4!H17</f>
        <v>499.16536887789698</v>
      </c>
      <c r="N45" s="3775"/>
      <c r="O45" s="3717">
        <f t="shared" si="2"/>
        <v>99387.401599500998</v>
      </c>
    </row>
    <row r="46" spans="2:15" ht="18" customHeight="1" x14ac:dyDescent="0.25">
      <c r="B46" s="1131" t="s">
        <v>1950</v>
      </c>
      <c r="C46" s="3769">
        <f>Table4!C20</f>
        <v>1137.0405416596707</v>
      </c>
      <c r="D46" s="3774">
        <f>Table4!D20</f>
        <v>73.026060785709078</v>
      </c>
      <c r="E46" s="3774">
        <f>Table4!E20</f>
        <v>0.38535903832457352</v>
      </c>
      <c r="F46" s="3754"/>
      <c r="G46" s="3754"/>
      <c r="H46" s="3754"/>
      <c r="I46" s="3754"/>
      <c r="J46" s="3754"/>
      <c r="K46" s="3756">
        <f>Table4!F20</f>
        <v>27.981141245656161</v>
      </c>
      <c r="L46" s="3756">
        <f>Table4!G20</f>
        <v>670.95753711586576</v>
      </c>
      <c r="M46" s="3756">
        <f>Table4!H20</f>
        <v>0.43053108631601389</v>
      </c>
      <c r="N46" s="3775"/>
      <c r="O46" s="3717">
        <f t="shared" si="2"/>
        <v>3283.8903888155364</v>
      </c>
    </row>
    <row r="47" spans="2:15" ht="18" customHeight="1" x14ac:dyDescent="0.25">
      <c r="B47" s="1131" t="s">
        <v>1951</v>
      </c>
      <c r="C47" s="3769">
        <f>Table4!C23</f>
        <v>4685.7284849017178</v>
      </c>
      <c r="D47" s="3774">
        <f>Table4!D23</f>
        <v>4.1983714376185857</v>
      </c>
      <c r="E47" s="3776">
        <f>Table4!E23</f>
        <v>0.11145134067917029</v>
      </c>
      <c r="F47" s="3754"/>
      <c r="G47" s="3754"/>
      <c r="H47" s="3754"/>
      <c r="I47" s="3754"/>
      <c r="J47" s="3754"/>
      <c r="K47" s="3756">
        <f>Table4!F23</f>
        <v>3.1612737313020891</v>
      </c>
      <c r="L47" s="3756">
        <f>Table4!G23</f>
        <v>123.81308360014069</v>
      </c>
      <c r="M47" s="3756">
        <f>Table4!H23</f>
        <v>14.966416698918106</v>
      </c>
      <c r="N47" s="1842"/>
      <c r="O47" s="3717">
        <f t="shared" si="2"/>
        <v>4832.817490435019</v>
      </c>
    </row>
    <row r="48" spans="2:15" ht="18" customHeight="1" x14ac:dyDescent="0.25">
      <c r="B48" s="1131" t="s">
        <v>1952</v>
      </c>
      <c r="C48" s="3769" t="str">
        <f>Table4!C26</f>
        <v>NO</v>
      </c>
      <c r="D48" s="3777" t="str">
        <f>Table4!D26</f>
        <v>NO</v>
      </c>
      <c r="E48" s="3778" t="str">
        <f>Table4!E26</f>
        <v>NO</v>
      </c>
      <c r="F48" s="3736"/>
      <c r="G48" s="3736"/>
      <c r="H48" s="3736"/>
      <c r="I48" s="3736"/>
      <c r="J48" s="3736"/>
      <c r="K48" s="3756" t="str">
        <f>Table4!F26</f>
        <v>NO</v>
      </c>
      <c r="L48" s="3756" t="str">
        <f>Table4!G26</f>
        <v>NO</v>
      </c>
      <c r="M48" s="3756" t="str">
        <f>Table4!H26</f>
        <v>NO</v>
      </c>
      <c r="N48" s="3779"/>
      <c r="O48" s="3721" t="str">
        <f t="shared" si="2"/>
        <v>NO</v>
      </c>
    </row>
    <row r="49" spans="2:15" ht="18" customHeight="1" x14ac:dyDescent="0.25">
      <c r="B49" s="1131" t="s">
        <v>1953</v>
      </c>
      <c r="C49" s="3780">
        <f>Table4!C29</f>
        <v>-6472.1362233364061</v>
      </c>
      <c r="D49" s="3736"/>
      <c r="E49" s="3736"/>
      <c r="F49" s="3736"/>
      <c r="G49" s="3736"/>
      <c r="H49" s="3736"/>
      <c r="I49" s="3736"/>
      <c r="J49" s="3736"/>
      <c r="K49" s="3736"/>
      <c r="L49" s="3736"/>
      <c r="M49" s="3736"/>
      <c r="N49" s="3781"/>
      <c r="O49" s="3721">
        <f t="shared" si="2"/>
        <v>-6472.1362233364061</v>
      </c>
    </row>
    <row r="50" spans="2:15" ht="18" customHeight="1" thickBot="1" x14ac:dyDescent="0.3">
      <c r="B50" s="1375" t="s">
        <v>1954</v>
      </c>
      <c r="C50" s="3782">
        <f>Table4!C30</f>
        <v>0.65692236888666677</v>
      </c>
      <c r="D50" s="3783" t="str">
        <f>Table4!D30</f>
        <v>NO</v>
      </c>
      <c r="E50" s="3783">
        <f>Table4!E30</f>
        <v>0.1035869891381873</v>
      </c>
      <c r="F50" s="3762"/>
      <c r="G50" s="3762"/>
      <c r="H50" s="3762"/>
      <c r="I50" s="3762"/>
      <c r="J50" s="3762"/>
      <c r="K50" s="3784" t="str">
        <f>Table4!F30</f>
        <v>NO</v>
      </c>
      <c r="L50" s="3784" t="str">
        <f>Table4!G30</f>
        <v>NO</v>
      </c>
      <c r="M50" s="3784" t="str">
        <f>Table4!H30</f>
        <v>NO</v>
      </c>
      <c r="N50" s="3785" t="s">
        <v>199</v>
      </c>
      <c r="O50" s="3747">
        <f t="shared" si="2"/>
        <v>28.107474490506299</v>
      </c>
    </row>
    <row r="51" spans="2:15" ht="18" customHeight="1" x14ac:dyDescent="0.25">
      <c r="B51" s="1376" t="s">
        <v>1955</v>
      </c>
      <c r="C51" s="3786">
        <f>Table5!C10</f>
        <v>29.670531219562221</v>
      </c>
      <c r="D51" s="3748">
        <f>Table5!D10</f>
        <v>555.8630278007106</v>
      </c>
      <c r="E51" s="3749">
        <f>Table5!E10</f>
        <v>0.97212226391401435</v>
      </c>
      <c r="F51" s="3750"/>
      <c r="G51" s="3750"/>
      <c r="H51" s="3750"/>
      <c r="I51" s="3750"/>
      <c r="J51" s="3750"/>
      <c r="K51" s="3751" t="str">
        <f>Table5!F10</f>
        <v>NO</v>
      </c>
      <c r="L51" s="3751" t="str">
        <f>Table5!G10</f>
        <v>NO</v>
      </c>
      <c r="M51" s="3751">
        <f>Table5!H10</f>
        <v>260.30048395635589</v>
      </c>
      <c r="N51" s="3752" t="str">
        <f>Table5!I10</f>
        <v>NO</v>
      </c>
      <c r="O51" s="3787">
        <f t="shared" si="2"/>
        <v>15851.447709576674</v>
      </c>
    </row>
    <row r="52" spans="2:15" ht="18" customHeight="1" x14ac:dyDescent="0.25">
      <c r="B52" s="1131" t="s">
        <v>1956</v>
      </c>
      <c r="C52" s="3758"/>
      <c r="D52" s="3753">
        <f>Table5!D11</f>
        <v>438.2765275142724</v>
      </c>
      <c r="E52" s="3788"/>
      <c r="F52" s="3750"/>
      <c r="G52" s="3750"/>
      <c r="H52" s="3750"/>
      <c r="I52" s="3750"/>
      <c r="J52" s="3750"/>
      <c r="K52" s="3756" t="str">
        <f>Table5!F11</f>
        <v>NO</v>
      </c>
      <c r="L52" s="3756" t="str">
        <f>Table5!G11</f>
        <v>NO</v>
      </c>
      <c r="M52" s="3756">
        <f>Table5!H11</f>
        <v>2.906117900063431</v>
      </c>
      <c r="N52" s="3755"/>
      <c r="O52" s="3787">
        <f t="shared" si="2"/>
        <v>12271.742770399627</v>
      </c>
    </row>
    <row r="53" spans="2:15" ht="18" customHeight="1" x14ac:dyDescent="0.25">
      <c r="B53" s="1131" t="s">
        <v>1957</v>
      </c>
      <c r="C53" s="3758"/>
      <c r="D53" s="3753">
        <f>Table5!D15</f>
        <v>2.6635267499999999</v>
      </c>
      <c r="E53" s="3753">
        <f>Table5!E15</f>
        <v>0.34093142400000004</v>
      </c>
      <c r="F53" s="3754"/>
      <c r="G53" s="3754"/>
      <c r="H53" s="3754"/>
      <c r="I53" s="3754"/>
      <c r="J53" s="3754"/>
      <c r="K53" s="3756" t="str">
        <f>Table5!F15</f>
        <v>NA,NE</v>
      </c>
      <c r="L53" s="3756" t="str">
        <f>Table5!G15</f>
        <v>NA,NE</v>
      </c>
      <c r="M53" s="3756" t="str">
        <f>Table5!H15</f>
        <v>NA,NE</v>
      </c>
      <c r="N53" s="3755"/>
      <c r="O53" s="3716">
        <f t="shared" si="2"/>
        <v>164.92557636000001</v>
      </c>
    </row>
    <row r="54" spans="2:15" ht="18" customHeight="1" x14ac:dyDescent="0.25">
      <c r="B54" s="1131" t="s">
        <v>1958</v>
      </c>
      <c r="C54" s="3817">
        <f>Table5!C18</f>
        <v>29.670531219562221</v>
      </c>
      <c r="D54" s="3722" t="str">
        <f>Table5!D18</f>
        <v>NO,NE</v>
      </c>
      <c r="E54" s="3722" t="str">
        <f>Table5!E18</f>
        <v>NO,NE</v>
      </c>
      <c r="F54" s="3754"/>
      <c r="G54" s="3754"/>
      <c r="H54" s="3754"/>
      <c r="I54" s="3754"/>
      <c r="J54" s="3754"/>
      <c r="K54" s="3756" t="str">
        <f>Table5!F18</f>
        <v>NA</v>
      </c>
      <c r="L54" s="3756" t="str">
        <f>Table5!G18</f>
        <v>NA</v>
      </c>
      <c r="M54" s="3756" t="str">
        <f>Table5!H18</f>
        <v>NA</v>
      </c>
      <c r="N54" s="3790" t="str">
        <f>Table5!I18</f>
        <v>NA</v>
      </c>
      <c r="O54" s="3791">
        <f t="shared" si="2"/>
        <v>29.670531219562221</v>
      </c>
    </row>
    <row r="55" spans="2:15" ht="18" customHeight="1" x14ac:dyDescent="0.25">
      <c r="B55" s="1131" t="s">
        <v>1959</v>
      </c>
      <c r="C55" s="3735"/>
      <c r="D55" s="3722">
        <f>Table5!D21</f>
        <v>114.92297353643815</v>
      </c>
      <c r="E55" s="3722">
        <f>Table5!E21</f>
        <v>0.63119083991401437</v>
      </c>
      <c r="F55" s="3754"/>
      <c r="G55" s="3754"/>
      <c r="H55" s="3754"/>
      <c r="I55" s="3754"/>
      <c r="J55" s="3754"/>
      <c r="K55" s="3756" t="str">
        <f>Table5!F21</f>
        <v>NO</v>
      </c>
      <c r="L55" s="3756" t="str">
        <f>Table5!G21</f>
        <v>NO</v>
      </c>
      <c r="M55" s="3756">
        <f>Table5!H21</f>
        <v>257.39436605629248</v>
      </c>
      <c r="N55" s="3755"/>
      <c r="O55" s="3791">
        <f t="shared" si="2"/>
        <v>3385.1088315974821</v>
      </c>
    </row>
    <row r="56" spans="2:15" ht="18" customHeight="1" thickBot="1" x14ac:dyDescent="0.3">
      <c r="B56" s="1375" t="s">
        <v>1960</v>
      </c>
      <c r="C56" s="3743" t="str">
        <f>Table5!C25</f>
        <v>NE</v>
      </c>
      <c r="D56" s="3744" t="str">
        <f>Table5!D25</f>
        <v>NE</v>
      </c>
      <c r="E56" s="3744" t="str">
        <f>Table5!E25</f>
        <v>NE</v>
      </c>
      <c r="F56" s="3762"/>
      <c r="G56" s="3762"/>
      <c r="H56" s="3762"/>
      <c r="I56" s="3762"/>
      <c r="J56" s="3762"/>
      <c r="K56" s="3784" t="str">
        <f>Table5!F25</f>
        <v>NE</v>
      </c>
      <c r="L56" s="3784" t="str">
        <f>Table5!G25</f>
        <v>NE</v>
      </c>
      <c r="M56" s="3784" t="str">
        <f>Table5!H25</f>
        <v>NE</v>
      </c>
      <c r="N56" s="3763" t="str">
        <f>Table5!I25</f>
        <v>NE</v>
      </c>
      <c r="O56" s="3792" t="s">
        <v>221</v>
      </c>
    </row>
    <row r="57" spans="2:15" ht="18" customHeight="1" x14ac:dyDescent="0.25">
      <c r="B57" s="1376" t="s">
        <v>1961</v>
      </c>
      <c r="C57" s="3786" t="str">
        <f>C58</f>
        <v>NO</v>
      </c>
      <c r="D57" s="3765" t="str">
        <f t="shared" ref="D57:N57" si="3">D58</f>
        <v>NO</v>
      </c>
      <c r="E57" s="3766" t="str">
        <f t="shared" si="3"/>
        <v>NO</v>
      </c>
      <c r="F57" s="3766" t="str">
        <f t="shared" si="3"/>
        <v>NO</v>
      </c>
      <c r="G57" s="3766" t="str">
        <f t="shared" si="3"/>
        <v>NO</v>
      </c>
      <c r="H57" s="3766" t="str">
        <f t="shared" si="3"/>
        <v>NO</v>
      </c>
      <c r="I57" s="3766" t="str">
        <f t="shared" si="3"/>
        <v>NO</v>
      </c>
      <c r="J57" s="3766" t="str">
        <f t="shared" si="3"/>
        <v>NO</v>
      </c>
      <c r="K57" s="3767" t="str">
        <f t="shared" si="3"/>
        <v>NO</v>
      </c>
      <c r="L57" s="3767" t="str">
        <f t="shared" si="3"/>
        <v>NO</v>
      </c>
      <c r="M57" s="3767" t="str">
        <f t="shared" si="3"/>
        <v>NO</v>
      </c>
      <c r="N57" s="3768" t="str">
        <f t="shared" si="3"/>
        <v>NO</v>
      </c>
      <c r="O57" s="3793" t="str">
        <f t="shared" si="2"/>
        <v>NO</v>
      </c>
    </row>
    <row r="58" spans="2:15" ht="18" customHeight="1" thickBot="1" x14ac:dyDescent="0.3">
      <c r="B58" s="3823" t="s">
        <v>205</v>
      </c>
      <c r="C58" s="3818" t="s">
        <v>199</v>
      </c>
      <c r="D58" s="3819" t="s">
        <v>199</v>
      </c>
      <c r="E58" s="3820" t="s">
        <v>199</v>
      </c>
      <c r="F58" s="3820" t="s">
        <v>199</v>
      </c>
      <c r="G58" s="3820" t="s">
        <v>199</v>
      </c>
      <c r="H58" s="3820" t="s">
        <v>199</v>
      </c>
      <c r="I58" s="3820" t="s">
        <v>199</v>
      </c>
      <c r="J58" s="3820" t="s">
        <v>199</v>
      </c>
      <c r="K58" s="3821" t="s">
        <v>199</v>
      </c>
      <c r="L58" s="3821" t="s">
        <v>199</v>
      </c>
      <c r="M58" s="3821" t="s">
        <v>199</v>
      </c>
      <c r="N58" s="3822" t="s">
        <v>199</v>
      </c>
      <c r="O58" s="2532" t="str">
        <f t="shared" si="2"/>
        <v>NO</v>
      </c>
    </row>
    <row r="59" spans="2:15" ht="18" customHeight="1" thickBot="1" x14ac:dyDescent="0.3">
      <c r="B59" s="2533"/>
      <c r="C59" s="2534"/>
      <c r="D59" s="2534"/>
      <c r="E59" s="2534"/>
      <c r="F59" s="2534"/>
      <c r="G59" s="2534"/>
      <c r="H59" s="2534"/>
      <c r="I59" s="2534"/>
      <c r="J59" s="2534"/>
      <c r="K59" s="2535"/>
      <c r="L59" s="2535"/>
      <c r="M59" s="2535"/>
      <c r="N59" s="2535"/>
      <c r="O59" s="2535"/>
    </row>
    <row r="60" spans="2:15" ht="18" customHeight="1" x14ac:dyDescent="0.25">
      <c r="B60" s="1377" t="s">
        <v>1962</v>
      </c>
      <c r="C60" s="2539"/>
      <c r="D60" s="2540"/>
      <c r="E60" s="2540"/>
      <c r="F60" s="2540"/>
      <c r="G60" s="2540"/>
      <c r="H60" s="2540"/>
      <c r="I60" s="2540"/>
      <c r="J60" s="2540"/>
      <c r="K60" s="2540"/>
      <c r="L60" s="2540"/>
      <c r="M60" s="2540"/>
      <c r="N60" s="2541"/>
      <c r="O60" s="1560"/>
    </row>
    <row r="61" spans="2:15" ht="18" customHeight="1" x14ac:dyDescent="0.25">
      <c r="B61" s="1378" t="s">
        <v>217</v>
      </c>
      <c r="C61" s="3801">
        <f>Table1!C52</f>
        <v>11913.955119279999</v>
      </c>
      <c r="D61" s="3802">
        <f>Table1!D52</f>
        <v>0.26014954234285709</v>
      </c>
      <c r="E61" s="3802">
        <f>Table1!E52</f>
        <v>0.11699365824210525</v>
      </c>
      <c r="F61" s="615"/>
      <c r="G61" s="615"/>
      <c r="H61" s="615"/>
      <c r="I61" s="615"/>
      <c r="J61" s="615"/>
      <c r="K61" s="3802">
        <f>Table1!F52</f>
        <v>116.05337696586466</v>
      </c>
      <c r="L61" s="3802">
        <f>Table1!G52</f>
        <v>16.67855291202406</v>
      </c>
      <c r="M61" s="3802">
        <f>Table1!H52</f>
        <v>9.335215321882707</v>
      </c>
      <c r="N61" s="3803">
        <f>Table1!I52</f>
        <v>41.906312819019483</v>
      </c>
      <c r="O61" s="3787">
        <f t="shared" ref="O61:O67" si="4">IF(SUM(C61:J61)=0,"NO",SUM(C61,F61:H61)+28*SUM(D61)+265*SUM(E61)+23500*SUM(I61)+16100*SUM(J61))</f>
        <v>11952.242625899757</v>
      </c>
    </row>
    <row r="62" spans="2:15" ht="18" customHeight="1" x14ac:dyDescent="0.25">
      <c r="B62" s="1370" t="s">
        <v>218</v>
      </c>
      <c r="C62" s="3804">
        <f>Table1!C53</f>
        <v>9349.5914995200001</v>
      </c>
      <c r="D62" s="620">
        <f>Table1!D53</f>
        <v>1.5084557142857139E-2</v>
      </c>
      <c r="E62" s="620">
        <f>Table1!E53</f>
        <v>4.6975091042105267E-2</v>
      </c>
      <c r="F62" s="615"/>
      <c r="G62" s="615"/>
      <c r="H62" s="615"/>
      <c r="I62" s="615"/>
      <c r="J62" s="2161"/>
      <c r="K62" s="620">
        <f>Table1!F53</f>
        <v>47.433256885864658</v>
      </c>
      <c r="L62" s="620">
        <f>Table1!G53</f>
        <v>14.741917749624061</v>
      </c>
      <c r="M62" s="620">
        <f>Table1!H53</f>
        <v>7.1862342670827069</v>
      </c>
      <c r="N62" s="622">
        <f>Table1!I53</f>
        <v>1.1015323318400001</v>
      </c>
      <c r="O62" s="3716">
        <f t="shared" si="4"/>
        <v>9362.4622662461588</v>
      </c>
    </row>
    <row r="63" spans="2:15" ht="18" customHeight="1" x14ac:dyDescent="0.25">
      <c r="B63" s="1379" t="s">
        <v>1963</v>
      </c>
      <c r="C63" s="3804">
        <f>Table1!C54</f>
        <v>2564.3636197599994</v>
      </c>
      <c r="D63" s="617">
        <f>Table1!D54</f>
        <v>0.24506498519999997</v>
      </c>
      <c r="E63" s="617">
        <f>Table1!E54</f>
        <v>7.0018567199999993E-2</v>
      </c>
      <c r="F63" s="615"/>
      <c r="G63" s="615"/>
      <c r="H63" s="615"/>
      <c r="I63" s="615"/>
      <c r="J63" s="615"/>
      <c r="K63" s="617">
        <f>Table1!F54</f>
        <v>68.620120080000007</v>
      </c>
      <c r="L63" s="617">
        <f>Table1!G54</f>
        <v>1.9366351623999998</v>
      </c>
      <c r="M63" s="617">
        <f>Table1!H54</f>
        <v>2.1489810547999997</v>
      </c>
      <c r="N63" s="619">
        <f>Table1!I54</f>
        <v>40.804780487179485</v>
      </c>
      <c r="O63" s="3717">
        <f t="shared" si="4"/>
        <v>2589.7803596535996</v>
      </c>
    </row>
    <row r="64" spans="2:15" ht="18" customHeight="1" x14ac:dyDescent="0.25">
      <c r="B64" s="1380" t="s">
        <v>220</v>
      </c>
      <c r="C64" s="3801" t="str">
        <f>Table1!C55</f>
        <v>NE</v>
      </c>
      <c r="D64" s="3802" t="str">
        <f>Table1!D55</f>
        <v>NE</v>
      </c>
      <c r="E64" s="3802" t="str">
        <f>Table1!E55</f>
        <v>NE</v>
      </c>
      <c r="F64" s="615"/>
      <c r="G64" s="615"/>
      <c r="H64" s="615"/>
      <c r="I64" s="615"/>
      <c r="J64" s="615"/>
      <c r="K64" s="3802" t="str">
        <f>Table1!F55</f>
        <v>NE</v>
      </c>
      <c r="L64" s="3802" t="str">
        <f>Table1!G55</f>
        <v>NE</v>
      </c>
      <c r="M64" s="3802" t="str">
        <f>Table1!H55</f>
        <v>NE</v>
      </c>
      <c r="N64" s="3803" t="str">
        <f>Table1!I55</f>
        <v>NE</v>
      </c>
      <c r="O64" s="3717" t="s">
        <v>221</v>
      </c>
    </row>
    <row r="65" spans="2:15" ht="18" customHeight="1" x14ac:dyDescent="0.25">
      <c r="B65" s="1381" t="s">
        <v>222</v>
      </c>
      <c r="C65" s="3805">
        <f>Table1!C56</f>
        <v>19252.600125708159</v>
      </c>
      <c r="D65" s="3806"/>
      <c r="E65" s="3806"/>
      <c r="F65" s="3807"/>
      <c r="G65" s="3807"/>
      <c r="H65" s="3807"/>
      <c r="I65" s="3807"/>
      <c r="J65" s="3806"/>
      <c r="K65" s="3806"/>
      <c r="L65" s="3806"/>
      <c r="M65" s="3806"/>
      <c r="N65" s="3808"/>
      <c r="O65" s="3773">
        <f t="shared" si="4"/>
        <v>19252.600125708159</v>
      </c>
    </row>
    <row r="66" spans="2:15" ht="18" customHeight="1" x14ac:dyDescent="0.25">
      <c r="B66" s="1382" t="s">
        <v>1964</v>
      </c>
      <c r="C66" s="3809" t="str">
        <f>Table1!C57</f>
        <v>NO</v>
      </c>
      <c r="D66" s="3317"/>
      <c r="E66" s="3317"/>
      <c r="F66" s="3317"/>
      <c r="G66" s="3317"/>
      <c r="H66" s="3317"/>
      <c r="I66" s="3317"/>
      <c r="J66" s="3317"/>
      <c r="K66" s="3317"/>
      <c r="L66" s="3317"/>
      <c r="M66" s="3317"/>
      <c r="N66" s="3810"/>
      <c r="O66" s="3717" t="str">
        <f t="shared" si="4"/>
        <v>NO</v>
      </c>
    </row>
    <row r="67" spans="2:15" ht="18" customHeight="1" thickBot="1" x14ac:dyDescent="0.3">
      <c r="B67" s="1383" t="s">
        <v>1965</v>
      </c>
      <c r="C67" s="3809">
        <f>Table5!C28</f>
        <v>263961.04090265837</v>
      </c>
      <c r="D67" s="3807"/>
      <c r="E67" s="3807"/>
      <c r="F67" s="3811"/>
      <c r="G67" s="3807"/>
      <c r="H67" s="3807"/>
      <c r="I67" s="3807"/>
      <c r="J67" s="3807"/>
      <c r="K67" s="3807"/>
      <c r="L67" s="3807"/>
      <c r="M67" s="3807"/>
      <c r="N67" s="3812"/>
      <c r="O67" s="3721">
        <f t="shared" si="4"/>
        <v>263961.04090265837</v>
      </c>
    </row>
    <row r="68" spans="2:15" ht="18" customHeight="1" thickBot="1" x14ac:dyDescent="0.3">
      <c r="B68" s="1133" t="s">
        <v>1966</v>
      </c>
      <c r="C68" s="3813"/>
      <c r="D68" s="3814"/>
      <c r="E68" s="3825" t="str">
        <f>Table6!I10</f>
        <v>IE,NE,NO</v>
      </c>
      <c r="F68" s="3814"/>
      <c r="G68" s="3814"/>
      <c r="H68" s="3814"/>
      <c r="I68" s="3814"/>
      <c r="J68" s="3814"/>
      <c r="K68" s="3814"/>
      <c r="L68" s="3814"/>
      <c r="M68" s="3814"/>
      <c r="N68" s="3815"/>
      <c r="O68" s="3816" t="str">
        <f>E68</f>
        <v>IE,NE,NO</v>
      </c>
    </row>
    <row r="69" spans="2:15" ht="18" customHeight="1" thickBot="1" x14ac:dyDescent="0.3">
      <c r="B69" s="2531"/>
      <c r="C69" s="1136"/>
      <c r="D69" s="1136"/>
      <c r="E69" s="1136"/>
      <c r="F69" s="1136"/>
      <c r="G69" s="1136"/>
      <c r="H69" s="1136"/>
      <c r="I69" s="1136"/>
      <c r="J69" s="1136"/>
      <c r="K69" s="1136"/>
      <c r="L69" s="1136"/>
      <c r="M69" s="1136"/>
      <c r="N69" s="1136"/>
      <c r="O69" s="1136"/>
    </row>
    <row r="70" spans="2:15" ht="18" customHeight="1" thickBot="1" x14ac:dyDescent="0.3">
      <c r="B70" s="1137" t="s">
        <v>1967</v>
      </c>
      <c r="C70" s="3825" t="str">
        <f>Table6!H10</f>
        <v>NE,NO</v>
      </c>
      <c r="D70" s="1138"/>
      <c r="E70" s="1134"/>
      <c r="F70" s="1134"/>
      <c r="G70" s="1134"/>
      <c r="H70" s="1134"/>
      <c r="I70" s="1134"/>
      <c r="J70" s="1134"/>
      <c r="K70" s="1134"/>
      <c r="L70" s="1134"/>
      <c r="M70" s="1134"/>
      <c r="N70" s="1135"/>
      <c r="O70" s="3816"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workbookViewId="0">
      <selection activeCell="O15" sqref="O15"/>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2460</v>
      </c>
    </row>
    <row r="2" spans="2:12" ht="15.75" x14ac:dyDescent="0.2">
      <c r="B2" s="3" t="s">
        <v>162</v>
      </c>
      <c r="K2" s="14" t="s">
        <v>2461</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5" t="s">
        <v>62</v>
      </c>
      <c r="K7" s="609"/>
    </row>
    <row r="8" spans="2:12" ht="48" x14ac:dyDescent="0.2">
      <c r="B8" s="2568" t="s">
        <v>475</v>
      </c>
      <c r="C8" s="610" t="s">
        <v>1969</v>
      </c>
      <c r="D8" s="610" t="s">
        <v>597</v>
      </c>
      <c r="E8" s="610" t="s">
        <v>598</v>
      </c>
      <c r="F8" s="610" t="s">
        <v>1970</v>
      </c>
      <c r="G8" s="610" t="s">
        <v>1971</v>
      </c>
      <c r="H8" s="2495" t="s">
        <v>1972</v>
      </c>
      <c r="I8" s="2494" t="s">
        <v>614</v>
      </c>
      <c r="J8" s="610" t="s">
        <v>1973</v>
      </c>
      <c r="K8" s="611" t="s">
        <v>434</v>
      </c>
    </row>
    <row r="9" spans="2:12" ht="18" customHeight="1" thickBot="1" x14ac:dyDescent="0.25">
      <c r="B9" s="2569" t="s">
        <v>479</v>
      </c>
      <c r="C9" s="1946" t="s">
        <v>1974</v>
      </c>
      <c r="D9" s="1947"/>
      <c r="E9" s="1947"/>
      <c r="F9" s="1947"/>
      <c r="G9" s="1947"/>
      <c r="H9" s="1947"/>
      <c r="I9" s="600"/>
      <c r="J9" s="600"/>
      <c r="K9" s="612"/>
    </row>
    <row r="10" spans="2:12" ht="18" customHeight="1" thickTop="1" thickBot="1" x14ac:dyDescent="0.25">
      <c r="B10" s="1390" t="s">
        <v>1975</v>
      </c>
      <c r="C10" s="3798">
        <f>Summary1!C10</f>
        <v>453220.0228116769</v>
      </c>
      <c r="D10" s="3798">
        <f>IFERROR(Summary1!D10*28,Summary1!D10)</f>
        <v>146776.16582921083</v>
      </c>
      <c r="E10" s="3798">
        <f>IFERROR(Summary1!E10*265,Summary1!E10)</f>
        <v>20712.585334341806</v>
      </c>
      <c r="F10" s="3798">
        <f>Summary1!F10</f>
        <v>4706.3765189513433</v>
      </c>
      <c r="G10" s="3798">
        <f>Summary1!G10</f>
        <v>524.05752254650565</v>
      </c>
      <c r="H10" s="3798" t="str">
        <f>Summary1!H10</f>
        <v>NO</v>
      </c>
      <c r="I10" s="3827">
        <f>IFERROR(Summary1!I10*23500,Summary1!I10)</f>
        <v>180.50437484164183</v>
      </c>
      <c r="J10" s="4181" t="str">
        <f>IFERROR(Summary1!J10*16100,Summary1!J10)</f>
        <v>NO</v>
      </c>
      <c r="K10" s="3799">
        <f>IF(SUM(C10:J10)=0,"NO",SUM(C10:J10))</f>
        <v>626119.71239156916</v>
      </c>
    </row>
    <row r="11" spans="2:12" ht="18" customHeight="1" x14ac:dyDescent="0.2">
      <c r="B11" s="1549" t="s">
        <v>1921</v>
      </c>
      <c r="C11" s="3767">
        <f>Summary1!C11</f>
        <v>372938.50135631009</v>
      </c>
      <c r="D11" s="3767">
        <f>IFERROR(Summary1!D11*28,Summary1!D11)</f>
        <v>41556.107975193387</v>
      </c>
      <c r="E11" s="3767">
        <f>IFERROR(Summary1!E11*265,Summary1!E11)</f>
        <v>3363.2283813217523</v>
      </c>
      <c r="F11" s="1550"/>
      <c r="G11" s="1550"/>
      <c r="H11" s="1551"/>
      <c r="I11" s="1551"/>
      <c r="J11" s="613"/>
      <c r="K11" s="3828">
        <f t="shared" ref="K11:K55" si="0">IF(SUM(C11:J11)=0,"NO",SUM(C11:J11))</f>
        <v>417857.83771282528</v>
      </c>
      <c r="L11" s="19"/>
    </row>
    <row r="12" spans="2:12" ht="18" customHeight="1" x14ac:dyDescent="0.2">
      <c r="B12" s="606" t="s">
        <v>242</v>
      </c>
      <c r="C12" s="3756">
        <f>Summary1!C12</f>
        <v>365433.45730423921</v>
      </c>
      <c r="D12" s="3756">
        <f>IFERROR(Summary1!D12*28,Summary1!D12)</f>
        <v>2314.2238602219941</v>
      </c>
      <c r="E12" s="3756">
        <f>IFERROR(Summary1!E12*265,Summary1!E12)</f>
        <v>3339.2556329584449</v>
      </c>
      <c r="F12" s="615"/>
      <c r="G12" s="615"/>
      <c r="H12" s="615"/>
      <c r="I12" s="69"/>
      <c r="J12" s="69"/>
      <c r="K12" s="3829">
        <f t="shared" si="0"/>
        <v>371086.93679741962</v>
      </c>
      <c r="L12" s="19"/>
    </row>
    <row r="13" spans="2:12" ht="18" customHeight="1" x14ac:dyDescent="0.2">
      <c r="B13" s="1391" t="s">
        <v>1923</v>
      </c>
      <c r="C13" s="3756">
        <f>Summary1!C13</f>
        <v>222727.89215060015</v>
      </c>
      <c r="D13" s="3756">
        <f>IFERROR(Summary1!D13*28,Summary1!D13)</f>
        <v>363.33985106283131</v>
      </c>
      <c r="E13" s="3756">
        <f>IFERROR(Summary1!E13*265,Summary1!E13)</f>
        <v>996.72320823972041</v>
      </c>
      <c r="F13" s="615"/>
      <c r="G13" s="615"/>
      <c r="H13" s="615"/>
      <c r="I13" s="69"/>
      <c r="J13" s="69"/>
      <c r="K13" s="3829">
        <f t="shared" si="0"/>
        <v>224087.95520990269</v>
      </c>
      <c r="L13" s="19"/>
    </row>
    <row r="14" spans="2:12" ht="18" customHeight="1" x14ac:dyDescent="0.2">
      <c r="B14" s="1391" t="s">
        <v>1976</v>
      </c>
      <c r="C14" s="3756">
        <f>Summary1!C14</f>
        <v>40457.906147434805</v>
      </c>
      <c r="D14" s="3756">
        <f>IFERROR(Summary1!D14*28,Summary1!D14)</f>
        <v>67.123137050048555</v>
      </c>
      <c r="E14" s="3756">
        <f>IFERROR(Summary1!E14*265,Summary1!E14)</f>
        <v>363.45447620072525</v>
      </c>
      <c r="F14" s="615"/>
      <c r="G14" s="615"/>
      <c r="H14" s="615"/>
      <c r="I14" s="69"/>
      <c r="J14" s="69"/>
      <c r="K14" s="3829">
        <f t="shared" si="0"/>
        <v>40888.48376068558</v>
      </c>
      <c r="L14" s="19"/>
    </row>
    <row r="15" spans="2:12" ht="18" customHeight="1" x14ac:dyDescent="0.2">
      <c r="B15" s="1391" t="s">
        <v>1925</v>
      </c>
      <c r="C15" s="3756">
        <f>Summary1!C15</f>
        <v>82772.894979733159</v>
      </c>
      <c r="D15" s="3756">
        <f>IFERROR(Summary1!D15*28,Summary1!D15)</f>
        <v>555.7433443195315</v>
      </c>
      <c r="E15" s="3756">
        <f>IFERROR(Summary1!E15*265,Summary1!E15)</f>
        <v>1801.1769402303833</v>
      </c>
      <c r="F15" s="615"/>
      <c r="G15" s="615"/>
      <c r="H15" s="615"/>
      <c r="I15" s="69"/>
      <c r="J15" s="69"/>
      <c r="K15" s="3829">
        <f t="shared" si="0"/>
        <v>85129.815264283068</v>
      </c>
      <c r="L15" s="19"/>
    </row>
    <row r="16" spans="2:12" ht="18" customHeight="1" x14ac:dyDescent="0.2">
      <c r="B16" s="1391" t="s">
        <v>1926</v>
      </c>
      <c r="C16" s="3756">
        <f>Summary1!C16</f>
        <v>18698.623052534163</v>
      </c>
      <c r="D16" s="3756">
        <f>IFERROR(Summary1!D16*28,Summary1!D16)</f>
        <v>1327.1528372047349</v>
      </c>
      <c r="E16" s="3756">
        <f>IFERROR(Summary1!E16*265,Summary1!E16)</f>
        <v>172.1563215705938</v>
      </c>
      <c r="F16" s="615"/>
      <c r="G16" s="615"/>
      <c r="H16" s="615"/>
      <c r="I16" s="69"/>
      <c r="J16" s="69"/>
      <c r="K16" s="3829">
        <f t="shared" si="0"/>
        <v>20197.932211309493</v>
      </c>
      <c r="L16" s="19"/>
    </row>
    <row r="17" spans="2:12" ht="18" customHeight="1" x14ac:dyDescent="0.2">
      <c r="B17" s="1391" t="s">
        <v>1927</v>
      </c>
      <c r="C17" s="3756">
        <f>Summary1!C17</f>
        <v>776.14097393694124</v>
      </c>
      <c r="D17" s="3756">
        <f>IFERROR(Summary1!D17*28,Summary1!D17)</f>
        <v>0.86469058484777839</v>
      </c>
      <c r="E17" s="3756">
        <f>IFERROR(Summary1!E17*265,Summary1!E17)</f>
        <v>5.744686717022458</v>
      </c>
      <c r="F17" s="615"/>
      <c r="G17" s="615"/>
      <c r="H17" s="615"/>
      <c r="I17" s="69"/>
      <c r="J17" s="69"/>
      <c r="K17" s="3829">
        <f t="shared" si="0"/>
        <v>782.75035123881139</v>
      </c>
      <c r="L17" s="19"/>
    </row>
    <row r="18" spans="2:12" ht="18" customHeight="1" x14ac:dyDescent="0.2">
      <c r="B18" s="606" t="s">
        <v>201</v>
      </c>
      <c r="C18" s="3756">
        <f>Summary1!C18</f>
        <v>7505.0440520709017</v>
      </c>
      <c r="D18" s="3756">
        <f>IFERROR(Summary1!D18*28,Summary1!D18)</f>
        <v>39241.884114971392</v>
      </c>
      <c r="E18" s="3756">
        <f>IFERROR(Summary1!E18*265,Summary1!E18)</f>
        <v>23.972748363307474</v>
      </c>
      <c r="F18" s="615"/>
      <c r="G18" s="615"/>
      <c r="H18" s="615"/>
      <c r="I18" s="69"/>
      <c r="J18" s="69"/>
      <c r="K18" s="3829">
        <f t="shared" si="0"/>
        <v>46770.900915405604</v>
      </c>
      <c r="L18" s="19"/>
    </row>
    <row r="19" spans="2:12" ht="18" customHeight="1" x14ac:dyDescent="0.2">
      <c r="B19" s="1391" t="s">
        <v>1928</v>
      </c>
      <c r="C19" s="3756">
        <f>Summary1!C19</f>
        <v>1284.9645005780499</v>
      </c>
      <c r="D19" s="3756">
        <f>IFERROR(Summary1!D19*28,Summary1!D19)</f>
        <v>33398.812275804725</v>
      </c>
      <c r="E19" s="3756">
        <f>IFERROR(Summary1!E19*265,Summary1!E19)</f>
        <v>3.3766172936601849E-2</v>
      </c>
      <c r="F19" s="615"/>
      <c r="G19" s="615"/>
      <c r="H19" s="615"/>
      <c r="I19" s="69"/>
      <c r="J19" s="69"/>
      <c r="K19" s="3829">
        <f t="shared" si="0"/>
        <v>34683.810542555708</v>
      </c>
      <c r="L19" s="19"/>
    </row>
    <row r="20" spans="2:12" ht="18" customHeight="1" x14ac:dyDescent="0.2">
      <c r="B20" s="1392" t="s">
        <v>1929</v>
      </c>
      <c r="C20" s="3756">
        <f>Summary1!C20</f>
        <v>6220.0795514928514</v>
      </c>
      <c r="D20" s="3756">
        <f>IFERROR(Summary1!D20*28,Summary1!D20)</f>
        <v>5843.0718391666742</v>
      </c>
      <c r="E20" s="3756">
        <f>IFERROR(Summary1!E20*265,Summary1!E20)</f>
        <v>23.938982190370869</v>
      </c>
      <c r="F20" s="615"/>
      <c r="G20" s="615"/>
      <c r="H20" s="615"/>
      <c r="I20" s="69"/>
      <c r="J20" s="69"/>
      <c r="K20" s="3829">
        <f t="shared" si="0"/>
        <v>12087.090372849896</v>
      </c>
      <c r="L20" s="19"/>
    </row>
    <row r="21" spans="2:12" ht="18" customHeight="1" thickBot="1" x14ac:dyDescent="0.25">
      <c r="B21" s="1406" t="s">
        <v>1977</v>
      </c>
      <c r="C21" s="3784" t="str">
        <f>Summary1!C21</f>
        <v>NO</v>
      </c>
      <c r="D21" s="1948"/>
      <c r="E21" s="1948"/>
      <c r="F21" s="1948"/>
      <c r="G21" s="1948"/>
      <c r="H21" s="1948"/>
      <c r="I21" s="87"/>
      <c r="J21" s="87"/>
      <c r="K21" s="3830" t="str">
        <f t="shared" si="0"/>
        <v>NO</v>
      </c>
      <c r="L21" s="19"/>
    </row>
    <row r="22" spans="2:12" ht="18" customHeight="1" x14ac:dyDescent="0.2">
      <c r="B22" s="1552" t="s">
        <v>1931</v>
      </c>
      <c r="C22" s="3767">
        <f>Summary1!C22</f>
        <v>24691.051147405644</v>
      </c>
      <c r="D22" s="3767">
        <f>IFERROR(Summary1!D22*28,Summary1!D22)</f>
        <v>100.01994552567668</v>
      </c>
      <c r="E22" s="3767">
        <f>IFERROR(Summary1!E22*265,Summary1!E22)</f>
        <v>2457.3973121056188</v>
      </c>
      <c r="F22" s="3767">
        <f>Summary1!F22</f>
        <v>4706.3765189513433</v>
      </c>
      <c r="G22" s="3767">
        <f>Summary1!G22</f>
        <v>524.05752254650565</v>
      </c>
      <c r="H22" s="3767" t="str">
        <f>Summary1!H22</f>
        <v>NO</v>
      </c>
      <c r="I22" s="3767">
        <f>IFERROR(Summary1!I22*23500,Summary1!I22)</f>
        <v>180.50437484164183</v>
      </c>
      <c r="J22" s="3831" t="str">
        <f>IFERROR(Summary1!J22*16100,Summary1!J22)</f>
        <v>NO</v>
      </c>
      <c r="K22" s="3828">
        <f t="shared" si="0"/>
        <v>32659.406821376433</v>
      </c>
      <c r="L22" s="19"/>
    </row>
    <row r="23" spans="2:12" ht="18" customHeight="1" x14ac:dyDescent="0.2">
      <c r="B23" s="1393" t="s">
        <v>1932</v>
      </c>
      <c r="C23" s="3756">
        <f>Summary1!C23</f>
        <v>6985.4738057376535</v>
      </c>
      <c r="D23" s="615"/>
      <c r="E23" s="615"/>
      <c r="F23" s="615"/>
      <c r="G23" s="615"/>
      <c r="H23" s="615"/>
      <c r="I23" s="69"/>
      <c r="J23" s="69"/>
      <c r="K23" s="3829">
        <f t="shared" si="0"/>
        <v>6985.4738057376535</v>
      </c>
      <c r="L23" s="19"/>
    </row>
    <row r="24" spans="2:12" ht="18" customHeight="1" x14ac:dyDescent="0.2">
      <c r="B24" s="1393" t="s">
        <v>846</v>
      </c>
      <c r="C24" s="3756">
        <f>Summary1!C24</f>
        <v>4015.7436099825823</v>
      </c>
      <c r="D24" s="3756">
        <f>IFERROR(Summary1!D24*28,Summary1!D24)</f>
        <v>16.0575464</v>
      </c>
      <c r="E24" s="3756">
        <f>IFERROR(Summary1!E24*265,Summary1!E24)</f>
        <v>2436.4347304207763</v>
      </c>
      <c r="F24" s="1949" t="str">
        <f>Summary1!F24</f>
        <v>NO</v>
      </c>
      <c r="G24" s="1949" t="str">
        <f>Summary1!G24</f>
        <v>NO</v>
      </c>
      <c r="H24" s="1949" t="str">
        <f>Summary1!H24</f>
        <v>NO</v>
      </c>
      <c r="I24" s="602" t="str">
        <f>IFERROR(Summary1!I24*23500,Summary1!I24)</f>
        <v>NO</v>
      </c>
      <c r="J24" s="602" t="str">
        <f>IFERROR(Summary1!J24*16100,Summary1!J24)</f>
        <v>NO</v>
      </c>
      <c r="K24" s="3829">
        <f t="shared" si="0"/>
        <v>6468.2358868033589</v>
      </c>
      <c r="L24" s="19"/>
    </row>
    <row r="25" spans="2:12" ht="18" customHeight="1" x14ac:dyDescent="0.2">
      <c r="B25" s="1393" t="s">
        <v>637</v>
      </c>
      <c r="C25" s="3756">
        <f>Summary1!C25</f>
        <v>13315.672838033806</v>
      </c>
      <c r="D25" s="3756">
        <f>IFERROR(Summary1!D25*28,Summary1!D25)</f>
        <v>83.962399125676669</v>
      </c>
      <c r="E25" s="3756">
        <f>IFERROR(Summary1!E25*265,Summary1!E25)</f>
        <v>20.962581684842668</v>
      </c>
      <c r="F25" s="1949" t="str">
        <f>Summary1!F25</f>
        <v>NO</v>
      </c>
      <c r="G25" s="3756">
        <f>Summary1!G25</f>
        <v>524.05752254650565</v>
      </c>
      <c r="H25" s="3756" t="str">
        <f>Summary1!H25</f>
        <v>NO</v>
      </c>
      <c r="I25" s="3756" t="str">
        <f>IFERROR(Summary1!I25*23500,Summary1!I25)</f>
        <v>NO</v>
      </c>
      <c r="J25" s="3756" t="str">
        <f>IFERROR(Summary1!J25*16100,Summary1!J25)</f>
        <v>NO</v>
      </c>
      <c r="K25" s="3829">
        <f t="shared" si="0"/>
        <v>13944.65534139083</v>
      </c>
      <c r="L25" s="19"/>
    </row>
    <row r="26" spans="2:12" ht="18" customHeight="1" x14ac:dyDescent="0.2">
      <c r="B26" s="1394" t="s">
        <v>1978</v>
      </c>
      <c r="C26" s="3756">
        <f>Summary1!C26</f>
        <v>225.87504949999993</v>
      </c>
      <c r="D26" s="3756" t="str">
        <f>IFERROR(Summary1!D26*28,Summary1!D26)</f>
        <v>NO</v>
      </c>
      <c r="E26" s="3756" t="str">
        <f>IFERROR(Summary1!E26*265,Summary1!E26)</f>
        <v>NO</v>
      </c>
      <c r="F26" s="615"/>
      <c r="G26" s="615"/>
      <c r="H26" s="615"/>
      <c r="I26" s="69"/>
      <c r="J26" s="69"/>
      <c r="K26" s="3829">
        <f t="shared" si="0"/>
        <v>225.87504949999993</v>
      </c>
      <c r="L26" s="19"/>
    </row>
    <row r="27" spans="2:12" ht="18" customHeight="1" x14ac:dyDescent="0.2">
      <c r="B27" s="1394" t="s">
        <v>1979</v>
      </c>
      <c r="C27" s="615"/>
      <c r="D27" s="615"/>
      <c r="E27" s="3756" t="str">
        <f>IFERROR(Summary1!E27*265,Summary1!E27)</f>
        <v>NO</v>
      </c>
      <c r="F27" s="1949" t="str">
        <f>Summary1!F27</f>
        <v>NO</v>
      </c>
      <c r="G27" s="3756" t="str">
        <f>Summary1!G27</f>
        <v>NO</v>
      </c>
      <c r="H27" s="3756" t="str">
        <f>Summary1!H27</f>
        <v>NO</v>
      </c>
      <c r="I27" s="3756" t="str">
        <f>IFERROR(Summary1!I27*23500,Summary1!I27)</f>
        <v>NO</v>
      </c>
      <c r="J27" s="3756" t="str">
        <f>IFERROR(Summary1!J27*16100,Summary1!J27)</f>
        <v>NO</v>
      </c>
      <c r="K27" s="3829" t="str">
        <f t="shared" si="0"/>
        <v>NO</v>
      </c>
      <c r="L27" s="19"/>
    </row>
    <row r="28" spans="2:12" ht="18" customHeight="1" x14ac:dyDescent="0.2">
      <c r="B28" s="1394" t="s">
        <v>1980</v>
      </c>
      <c r="C28" s="615"/>
      <c r="D28" s="615"/>
      <c r="E28" s="615"/>
      <c r="F28" s="1949">
        <f>Summary1!F28</f>
        <v>4706.3765189513433</v>
      </c>
      <c r="G28" s="3756" t="str">
        <f>Summary1!G28</f>
        <v>NO</v>
      </c>
      <c r="H28" s="3756" t="str">
        <f>Summary1!H28</f>
        <v>NO</v>
      </c>
      <c r="I28" s="3756" t="str">
        <f>IFERROR(Summary1!I28*23500,Summary1!I28)</f>
        <v>NO</v>
      </c>
      <c r="J28" s="3756" t="str">
        <f>IFERROR(Summary1!J28*16100,Summary1!J28)</f>
        <v>NO</v>
      </c>
      <c r="K28" s="3829">
        <f t="shared" si="0"/>
        <v>4706.3765189513433</v>
      </c>
      <c r="L28" s="19"/>
    </row>
    <row r="29" spans="2:12" ht="18" customHeight="1" x14ac:dyDescent="0.2">
      <c r="B29" s="1394" t="s">
        <v>1981</v>
      </c>
      <c r="C29" s="3756" t="str">
        <f>Summary1!C29</f>
        <v>NO</v>
      </c>
      <c r="D29" s="3756" t="str">
        <f>IFERROR(Summary1!D29*28,Summary1!D29)</f>
        <v>NO</v>
      </c>
      <c r="E29" s="3756" t="str">
        <f>IFERROR(Summary1!E29*265,Summary1!E29)</f>
        <v>IE</v>
      </c>
      <c r="F29" s="1949" t="str">
        <f>Summary1!F29</f>
        <v>NO</v>
      </c>
      <c r="G29" s="3756" t="str">
        <f>Summary1!G29</f>
        <v>NO</v>
      </c>
      <c r="H29" s="3756" t="str">
        <f>Summary1!H29</f>
        <v>NO</v>
      </c>
      <c r="I29" s="3756">
        <f>IFERROR(Summary1!I29*23500,Summary1!I29)</f>
        <v>180.50437484164183</v>
      </c>
      <c r="J29" s="3756" t="str">
        <f>IFERROR(Summary1!J29*16100,Summary1!J29)</f>
        <v>NO</v>
      </c>
      <c r="K29" s="3829">
        <f t="shared" si="0"/>
        <v>180.50437484164183</v>
      </c>
      <c r="L29" s="19"/>
    </row>
    <row r="30" spans="2:12" ht="18" customHeight="1" thickBot="1" x14ac:dyDescent="0.25">
      <c r="B30" s="1406" t="s">
        <v>1982</v>
      </c>
      <c r="C30" s="3784">
        <f>Summary1!C30</f>
        <v>148.28584415160208</v>
      </c>
      <c r="D30" s="3784" t="str">
        <f>IFERROR(Summary1!D30*28,Summary1!D30)</f>
        <v>NO</v>
      </c>
      <c r="E30" s="3784" t="str">
        <f>IFERROR(Summary1!E30*265,Summary1!E30)</f>
        <v>NO</v>
      </c>
      <c r="F30" s="3784" t="str">
        <f>Summary1!F30</f>
        <v>NO</v>
      </c>
      <c r="G30" s="3784" t="str">
        <f>Summary1!G30</f>
        <v>NO</v>
      </c>
      <c r="H30" s="3784" t="str">
        <f>Summary1!H30</f>
        <v>NO</v>
      </c>
      <c r="I30" s="3784" t="str">
        <f>IFERROR(Summary1!I30*23500,Summary1!I30)</f>
        <v>NO</v>
      </c>
      <c r="J30" s="603" t="str">
        <f>IFERROR(Summary1!J30*16100,Summary1!J30)</f>
        <v>NO</v>
      </c>
      <c r="K30" s="3830">
        <f t="shared" si="0"/>
        <v>148.28584415160208</v>
      </c>
      <c r="L30" s="19"/>
    </row>
    <row r="31" spans="2:12" ht="18" customHeight="1" x14ac:dyDescent="0.2">
      <c r="B31" s="780" t="s">
        <v>1937</v>
      </c>
      <c r="C31" s="3767">
        <f>Summary1!C31</f>
        <v>1815.7872546355406</v>
      </c>
      <c r="D31" s="3767">
        <f>IFERROR(Summary1!D31*28,Summary1!D31)</f>
        <v>67984.722468861451</v>
      </c>
      <c r="E31" s="3767">
        <f>IFERROR(Summary1!E31*265,Summary1!E31)</f>
        <v>9745.7935302945825</v>
      </c>
      <c r="F31" s="1550"/>
      <c r="G31" s="1550"/>
      <c r="H31" s="1550"/>
      <c r="I31" s="1553"/>
      <c r="J31" s="613"/>
      <c r="K31" s="3828">
        <f t="shared" si="0"/>
        <v>79546.303253791571</v>
      </c>
      <c r="L31" s="19"/>
    </row>
    <row r="32" spans="2:12" ht="18" customHeight="1" x14ac:dyDescent="0.2">
      <c r="B32" s="606" t="s">
        <v>1938</v>
      </c>
      <c r="C32" s="615"/>
      <c r="D32" s="3756">
        <f>IFERROR(Summary1!D32*28,Summary1!D32)</f>
        <v>60784.847687596382</v>
      </c>
      <c r="E32" s="615"/>
      <c r="F32" s="615"/>
      <c r="G32" s="615"/>
      <c r="H32" s="615"/>
      <c r="I32" s="69"/>
      <c r="J32" s="69"/>
      <c r="K32" s="3829">
        <f t="shared" si="0"/>
        <v>60784.847687596382</v>
      </c>
      <c r="L32" s="19"/>
    </row>
    <row r="33" spans="2:12" ht="18" customHeight="1" x14ac:dyDescent="0.2">
      <c r="B33" s="606" t="s">
        <v>1939</v>
      </c>
      <c r="C33" s="615"/>
      <c r="D33" s="3756">
        <f>IFERROR(Summary1!D33*28,Summary1!D33)</f>
        <v>6968.0064627182592</v>
      </c>
      <c r="E33" s="3756">
        <f>IFERROR(Summary1!E33*265,Summary1!E33)</f>
        <v>539.07358463612843</v>
      </c>
      <c r="F33" s="615"/>
      <c r="G33" s="615"/>
      <c r="H33" s="615"/>
      <c r="I33" s="69"/>
      <c r="J33" s="69"/>
      <c r="K33" s="3829">
        <f t="shared" si="0"/>
        <v>7507.0800473543877</v>
      </c>
      <c r="L33" s="19"/>
    </row>
    <row r="34" spans="2:12" ht="18" customHeight="1" x14ac:dyDescent="0.2">
      <c r="B34" s="606" t="s">
        <v>1940</v>
      </c>
      <c r="C34" s="615"/>
      <c r="D34" s="3756">
        <f>IFERROR(Summary1!D34*28,Summary1!D34)</f>
        <v>88.47180809599999</v>
      </c>
      <c r="E34" s="615"/>
      <c r="F34" s="615"/>
      <c r="G34" s="615"/>
      <c r="H34" s="615"/>
      <c r="I34" s="69"/>
      <c r="J34" s="69"/>
      <c r="K34" s="3829">
        <f t="shared" si="0"/>
        <v>88.47180809599999</v>
      </c>
      <c r="L34" s="19"/>
    </row>
    <row r="35" spans="2:12" ht="18" customHeight="1" x14ac:dyDescent="0.2">
      <c r="B35" s="606" t="s">
        <v>1941</v>
      </c>
      <c r="C35" s="1950"/>
      <c r="D35" s="3756" t="str">
        <f>IFERROR(Summary1!D35*28,Summary1!D35)</f>
        <v>NE</v>
      </c>
      <c r="E35" s="3756">
        <f>IFERROR(Summary1!E35*265,Summary1!E35)</f>
        <v>9153.8222543565189</v>
      </c>
      <c r="F35" s="615"/>
      <c r="G35" s="615"/>
      <c r="H35" s="615"/>
      <c r="I35" s="69"/>
      <c r="J35" s="69"/>
      <c r="K35" s="3829">
        <f t="shared" si="0"/>
        <v>9153.8222543565189</v>
      </c>
      <c r="L35" s="19"/>
    </row>
    <row r="36" spans="2:12" ht="18" customHeight="1" x14ac:dyDescent="0.2">
      <c r="B36" s="606" t="s">
        <v>1942</v>
      </c>
      <c r="C36" s="615"/>
      <c r="D36" s="3756" t="str">
        <f>IFERROR(Summary1!D36*28,Summary1!D36)</f>
        <v>IE</v>
      </c>
      <c r="E36" s="3756" t="str">
        <f>IFERROR(Summary1!E36*265,Summary1!E36)</f>
        <v>IE</v>
      </c>
      <c r="F36" s="615"/>
      <c r="G36" s="615"/>
      <c r="H36" s="615"/>
      <c r="I36" s="69"/>
      <c r="J36" s="69"/>
      <c r="K36" s="3829" t="str">
        <f>IF(SUM(C36:J36)=0,D36,SUM(C36:J36))</f>
        <v>IE</v>
      </c>
      <c r="L36" s="19"/>
    </row>
    <row r="37" spans="2:12" ht="18" customHeight="1" x14ac:dyDescent="0.2">
      <c r="B37" s="606" t="s">
        <v>1943</v>
      </c>
      <c r="C37" s="615"/>
      <c r="D37" s="3756">
        <f>IFERROR(Summary1!D37*28,Summary1!D37)</f>
        <v>143.39651045081752</v>
      </c>
      <c r="E37" s="3756">
        <f>IFERROR(Summary1!E37*265,Summary1!E37)</f>
        <v>52.897691301933953</v>
      </c>
      <c r="F37" s="615"/>
      <c r="G37" s="615"/>
      <c r="H37" s="615"/>
      <c r="I37" s="69"/>
      <c r="J37" s="69"/>
      <c r="K37" s="3829">
        <f t="shared" si="0"/>
        <v>196.29420175275146</v>
      </c>
      <c r="L37" s="19"/>
    </row>
    <row r="38" spans="2:12" ht="18" customHeight="1" x14ac:dyDescent="0.2">
      <c r="B38" s="606" t="s">
        <v>955</v>
      </c>
      <c r="C38" s="1949">
        <f>Summary1!C38</f>
        <v>1069.5072182802071</v>
      </c>
      <c r="D38" s="3832"/>
      <c r="E38" s="3832"/>
      <c r="F38" s="615"/>
      <c r="G38" s="615"/>
      <c r="H38" s="615"/>
      <c r="I38" s="69"/>
      <c r="J38" s="69"/>
      <c r="K38" s="3829">
        <f t="shared" si="0"/>
        <v>1069.5072182802071</v>
      </c>
      <c r="L38" s="19"/>
    </row>
    <row r="39" spans="2:12" ht="18" customHeight="1" x14ac:dyDescent="0.2">
      <c r="B39" s="606" t="s">
        <v>956</v>
      </c>
      <c r="C39" s="1949">
        <f>Summary1!C39</f>
        <v>746.28003635533344</v>
      </c>
      <c r="D39" s="3832"/>
      <c r="E39" s="3832"/>
      <c r="F39" s="615"/>
      <c r="G39" s="615"/>
      <c r="H39" s="615"/>
      <c r="I39" s="69"/>
      <c r="J39" s="69"/>
      <c r="K39" s="3829">
        <f t="shared" si="0"/>
        <v>746.28003635533344</v>
      </c>
      <c r="L39" s="19"/>
    </row>
    <row r="40" spans="2:12" ht="18" customHeight="1" x14ac:dyDescent="0.2">
      <c r="B40" s="606" t="s">
        <v>957</v>
      </c>
      <c r="C40" s="1949" t="str">
        <f>Summary1!C40</f>
        <v>NE</v>
      </c>
      <c r="D40" s="3832"/>
      <c r="E40" s="3832"/>
      <c r="F40" s="615"/>
      <c r="G40" s="615"/>
      <c r="H40" s="615"/>
      <c r="I40" s="69"/>
      <c r="J40" s="69"/>
      <c r="K40" s="3829"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30" t="str">
        <f t="shared" si="0"/>
        <v>NO</v>
      </c>
      <c r="L41" s="19"/>
    </row>
    <row r="42" spans="2:12" ht="18" customHeight="1" x14ac:dyDescent="0.2">
      <c r="B42" s="1549" t="s">
        <v>1983</v>
      </c>
      <c r="C42" s="1952">
        <f>Summary1!C42</f>
        <v>53745.012522106052</v>
      </c>
      <c r="D42" s="1952">
        <f>IFERROR(Summary1!D42*28,Summary1!D42)</f>
        <v>21571.150661210417</v>
      </c>
      <c r="E42" s="1952">
        <f>IFERROR(Summary1!E42*265,Summary1!E42)</f>
        <v>4888.5537106826368</v>
      </c>
      <c r="F42" s="1550"/>
      <c r="G42" s="1550"/>
      <c r="H42" s="1550"/>
      <c r="I42" s="1553"/>
      <c r="J42" s="613"/>
      <c r="K42" s="3828">
        <f t="shared" si="0"/>
        <v>80204.71689399911</v>
      </c>
      <c r="L42" s="19"/>
    </row>
    <row r="43" spans="2:12" ht="18" customHeight="1" x14ac:dyDescent="0.2">
      <c r="B43" s="606" t="s">
        <v>1252</v>
      </c>
      <c r="C43" s="1949">
        <f>Summary1!C43</f>
        <v>-39411.955402476699</v>
      </c>
      <c r="D43" s="1949">
        <f>IFERROR(Summary1!D43*28,Summary1!D43)</f>
        <v>7949.2023125581545</v>
      </c>
      <c r="E43" s="1949">
        <f>IFERROR(Summary1!E43*265,Summary1!E43)</f>
        <v>1434.0778077764189</v>
      </c>
      <c r="F43" s="627"/>
      <c r="G43" s="627"/>
      <c r="H43" s="627"/>
      <c r="I43" s="614"/>
      <c r="J43" s="69"/>
      <c r="K43" s="3829">
        <f t="shared" si="0"/>
        <v>-30028.675282142125</v>
      </c>
      <c r="L43" s="19"/>
    </row>
    <row r="44" spans="2:12" ht="18" customHeight="1" x14ac:dyDescent="0.2">
      <c r="B44" s="606" t="s">
        <v>1255</v>
      </c>
      <c r="C44" s="1949">
        <f>Summary1!C44</f>
        <v>9016.0798520951339</v>
      </c>
      <c r="D44" s="1949">
        <f>IFERROR(Summary1!D44*28,Summary1!D44)</f>
        <v>98.486701623260004</v>
      </c>
      <c r="E44" s="1949">
        <f>IFERROR(Summary1!E44*265,Summary1!E44)</f>
        <v>58.744892517180872</v>
      </c>
      <c r="F44" s="627"/>
      <c r="G44" s="627"/>
      <c r="H44" s="627"/>
      <c r="I44" s="614"/>
      <c r="J44" s="69"/>
      <c r="K44" s="3829">
        <f t="shared" si="0"/>
        <v>9173.3114462355752</v>
      </c>
      <c r="L44" s="19"/>
    </row>
    <row r="45" spans="2:12" ht="18" customHeight="1" x14ac:dyDescent="0.2">
      <c r="B45" s="606" t="s">
        <v>1258</v>
      </c>
      <c r="C45" s="1949">
        <f>Summary1!C45</f>
        <v>84789.598346893748</v>
      </c>
      <c r="D45" s="1949">
        <f>IFERROR(Summary1!D45*28,Summary1!D45)</f>
        <v>11361.177544775826</v>
      </c>
      <c r="E45" s="1949">
        <f>IFERROR(Summary1!E45*265,Summary1!E45)</f>
        <v>3236.6257078314256</v>
      </c>
      <c r="F45" s="627"/>
      <c r="G45" s="627"/>
      <c r="H45" s="627"/>
      <c r="I45" s="614"/>
      <c r="J45" s="69"/>
      <c r="K45" s="3829">
        <f t="shared" si="0"/>
        <v>99387.401599500998</v>
      </c>
      <c r="L45" s="19"/>
    </row>
    <row r="46" spans="2:12" ht="18" customHeight="1" x14ac:dyDescent="0.2">
      <c r="B46" s="606" t="s">
        <v>1984</v>
      </c>
      <c r="C46" s="1949">
        <f>Summary1!C46</f>
        <v>1137.0405416596707</v>
      </c>
      <c r="D46" s="1949">
        <f>IFERROR(Summary1!D46*28,Summary1!D46)</f>
        <v>2044.7297019998541</v>
      </c>
      <c r="E46" s="1949">
        <f>IFERROR(Summary1!E46*265,Summary1!E46)</f>
        <v>102.12014515601199</v>
      </c>
      <c r="F46" s="627"/>
      <c r="G46" s="627"/>
      <c r="H46" s="627"/>
      <c r="I46" s="614"/>
      <c r="J46" s="69"/>
      <c r="K46" s="3829">
        <f t="shared" si="0"/>
        <v>3283.8903888155364</v>
      </c>
      <c r="L46" s="19"/>
    </row>
    <row r="47" spans="2:12" ht="18" customHeight="1" x14ac:dyDescent="0.2">
      <c r="B47" s="606" t="s">
        <v>1985</v>
      </c>
      <c r="C47" s="1949">
        <f>Summary1!C47</f>
        <v>4685.7284849017178</v>
      </c>
      <c r="D47" s="1949">
        <f>IFERROR(Summary1!D47*28,Summary1!D47)</f>
        <v>117.5544002533204</v>
      </c>
      <c r="E47" s="1949">
        <f>IFERROR(Summary1!E47*265,Summary1!E47)</f>
        <v>29.534605279980127</v>
      </c>
      <c r="F47" s="627"/>
      <c r="G47" s="627"/>
      <c r="H47" s="627"/>
      <c r="I47" s="614"/>
      <c r="J47" s="69"/>
      <c r="K47" s="3829">
        <f t="shared" si="0"/>
        <v>4832.817490435019</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9" t="str">
        <f t="shared" si="0"/>
        <v>NO</v>
      </c>
      <c r="L48" s="19"/>
    </row>
    <row r="49" spans="2:12" ht="18" customHeight="1" x14ac:dyDescent="0.2">
      <c r="B49" s="606" t="s">
        <v>1987</v>
      </c>
      <c r="C49" s="1949">
        <f>Summary1!C49</f>
        <v>-6472.1362233364061</v>
      </c>
      <c r="D49" s="3833"/>
      <c r="E49" s="3833"/>
      <c r="F49" s="627"/>
      <c r="G49" s="627"/>
      <c r="H49" s="627"/>
      <c r="I49" s="614"/>
      <c r="J49" s="69"/>
      <c r="K49" s="3829">
        <f t="shared" si="0"/>
        <v>-6472.1362233364061</v>
      </c>
      <c r="L49" s="19"/>
    </row>
    <row r="50" spans="2:12" ht="18" customHeight="1" thickBot="1" x14ac:dyDescent="0.25">
      <c r="B50" s="1554" t="s">
        <v>1988</v>
      </c>
      <c r="C50" s="1951">
        <f>Summary1!C50</f>
        <v>0.65692236888666677</v>
      </c>
      <c r="D50" s="1951" t="str">
        <f>IFERROR(Summary1!D50*28,Summary1!D50)</f>
        <v>NO</v>
      </c>
      <c r="E50" s="1951">
        <f>IFERROR(Summary1!E50*265,Summary1!E50)</f>
        <v>27.450552121619634</v>
      </c>
      <c r="F50" s="1953"/>
      <c r="G50" s="1953"/>
      <c r="H50" s="1953"/>
      <c r="I50" s="1555"/>
      <c r="J50" s="87"/>
      <c r="K50" s="3830">
        <f t="shared" si="0"/>
        <v>28.107474490506299</v>
      </c>
      <c r="L50" s="19"/>
    </row>
    <row r="51" spans="2:12" ht="18" customHeight="1" x14ac:dyDescent="0.2">
      <c r="B51" s="1549" t="s">
        <v>1955</v>
      </c>
      <c r="C51" s="1952">
        <f>Summary1!C51</f>
        <v>29.670531219562221</v>
      </c>
      <c r="D51" s="1952">
        <f>IFERROR(Summary1!D51*28,Summary1!D51)</f>
        <v>15564.164778419898</v>
      </c>
      <c r="E51" s="1952">
        <f>IFERROR(Summary1!E51*265,Summary1!E51)</f>
        <v>257.61239993721381</v>
      </c>
      <c r="F51" s="1550"/>
      <c r="G51" s="1550"/>
      <c r="H51" s="1550"/>
      <c r="I51" s="1553"/>
      <c r="J51" s="613"/>
      <c r="K51" s="3828">
        <f t="shared" si="0"/>
        <v>15851.447709576674</v>
      </c>
      <c r="L51" s="19"/>
    </row>
    <row r="52" spans="2:12" ht="18" customHeight="1" x14ac:dyDescent="0.2">
      <c r="B52" s="606" t="s">
        <v>1989</v>
      </c>
      <c r="C52" s="615"/>
      <c r="D52" s="1949">
        <f>IFERROR(Summary1!D52*28,Summary1!D52)</f>
        <v>12271.742770399627</v>
      </c>
      <c r="E52" s="627"/>
      <c r="F52" s="615"/>
      <c r="G52" s="615"/>
      <c r="H52" s="615"/>
      <c r="I52" s="69"/>
      <c r="J52" s="69"/>
      <c r="K52" s="3829">
        <f t="shared" si="0"/>
        <v>12271.742770399627</v>
      </c>
      <c r="L52" s="19"/>
    </row>
    <row r="53" spans="2:12" ht="18" customHeight="1" x14ac:dyDescent="0.2">
      <c r="B53" s="1395" t="s">
        <v>1990</v>
      </c>
      <c r="C53" s="615"/>
      <c r="D53" s="1949">
        <f>IFERROR(Summary1!D53*28,Summary1!D53)</f>
        <v>74.578749000000002</v>
      </c>
      <c r="E53" s="1949">
        <f>IFERROR(Summary1!E53*265,Summary1!E53)</f>
        <v>90.346827360000006</v>
      </c>
      <c r="F53" s="615"/>
      <c r="G53" s="615"/>
      <c r="H53" s="615"/>
      <c r="I53" s="69"/>
      <c r="J53" s="69"/>
      <c r="K53" s="3829">
        <f t="shared" si="0"/>
        <v>164.92557636000001</v>
      </c>
      <c r="L53" s="19"/>
    </row>
    <row r="54" spans="2:12" ht="18" customHeight="1" x14ac:dyDescent="0.2">
      <c r="B54" s="1396" t="s">
        <v>1991</v>
      </c>
      <c r="C54" s="1949">
        <f>Summary1!C54</f>
        <v>29.670531219562221</v>
      </c>
      <c r="D54" s="1949" t="str">
        <f>IFERROR(Summary1!D54*28,Summary1!D54)</f>
        <v>NO,NE</v>
      </c>
      <c r="E54" s="1949" t="str">
        <f>IFERROR(Summary1!E54*265,Summary1!E54)</f>
        <v>NO,NE</v>
      </c>
      <c r="F54" s="615"/>
      <c r="G54" s="615"/>
      <c r="H54" s="615"/>
      <c r="I54" s="69"/>
      <c r="J54" s="69"/>
      <c r="K54" s="3829">
        <f t="shared" si="0"/>
        <v>29.670531219562221</v>
      </c>
      <c r="L54" s="19"/>
    </row>
    <row r="55" spans="2:12" ht="18" customHeight="1" x14ac:dyDescent="0.2">
      <c r="B55" s="606" t="s">
        <v>1992</v>
      </c>
      <c r="C55" s="615"/>
      <c r="D55" s="1949">
        <f>IFERROR(Summary1!D55*28,Summary1!D55)</f>
        <v>3217.8432590202683</v>
      </c>
      <c r="E55" s="1949">
        <f>IFERROR(Summary1!E55*265,Summary1!E55)</f>
        <v>167.26557257721382</v>
      </c>
      <c r="F55" s="615"/>
      <c r="G55" s="615"/>
      <c r="H55" s="615"/>
      <c r="I55" s="69"/>
      <c r="J55" s="69"/>
      <c r="K55" s="3829">
        <f t="shared" si="0"/>
        <v>3385.1088315974821</v>
      </c>
      <c r="L55" s="19"/>
    </row>
    <row r="56" spans="2:12" ht="18" customHeight="1" thickBot="1" x14ac:dyDescent="0.25">
      <c r="B56" s="1554" t="s">
        <v>1993</v>
      </c>
      <c r="C56" s="3784" t="str">
        <f>Summary1!C56</f>
        <v>NE</v>
      </c>
      <c r="D56" s="3784" t="str">
        <f>IFERROR(Summary1!D56*28,Summary1!D56)</f>
        <v>NE</v>
      </c>
      <c r="E56" s="3784" t="str">
        <f>IFERROR(Summary1!E56*265,Summary1!E56)</f>
        <v>NE</v>
      </c>
      <c r="F56" s="1948"/>
      <c r="G56" s="1948"/>
      <c r="H56" s="1948"/>
      <c r="I56" s="87"/>
      <c r="J56" s="87"/>
      <c r="K56" s="3830" t="str">
        <f>IF(SUM(C56:J56)=0,"NE",SUM(C56:J56))</f>
        <v>NE</v>
      </c>
      <c r="L56" s="19"/>
    </row>
    <row r="57" spans="2:12" ht="18" customHeight="1" thickBot="1" x14ac:dyDescent="0.25">
      <c r="B57" s="1390" t="s">
        <v>1994</v>
      </c>
      <c r="C57" s="3834" t="str">
        <f>Summary1!C57</f>
        <v>NO</v>
      </c>
      <c r="D57" s="3834" t="str">
        <f>IFERROR(Summary1!D57*28,Summary1!D57)</f>
        <v>NO</v>
      </c>
      <c r="E57" s="3834"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5"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2"/>
      <c r="E59" s="2542"/>
      <c r="F59" s="2542"/>
      <c r="G59" s="2542"/>
      <c r="H59" s="2542"/>
      <c r="I59" s="2543"/>
      <c r="J59" s="2544"/>
      <c r="K59" s="616"/>
    </row>
    <row r="60" spans="2:12" ht="18" customHeight="1" x14ac:dyDescent="0.2">
      <c r="B60" s="1384" t="s">
        <v>217</v>
      </c>
      <c r="C60" s="617">
        <f>Summary1!C61</f>
        <v>11913.955119279999</v>
      </c>
      <c r="D60" s="617">
        <f>IFERROR(Summary1!D61*28,Summary1!D61)</f>
        <v>7.2841871855999987</v>
      </c>
      <c r="E60" s="617">
        <f>IFERROR(Summary1!E61*265,Summary1!E61)</f>
        <v>31.003319434157891</v>
      </c>
      <c r="F60" s="1957"/>
      <c r="G60" s="1957"/>
      <c r="H60" s="1958"/>
      <c r="I60" s="618"/>
      <c r="J60" s="618"/>
      <c r="K60" s="619">
        <f t="shared" ref="K60:K66" si="2">IF(SUM(C60:J60)=0,"NO",SUM(C60:J60))</f>
        <v>11952.242625899757</v>
      </c>
    </row>
    <row r="61" spans="2:12" ht="18" customHeight="1" x14ac:dyDescent="0.2">
      <c r="B61" s="1385" t="s">
        <v>218</v>
      </c>
      <c r="C61" s="617">
        <f>Summary1!C62</f>
        <v>9349.5914995200001</v>
      </c>
      <c r="D61" s="617">
        <f>IFERROR(Summary1!D62*28,Summary1!D62)</f>
        <v>0.4223675999999999</v>
      </c>
      <c r="E61" s="617">
        <f>IFERROR(Summary1!E62*265,Summary1!E62)</f>
        <v>12.448399126157895</v>
      </c>
      <c r="F61" s="615"/>
      <c r="G61" s="615"/>
      <c r="H61" s="615"/>
      <c r="I61" s="621"/>
      <c r="J61" s="621"/>
      <c r="K61" s="622">
        <f t="shared" si="2"/>
        <v>9362.4622662461588</v>
      </c>
    </row>
    <row r="62" spans="2:12" ht="18" customHeight="1" x14ac:dyDescent="0.2">
      <c r="B62" s="1386" t="s">
        <v>1963</v>
      </c>
      <c r="C62" s="617">
        <f>Summary1!C63</f>
        <v>2564.3636197599994</v>
      </c>
      <c r="D62" s="617">
        <f>IFERROR(Summary1!D63*28,Summary1!D63)</f>
        <v>6.8618195855999993</v>
      </c>
      <c r="E62" s="617">
        <f>IFERROR(Summary1!E63*265,Summary1!E63)</f>
        <v>18.554920308</v>
      </c>
      <c r="F62" s="615"/>
      <c r="G62" s="615"/>
      <c r="H62" s="615"/>
      <c r="I62" s="623"/>
      <c r="J62" s="623"/>
      <c r="K62" s="619">
        <f t="shared" si="2"/>
        <v>2589.7803596535996</v>
      </c>
    </row>
    <row r="63" spans="2:12" ht="18" customHeight="1" x14ac:dyDescent="0.2">
      <c r="B63" s="1387" t="s">
        <v>220</v>
      </c>
      <c r="C63" s="3802" t="str">
        <f>Summary1!C64</f>
        <v>NE</v>
      </c>
      <c r="D63" s="3802" t="str">
        <f>IFERROR(Summary1!D64*28,Summary1!D64)</f>
        <v>NE</v>
      </c>
      <c r="E63" s="3802" t="str">
        <f>IFERROR(Summary1!E64*265,Summary1!E64)</f>
        <v>NE</v>
      </c>
      <c r="F63" s="627"/>
      <c r="G63" s="627"/>
      <c r="H63" s="1959"/>
      <c r="I63" s="625"/>
      <c r="J63" s="625"/>
      <c r="K63" s="626" t="str">
        <f>IF(SUM(C63:J63)=0,C63,SUM(C63:J63))</f>
        <v>NE</v>
      </c>
    </row>
    <row r="64" spans="2:12" ht="18" customHeight="1" x14ac:dyDescent="0.2">
      <c r="B64" s="1384" t="s">
        <v>222</v>
      </c>
      <c r="C64" s="624">
        <f>Summary1!C65</f>
        <v>19252.600125708159</v>
      </c>
      <c r="D64" s="627"/>
      <c r="E64" s="627"/>
      <c r="F64" s="627"/>
      <c r="G64" s="627"/>
      <c r="H64" s="627"/>
      <c r="I64" s="614"/>
      <c r="J64" s="614"/>
      <c r="K64" s="628">
        <f t="shared" si="2"/>
        <v>19252.600125708159</v>
      </c>
    </row>
    <row r="65" spans="2:14" ht="18" customHeight="1" x14ac:dyDescent="0.2">
      <c r="B65" s="1388" t="s">
        <v>1964</v>
      </c>
      <c r="C65" s="624" t="str">
        <f>Summary1!C66</f>
        <v>NO</v>
      </c>
      <c r="D65" s="627"/>
      <c r="E65" s="627"/>
      <c r="F65" s="627"/>
      <c r="G65" s="627"/>
      <c r="H65" s="627"/>
      <c r="I65" s="614"/>
      <c r="J65" s="614"/>
      <c r="K65" s="628" t="str">
        <f t="shared" si="2"/>
        <v>NO</v>
      </c>
    </row>
    <row r="66" spans="2:14" ht="18" customHeight="1" x14ac:dyDescent="0.2">
      <c r="B66" s="1389" t="s">
        <v>1965</v>
      </c>
      <c r="C66" s="629">
        <f>Summary1!C67</f>
        <v>263961.04090265837</v>
      </c>
      <c r="D66" s="631"/>
      <c r="E66" s="631"/>
      <c r="F66" s="631"/>
      <c r="G66" s="631"/>
      <c r="H66" s="631"/>
      <c r="I66" s="630"/>
      <c r="J66" s="630"/>
      <c r="K66" s="632">
        <f t="shared" si="2"/>
        <v>263961.04090265837</v>
      </c>
    </row>
    <row r="67" spans="2:14" ht="18" customHeight="1" thickBot="1" x14ac:dyDescent="0.3">
      <c r="B67" s="633" t="s">
        <v>1996</v>
      </c>
      <c r="C67" s="1960"/>
      <c r="D67" s="1960"/>
      <c r="E67" s="3836" t="str">
        <f>IFERROR(Summary1!E68*265,Summary1!E68)</f>
        <v>IE,NE,NO</v>
      </c>
      <c r="F67" s="1960"/>
      <c r="G67" s="1960"/>
      <c r="H67" s="1960"/>
      <c r="I67" s="634"/>
      <c r="J67" s="634"/>
      <c r="K67" s="3838"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7" t="str">
        <f>Summary1!C70</f>
        <v>NE,NO</v>
      </c>
      <c r="D69" s="2529"/>
      <c r="E69" s="2529"/>
      <c r="F69" s="2529"/>
      <c r="G69" s="2529"/>
      <c r="H69" s="2529"/>
      <c r="I69" s="2530"/>
      <c r="J69" s="2530"/>
      <c r="K69" s="3839"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2" t="s">
        <v>1998</v>
      </c>
      <c r="K71" s="960">
        <f>K10-K42</f>
        <v>545914.99549757002</v>
      </c>
      <c r="N71" s="1122"/>
    </row>
    <row r="72" spans="2:14" s="636" customFormat="1" ht="18" customHeight="1" x14ac:dyDescent="0.25">
      <c r="B72" s="640"/>
      <c r="C72" s="641"/>
      <c r="D72" s="641"/>
      <c r="E72" s="641"/>
      <c r="F72" s="641"/>
      <c r="G72" s="641"/>
      <c r="H72" s="641"/>
      <c r="I72" s="641"/>
      <c r="J72" s="2573" t="s">
        <v>1999</v>
      </c>
      <c r="K72" s="628">
        <f>K10</f>
        <v>626119.71239156916</v>
      </c>
      <c r="N72" s="1122"/>
    </row>
    <row r="73" spans="2:14" s="636" customFormat="1" ht="18" customHeight="1" x14ac:dyDescent="0.2">
      <c r="B73" s="640"/>
      <c r="C73" s="641"/>
      <c r="D73" s="641"/>
      <c r="E73" s="641"/>
      <c r="F73" s="641"/>
      <c r="G73" s="641"/>
      <c r="H73" s="641"/>
      <c r="I73" s="641"/>
      <c r="J73" s="2573" t="s">
        <v>2000</v>
      </c>
      <c r="K73" s="628" t="s">
        <v>205</v>
      </c>
    </row>
    <row r="74" spans="2:14" s="636" customFormat="1" ht="18" customHeight="1" thickBot="1" x14ac:dyDescent="0.25">
      <c r="B74" s="642"/>
      <c r="C74" s="643"/>
      <c r="D74" s="643"/>
      <c r="E74" s="643"/>
      <c r="F74" s="643"/>
      <c r="G74" s="643"/>
      <c r="H74" s="643"/>
      <c r="I74" s="643"/>
      <c r="J74" s="2574"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workbookViewId="0">
      <selection activeCell="H60" sqref="H60:J6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2460</v>
      </c>
    </row>
    <row r="2" spans="2:11" ht="16.350000000000001" customHeight="1" x14ac:dyDescent="0.25">
      <c r="B2" s="985" t="s">
        <v>229</v>
      </c>
      <c r="C2" s="985"/>
      <c r="J2" s="226"/>
      <c r="K2" s="14" t="s">
        <v>2461</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8"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2"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778613.36687170365</v>
      </c>
      <c r="D10" s="3055" t="s">
        <v>97</v>
      </c>
      <c r="E10" s="615"/>
      <c r="F10" s="615"/>
      <c r="G10" s="615"/>
      <c r="H10" s="4219">
        <f>IF(SUM(H11:H15)=0,"NO",SUM(H11:H15))</f>
        <v>40457.906147434798</v>
      </c>
      <c r="I10" s="4219">
        <f t="shared" ref="I10:K10" si="0">IF(SUM(I11:I16)=0,"NO",SUM(I11:I16))</f>
        <v>2.3972548946445906</v>
      </c>
      <c r="J10" s="4226">
        <f t="shared" si="0"/>
        <v>1.3715263252857557</v>
      </c>
      <c r="K10" s="3044" t="str">
        <f t="shared" si="0"/>
        <v>NO</v>
      </c>
    </row>
    <row r="11" spans="2:11" ht="18" customHeight="1" x14ac:dyDescent="0.2">
      <c r="B11" s="282" t="s">
        <v>243</v>
      </c>
      <c r="C11" s="1938">
        <f>IF(SUM(C18,C25,C32,C39,C46,C53,C68,C75,C82,C89,C96,C103,C120,C110:C113)=0,"NO",SUM(C18,C25,C32,C39,C46,C53,C68,C75,C82,C89,C96,C103,C120,C110:C113))</f>
        <v>186296.22509583927</v>
      </c>
      <c r="D11" s="3056" t="s">
        <v>97</v>
      </c>
      <c r="E11" s="1938">
        <f>IFERROR(H11*1000/$C11,"NA")</f>
        <v>68.919673620273699</v>
      </c>
      <c r="F11" s="1938">
        <f t="shared" ref="F11:G16" si="1">IFERROR(I11*1000000/$C11,"NA")</f>
        <v>4.2097120309443499</v>
      </c>
      <c r="G11" s="1938">
        <f t="shared" si="1"/>
        <v>1.9263169966441627</v>
      </c>
      <c r="H11" s="1938">
        <f>IF(SUM(H18,H25,H32,H39,H46,H53,H68,H75,H82,H89,H96,H103,H120,H110:H113)=0,"NO",SUM(H18,H25,H32,H39,H46,H53,H68,H75,H82,H89,H96,H103,H120,H110:H113))</f>
        <v>12839.475030294285</v>
      </c>
      <c r="I11" s="1938">
        <f>IF(SUM(I18,I25,I32,I39,I46,I53,I68,I75,I82,I89,I96,I103,I120,I110:I113)=0,"NO",SUM(I18,I25,I32,I39,I46,I53,I68,I75,I82,I89,I96,I103,I120,I110:I113))</f>
        <v>0.78425346010547126</v>
      </c>
      <c r="J11" s="1938">
        <f>IF(SUM(J18,J25,J32,J39,J46,J53,J68,J75,J82,J89,J96,J103,J120,J110:J113)=0,"NO",SUM(J18,J25,J32,J39,J46,J53,J68,J75,J82,J89,J96,J103,J120,J110:J113))</f>
        <v>0.35886558481276198</v>
      </c>
      <c r="K11" s="3044"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127712.98205561712</v>
      </c>
      <c r="D12" s="3056" t="s">
        <v>97</v>
      </c>
      <c r="E12" s="1938">
        <f t="shared" ref="E12:E16" si="2">IFERROR(H12*1000/$C12,"NA")</f>
        <v>80.320324840760748</v>
      </c>
      <c r="F12" s="1938">
        <f t="shared" si="1"/>
        <v>0.95021137691344726</v>
      </c>
      <c r="G12" s="1938">
        <f t="shared" si="1"/>
        <v>0.69791505894908812</v>
      </c>
      <c r="H12" s="1938">
        <f>IF(SUM(H19,H26,H33,H40,H47,H54,H69,H76,H83,H90,H97,H104,H121)=0,"NO",SUM(H19,H26,H33,H40,H47,H54,H69,H76,H83,H90,H97,H104,H121))</f>
        <v>10257.948205089415</v>
      </c>
      <c r="I12" s="1938">
        <f>IF(SUM(I19,I26,I33,I40,I47,I54,I69,I76,I83,I90,I97,I104,I121)=0,"NO",SUM(I19,I26,I33,I40,I47,I54,I69,I76,I83,I90,I97,I104,I121))</f>
        <v>0.12135432852879033</v>
      </c>
      <c r="J12" s="1938">
        <f>IF(SUM(J19,J26,J33,J40,J47,J54,J69,J76,J83,J90,J97,J104,J121)=0,"NO",SUM(J19,J26,J33,J40,J47,J54,J69,J76,J83,J90,J97,J104,J121))</f>
        <v>8.9132813399909847E-2</v>
      </c>
      <c r="K12" s="3044"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337005.7279855886</v>
      </c>
      <c r="D13" s="3056" t="s">
        <v>97</v>
      </c>
      <c r="E13" s="1938">
        <f t="shared" si="2"/>
        <v>51.513910507756982</v>
      </c>
      <c r="F13" s="1938">
        <f t="shared" si="1"/>
        <v>0.96351477585565171</v>
      </c>
      <c r="G13" s="1938">
        <f t="shared" si="1"/>
        <v>0.53747192823760315</v>
      </c>
      <c r="H13" s="1938">
        <f t="shared" ref="H13:K14" si="3">IF(SUM(H20,H27,H34,H41,H48,H55,H70,H77,H84,H91,H98,H105,H122,H115)=0,"NO",SUM(H20,H27,H34,H41,H48,H55,H70,H77,H84,H91,H98,H105,H122,H115))</f>
        <v>17360.482912051102</v>
      </c>
      <c r="I13" s="1938">
        <f t="shared" si="3"/>
        <v>0.32470999846210513</v>
      </c>
      <c r="J13" s="1938">
        <f t="shared" si="3"/>
        <v>0.18113111844753149</v>
      </c>
      <c r="K13" s="3044" t="str">
        <f t="shared" si="3"/>
        <v>NO</v>
      </c>
    </row>
    <row r="14" spans="2:11" ht="18" customHeight="1" x14ac:dyDescent="0.2">
      <c r="B14" s="282" t="s">
        <v>247</v>
      </c>
      <c r="C14" s="1938" t="str">
        <f>IF(SUM(C21,C28,C35,C42,C49,C56,C71,C78,C85,C92,C99,C106,C123,C116)=0,"NO",SUM(C21,C28,C35,C42,C49,C56,C71,C78,C85,C92,C99,C106,C123,C116))</f>
        <v>NO</v>
      </c>
      <c r="D14" s="3056" t="s">
        <v>97</v>
      </c>
      <c r="E14" s="1938" t="str">
        <f t="shared" si="2"/>
        <v>NA</v>
      </c>
      <c r="F14" s="1938" t="str">
        <f t="shared" si="1"/>
        <v>NA</v>
      </c>
      <c r="G14" s="1938" t="str">
        <f t="shared" si="1"/>
        <v>NA</v>
      </c>
      <c r="H14" s="1938" t="str">
        <f t="shared" si="3"/>
        <v>NO</v>
      </c>
      <c r="I14" s="1938" t="str">
        <f t="shared" si="3"/>
        <v>NO</v>
      </c>
      <c r="J14" s="1938" t="str">
        <f t="shared" si="3"/>
        <v>NO</v>
      </c>
      <c r="K14" s="3044" t="str">
        <f t="shared" si="3"/>
        <v>NO</v>
      </c>
    </row>
    <row r="15" spans="2:11" ht="18" customHeight="1" x14ac:dyDescent="0.2">
      <c r="B15" s="282" t="s">
        <v>248</v>
      </c>
      <c r="C15" s="1938" t="str">
        <f>IF(SUM(C22,C29,C36,C43,C50,C57,C72,C79,C86,C93,C100,C107,C124)=0,"NO",SUM(C22,C29,C36,C43,C50,C57,C72,C79,C86,C93,C100,C107,C124))</f>
        <v>NO</v>
      </c>
      <c r="D15" s="3056"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4"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127598.43173465868</v>
      </c>
      <c r="D16" s="3071" t="s">
        <v>97</v>
      </c>
      <c r="E16" s="1938">
        <f t="shared" si="2"/>
        <v>94.644826562679242</v>
      </c>
      <c r="F16" s="1938">
        <f t="shared" si="1"/>
        <v>9.1453875387345942</v>
      </c>
      <c r="G16" s="1938">
        <f t="shared" si="1"/>
        <v>5.8182283162332959</v>
      </c>
      <c r="H16" s="1938">
        <f>IF(SUM(H23,H30,H37,H44,H51,H58,H73,H80,H87,H94,H101,H108,H125,H117)=0,"NO",SUM(H23,H30,H37,H44,H51,H58,H73,H80,H87,H94,H101,H108,H125,H117))</f>
        <v>12076.531441196637</v>
      </c>
      <c r="I16" s="1938">
        <f>IF(SUM(I23,I30,I37,I44,I51,I58,I73,I80,I87,I94,I101,I108,I125,I117)=0,"NO",SUM(I23,I30,I37,I44,I51,I58,I73,I80,I87,I94,I101,I108,I125,I117))</f>
        <v>1.1669371075482242</v>
      </c>
      <c r="J16" s="1938">
        <f>IF(SUM(J23,J30,J37,J44,J51,J58,J73,J80,J87,J94,J101,J108,J125,J117)=0,"NO",SUM(J23,J30,J37,J44,J51,J58,J73,J80,J87,J94,J101,J108,J125,J117))</f>
        <v>0.74239680862555235</v>
      </c>
      <c r="K16" s="3044" t="str">
        <f>IF(SUM(K23,K30,K37,K44,K51,K58,K73,K80,K87,K94,K101,K108,K125,K117)=0,"NO",SUM(K23,K30,K37,K44,K51,K58,K73,K80,K87,K94,K101,K108,K125,K117))</f>
        <v>NO</v>
      </c>
    </row>
    <row r="17" spans="2:11" ht="18" customHeight="1" x14ac:dyDescent="0.2">
      <c r="B17" s="1240" t="s">
        <v>264</v>
      </c>
      <c r="C17" s="1938">
        <f>IF(SUM(C18:C23)=0,"NO",SUM(C18:C23))</f>
        <v>53144.293255537283</v>
      </c>
      <c r="D17" s="3055" t="s">
        <v>97</v>
      </c>
      <c r="E17" s="615"/>
      <c r="F17" s="615"/>
      <c r="G17" s="615"/>
      <c r="H17" s="1938">
        <f>IF(SUM(H18:H22)=0,"NO",SUM(H18:H22))</f>
        <v>2468.3691529140879</v>
      </c>
      <c r="I17" s="1938">
        <f t="shared" ref="I17:K17" si="4">IF(SUM(I18:I23)=0,"NO",SUM(I18:I23))</f>
        <v>5.5951362752233599E-2</v>
      </c>
      <c r="J17" s="1938">
        <f t="shared" si="4"/>
        <v>3.1074065043802005E-2</v>
      </c>
      <c r="K17" s="3044" t="str">
        <f t="shared" si="4"/>
        <v>NO</v>
      </c>
    </row>
    <row r="18" spans="2:11" ht="18" customHeight="1" x14ac:dyDescent="0.2">
      <c r="B18" s="282" t="s">
        <v>243</v>
      </c>
      <c r="C18" s="699">
        <v>1826.7106365691207</v>
      </c>
      <c r="D18" s="3056" t="s">
        <v>97</v>
      </c>
      <c r="E18" s="1938">
        <f>IFERROR(H18*1000/$C18,"NA")</f>
        <v>71.339178638533696</v>
      </c>
      <c r="F18" s="1938">
        <f t="shared" ref="F18:G23" si="5">IFERROR(I18*1000000/$C18,"NA")</f>
        <v>3.8061885865930134</v>
      </c>
      <c r="G18" s="1938">
        <f t="shared" si="5"/>
        <v>1.1724339104305694</v>
      </c>
      <c r="H18" s="699">
        <v>130.3160364231141</v>
      </c>
      <c r="I18" s="699">
        <v>6.9528051759174449E-3</v>
      </c>
      <c r="J18" s="699">
        <v>2.1416974948578488E-3</v>
      </c>
      <c r="K18" s="3072" t="s">
        <v>199</v>
      </c>
    </row>
    <row r="19" spans="2:11" ht="18" customHeight="1" x14ac:dyDescent="0.2">
      <c r="B19" s="282" t="s">
        <v>245</v>
      </c>
      <c r="C19" s="699">
        <v>25462.088745857061</v>
      </c>
      <c r="D19" s="3056" t="s">
        <v>97</v>
      </c>
      <c r="E19" s="1938">
        <f t="shared" ref="E19:E23" si="6">IFERROR(H19*1000/$C19,"NA")</f>
        <v>39.618610512829846</v>
      </c>
      <c r="F19" s="1938">
        <f t="shared" si="5"/>
        <v>0.95499136369039894</v>
      </c>
      <c r="G19" s="1938">
        <f t="shared" si="5"/>
        <v>0.57047938859195857</v>
      </c>
      <c r="H19" s="699">
        <v>1008.7725768652192</v>
      </c>
      <c r="I19" s="699">
        <v>2.4316074853811993E-2</v>
      </c>
      <c r="J19" s="699">
        <v>1.4525596820010726E-2</v>
      </c>
      <c r="K19" s="3072" t="s">
        <v>199</v>
      </c>
    </row>
    <row r="20" spans="2:11" ht="18" customHeight="1" x14ac:dyDescent="0.2">
      <c r="B20" s="282" t="s">
        <v>246</v>
      </c>
      <c r="C20" s="699">
        <v>25855.4938731111</v>
      </c>
      <c r="D20" s="3056" t="s">
        <v>97</v>
      </c>
      <c r="E20" s="1938">
        <f t="shared" si="6"/>
        <v>51.411918339265007</v>
      </c>
      <c r="F20" s="1938">
        <f t="shared" si="5"/>
        <v>0.95463203463203461</v>
      </c>
      <c r="G20" s="1938">
        <f t="shared" si="5"/>
        <v>0.55720346320346326</v>
      </c>
      <c r="H20" s="699">
        <v>1329.2805396257545</v>
      </c>
      <c r="I20" s="699">
        <v>2.4682482722504156E-2</v>
      </c>
      <c r="J20" s="699">
        <v>1.440677072893343E-2</v>
      </c>
      <c r="K20" s="3072" t="s">
        <v>199</v>
      </c>
    </row>
    <row r="21" spans="2:11" ht="18" customHeight="1" x14ac:dyDescent="0.2">
      <c r="B21" s="282" t="s">
        <v>247</v>
      </c>
      <c r="C21" s="699" t="s">
        <v>199</v>
      </c>
      <c r="D21" s="3056" t="s">
        <v>97</v>
      </c>
      <c r="E21" s="1938" t="str">
        <f t="shared" si="6"/>
        <v>NA</v>
      </c>
      <c r="F21" s="1938" t="str">
        <f t="shared" si="5"/>
        <v>NA</v>
      </c>
      <c r="G21" s="1938" t="str">
        <f t="shared" si="5"/>
        <v>NA</v>
      </c>
      <c r="H21" s="699" t="s">
        <v>199</v>
      </c>
      <c r="I21" s="699" t="s">
        <v>199</v>
      </c>
      <c r="J21" s="699" t="s">
        <v>199</v>
      </c>
      <c r="K21" s="3072" t="s">
        <v>199</v>
      </c>
    </row>
    <row r="22" spans="2:11" ht="18" customHeight="1" x14ac:dyDescent="0.2">
      <c r="B22" s="282" t="s">
        <v>248</v>
      </c>
      <c r="C22" s="699" t="s">
        <v>199</v>
      </c>
      <c r="D22" s="3056" t="s">
        <v>97</v>
      </c>
      <c r="E22" s="1938" t="str">
        <f t="shared" si="6"/>
        <v>NA</v>
      </c>
      <c r="F22" s="1938" t="str">
        <f t="shared" si="5"/>
        <v>NA</v>
      </c>
      <c r="G22" s="1938" t="str">
        <f t="shared" si="5"/>
        <v>NA</v>
      </c>
      <c r="H22" s="699" t="s">
        <v>199</v>
      </c>
      <c r="I22" s="699" t="s">
        <v>199</v>
      </c>
      <c r="J22" s="699" t="s">
        <v>199</v>
      </c>
      <c r="K22" s="3072" t="s">
        <v>199</v>
      </c>
    </row>
    <row r="23" spans="2:11" ht="18" customHeight="1" x14ac:dyDescent="0.2">
      <c r="B23" s="282" t="s">
        <v>249</v>
      </c>
      <c r="C23" s="699" t="s">
        <v>199</v>
      </c>
      <c r="D23" s="3056" t="s">
        <v>97</v>
      </c>
      <c r="E23" s="1938" t="str">
        <f t="shared" si="6"/>
        <v>NA</v>
      </c>
      <c r="F23" s="1938" t="str">
        <f t="shared" si="5"/>
        <v>NA</v>
      </c>
      <c r="G23" s="1938" t="str">
        <f t="shared" si="5"/>
        <v>NA</v>
      </c>
      <c r="H23" s="699" t="s">
        <v>199</v>
      </c>
      <c r="I23" s="699" t="s">
        <v>199</v>
      </c>
      <c r="J23" s="699" t="s">
        <v>199</v>
      </c>
      <c r="K23" s="3072" t="s">
        <v>199</v>
      </c>
    </row>
    <row r="24" spans="2:11" ht="18" customHeight="1" x14ac:dyDescent="0.2">
      <c r="B24" s="1240" t="s">
        <v>265</v>
      </c>
      <c r="C24" s="1938">
        <f>IF(SUM(C25:C30)=0,"NO",SUM(C25:C30))</f>
        <v>227642.73552084848</v>
      </c>
      <c r="D24" s="3056" t="s">
        <v>97</v>
      </c>
      <c r="E24" s="615"/>
      <c r="F24" s="615"/>
      <c r="G24" s="615"/>
      <c r="H24" s="1938">
        <f>IF(SUM(H25:H29)=0,"NO",SUM(H25:H29))</f>
        <v>14142.186150274872</v>
      </c>
      <c r="I24" s="1938">
        <f t="shared" ref="I24:K24" si="7">IF(SUM(I25:I30)=0,"NO",SUM(I25:I30))</f>
        <v>0.27264937347377993</v>
      </c>
      <c r="J24" s="1938">
        <f t="shared" si="7"/>
        <v>0.16202614903776927</v>
      </c>
      <c r="K24" s="3044" t="str">
        <f t="shared" si="7"/>
        <v>NO</v>
      </c>
    </row>
    <row r="25" spans="2:11" ht="18" customHeight="1" x14ac:dyDescent="0.2">
      <c r="B25" s="282" t="s">
        <v>243</v>
      </c>
      <c r="C25" s="699">
        <v>34369.184317179665</v>
      </c>
      <c r="D25" s="3056" t="s">
        <v>97</v>
      </c>
      <c r="E25" s="1938">
        <f>IFERROR(H25*1000/$C25,"NA")</f>
        <v>72.933009174806571</v>
      </c>
      <c r="F25" s="1938">
        <f t="shared" ref="F25:G30" si="8">IFERROR(I25*1000000/$C25,"NA")</f>
        <v>1.996780490655655</v>
      </c>
      <c r="G25" s="1938">
        <f t="shared" si="8"/>
        <v>0.96755282458826397</v>
      </c>
      <c r="H25" s="699">
        <v>2506.6480351354826</v>
      </c>
      <c r="I25" s="699">
        <v>6.8627716724292645E-2</v>
      </c>
      <c r="J25" s="699">
        <v>3.3254001364881852E-2</v>
      </c>
      <c r="K25" s="3072" t="s">
        <v>199</v>
      </c>
    </row>
    <row r="26" spans="2:11" ht="18" customHeight="1" x14ac:dyDescent="0.2">
      <c r="B26" s="282" t="s">
        <v>245</v>
      </c>
      <c r="C26" s="699">
        <v>45831.069810085428</v>
      </c>
      <c r="D26" s="3056" t="s">
        <v>97</v>
      </c>
      <c r="E26" s="1938">
        <f t="shared" ref="E26:E30" si="9">IFERROR(H26*1000/$C26,"NA")</f>
        <v>91.10999986286933</v>
      </c>
      <c r="F26" s="1938">
        <f t="shared" si="8"/>
        <v>0.952380952380952</v>
      </c>
      <c r="G26" s="1938">
        <f t="shared" si="8"/>
        <v>0.706095238095238</v>
      </c>
      <c r="H26" s="699">
        <v>4175.6687641120379</v>
      </c>
      <c r="I26" s="699">
        <v>4.3648637914367058E-2</v>
      </c>
      <c r="J26" s="699">
        <v>3.2361100149711747E-2</v>
      </c>
      <c r="K26" s="3072" t="s">
        <v>199</v>
      </c>
    </row>
    <row r="27" spans="2:11" ht="18" customHeight="1" x14ac:dyDescent="0.2">
      <c r="B27" s="282" t="s">
        <v>246</v>
      </c>
      <c r="C27" s="699">
        <v>145100.00000000003</v>
      </c>
      <c r="D27" s="3056" t="s">
        <v>97</v>
      </c>
      <c r="E27" s="1938">
        <f t="shared" si="9"/>
        <v>51.411918339265</v>
      </c>
      <c r="F27" s="1938">
        <f t="shared" si="8"/>
        <v>0.95727272727272716</v>
      </c>
      <c r="G27" s="1938">
        <f t="shared" si="8"/>
        <v>0.57027272727272726</v>
      </c>
      <c r="H27" s="699">
        <v>7459.8693510273524</v>
      </c>
      <c r="I27" s="699">
        <v>0.13890027272727273</v>
      </c>
      <c r="J27" s="699">
        <v>8.2746572727272732E-2</v>
      </c>
      <c r="K27" s="3072" t="s">
        <v>199</v>
      </c>
    </row>
    <row r="28" spans="2:11" ht="18" customHeight="1" x14ac:dyDescent="0.2">
      <c r="B28" s="282" t="s">
        <v>247</v>
      </c>
      <c r="C28" s="699" t="s">
        <v>199</v>
      </c>
      <c r="D28" s="3056" t="s">
        <v>97</v>
      </c>
      <c r="E28" s="1938" t="str">
        <f t="shared" si="9"/>
        <v>NA</v>
      </c>
      <c r="F28" s="1938" t="str">
        <f t="shared" si="8"/>
        <v>NA</v>
      </c>
      <c r="G28" s="1938" t="str">
        <f t="shared" si="8"/>
        <v>NA</v>
      </c>
      <c r="H28" s="699" t="s">
        <v>199</v>
      </c>
      <c r="I28" s="699" t="s">
        <v>199</v>
      </c>
      <c r="J28" s="699" t="s">
        <v>199</v>
      </c>
      <c r="K28" s="3072" t="s">
        <v>199</v>
      </c>
    </row>
    <row r="29" spans="2:11" ht="18" customHeight="1" x14ac:dyDescent="0.2">
      <c r="B29" s="282" t="s">
        <v>248</v>
      </c>
      <c r="C29" s="699" t="s">
        <v>199</v>
      </c>
      <c r="D29" s="3056" t="s">
        <v>97</v>
      </c>
      <c r="E29" s="1938" t="str">
        <f t="shared" si="9"/>
        <v>NA</v>
      </c>
      <c r="F29" s="1938" t="str">
        <f t="shared" si="8"/>
        <v>NA</v>
      </c>
      <c r="G29" s="1938" t="str">
        <f t="shared" si="8"/>
        <v>NA</v>
      </c>
      <c r="H29" s="699" t="s">
        <v>199</v>
      </c>
      <c r="I29" s="699" t="s">
        <v>199</v>
      </c>
      <c r="J29" s="699" t="s">
        <v>199</v>
      </c>
      <c r="K29" s="3072" t="s">
        <v>199</v>
      </c>
    </row>
    <row r="30" spans="2:11" ht="18" customHeight="1" x14ac:dyDescent="0.2">
      <c r="B30" s="282" t="s">
        <v>249</v>
      </c>
      <c r="C30" s="699">
        <v>2342.4813935833604</v>
      </c>
      <c r="D30" s="3056" t="s">
        <v>97</v>
      </c>
      <c r="E30" s="1938">
        <f t="shared" si="9"/>
        <v>93.999999999999986</v>
      </c>
      <c r="F30" s="1938">
        <f t="shared" si="8"/>
        <v>9.1666666666666643</v>
      </c>
      <c r="G30" s="1938">
        <f t="shared" si="8"/>
        <v>5.833333333333333</v>
      </c>
      <c r="H30" s="699">
        <v>220.19325099683584</v>
      </c>
      <c r="I30" s="699">
        <v>2.1472746107847468E-2</v>
      </c>
      <c r="J30" s="699">
        <v>1.3664474795902935E-2</v>
      </c>
      <c r="K30" s="3072" t="s">
        <v>199</v>
      </c>
    </row>
    <row r="31" spans="2:11" ht="18" customHeight="1" x14ac:dyDescent="0.2">
      <c r="B31" s="1240" t="s">
        <v>266</v>
      </c>
      <c r="C31" s="1938">
        <f>IF(SUM(C32:C37)=0,"NO",SUM(C32:C37))</f>
        <v>98791.772972982464</v>
      </c>
      <c r="D31" s="3056" t="s">
        <v>97</v>
      </c>
      <c r="E31" s="615"/>
      <c r="F31" s="615"/>
      <c r="G31" s="615"/>
      <c r="H31" s="1938">
        <f>IF(SUM(H32:H36)=0,"NO",SUM(H32:H36))</f>
        <v>6194.2634957450955</v>
      </c>
      <c r="I31" s="1938">
        <f t="shared" ref="I31:K31" si="10">IF(SUM(I32:I37)=0,"NO",SUM(I32:I37))</f>
        <v>0.24324921594536092</v>
      </c>
      <c r="J31" s="1938">
        <f t="shared" si="10"/>
        <v>7.2232683187622646E-2</v>
      </c>
      <c r="K31" s="3044" t="str">
        <f t="shared" si="10"/>
        <v>NO</v>
      </c>
    </row>
    <row r="32" spans="2:11" ht="18" customHeight="1" x14ac:dyDescent="0.2">
      <c r="B32" s="282" t="s">
        <v>243</v>
      </c>
      <c r="C32" s="699">
        <v>64699.908052557657</v>
      </c>
      <c r="D32" s="3056" t="s">
        <v>97</v>
      </c>
      <c r="E32" s="1938">
        <f>IFERROR(H32*1000/$C32,"NA")</f>
        <v>66.641061748572795</v>
      </c>
      <c r="F32" s="1938">
        <f t="shared" ref="F32:G37" si="11">IFERROR(I32*1000000/$C32,"NA")</f>
        <v>3.2233360798506894</v>
      </c>
      <c r="G32" s="1938">
        <f t="shared" si="11"/>
        <v>0.82828609783868368</v>
      </c>
      <c r="H32" s="699">
        <v>4311.6705676574775</v>
      </c>
      <c r="I32" s="699">
        <v>0.20854954798883124</v>
      </c>
      <c r="J32" s="699">
        <v>5.3590034371374613E-2</v>
      </c>
      <c r="K32" s="3072" t="s">
        <v>199</v>
      </c>
    </row>
    <row r="33" spans="2:11" ht="18" customHeight="1" x14ac:dyDescent="0.2">
      <c r="B33" s="282" t="s">
        <v>245</v>
      </c>
      <c r="C33" s="699">
        <v>2943.4980728028045</v>
      </c>
      <c r="D33" s="3056" t="s">
        <v>97</v>
      </c>
      <c r="E33" s="1938">
        <f t="shared" ref="E33:E37" si="12">IFERROR(H33*1000/$C33,"NA")</f>
        <v>91.094085266077954</v>
      </c>
      <c r="F33" s="1938">
        <f t="shared" si="11"/>
        <v>0.95238095238095244</v>
      </c>
      <c r="G33" s="1938">
        <f t="shared" si="11"/>
        <v>0.66666666666666674</v>
      </c>
      <c r="H33" s="699">
        <v>268.13526442443481</v>
      </c>
      <c r="I33" s="699">
        <v>2.8033314979074332E-3</v>
      </c>
      <c r="J33" s="699">
        <v>1.962332048535203E-3</v>
      </c>
      <c r="K33" s="3072" t="s">
        <v>199</v>
      </c>
    </row>
    <row r="34" spans="2:11" ht="18" customHeight="1" x14ac:dyDescent="0.2">
      <c r="B34" s="282" t="s">
        <v>246</v>
      </c>
      <c r="C34" s="699">
        <v>30733.840901341198</v>
      </c>
      <c r="D34" s="3056" t="s">
        <v>97</v>
      </c>
      <c r="E34" s="1938">
        <f t="shared" si="12"/>
        <v>52.530292873115293</v>
      </c>
      <c r="F34" s="1938">
        <f t="shared" si="11"/>
        <v>0.95524734902252839</v>
      </c>
      <c r="G34" s="1938">
        <f t="shared" si="11"/>
        <v>0.49829859369949819</v>
      </c>
      <c r="H34" s="699">
        <v>1614.457663663183</v>
      </c>
      <c r="I34" s="699">
        <v>2.9358420046286332E-2</v>
      </c>
      <c r="J34" s="699">
        <v>1.5314629700122437E-2</v>
      </c>
      <c r="K34" s="3072" t="s">
        <v>199</v>
      </c>
    </row>
    <row r="35" spans="2:11" ht="18" customHeight="1" x14ac:dyDescent="0.2">
      <c r="B35" s="282" t="s">
        <v>247</v>
      </c>
      <c r="C35" s="699" t="s">
        <v>199</v>
      </c>
      <c r="D35" s="3056" t="s">
        <v>97</v>
      </c>
      <c r="E35" s="1938" t="str">
        <f t="shared" si="12"/>
        <v>NA</v>
      </c>
      <c r="F35" s="1938" t="str">
        <f t="shared" si="11"/>
        <v>NA</v>
      </c>
      <c r="G35" s="1938" t="str">
        <f t="shared" si="11"/>
        <v>NA</v>
      </c>
      <c r="H35" s="699" t="s">
        <v>199</v>
      </c>
      <c r="I35" s="699" t="s">
        <v>199</v>
      </c>
      <c r="J35" s="699" t="s">
        <v>199</v>
      </c>
      <c r="K35" s="3072" t="s">
        <v>199</v>
      </c>
    </row>
    <row r="36" spans="2:11" ht="18" customHeight="1" x14ac:dyDescent="0.2">
      <c r="B36" s="282" t="s">
        <v>248</v>
      </c>
      <c r="C36" s="699" t="s">
        <v>199</v>
      </c>
      <c r="D36" s="3056" t="s">
        <v>97</v>
      </c>
      <c r="E36" s="1938" t="str">
        <f t="shared" si="12"/>
        <v>NA</v>
      </c>
      <c r="F36" s="1938" t="str">
        <f t="shared" si="11"/>
        <v>NA</v>
      </c>
      <c r="G36" s="1938" t="str">
        <f t="shared" si="11"/>
        <v>NA</v>
      </c>
      <c r="H36" s="699" t="s">
        <v>199</v>
      </c>
      <c r="I36" s="699" t="s">
        <v>199</v>
      </c>
      <c r="J36" s="699" t="s">
        <v>199</v>
      </c>
      <c r="K36" s="3072" t="s">
        <v>199</v>
      </c>
    </row>
    <row r="37" spans="2:11" ht="18" customHeight="1" x14ac:dyDescent="0.2">
      <c r="B37" s="282" t="s">
        <v>249</v>
      </c>
      <c r="C37" s="699">
        <v>414.52594628080197</v>
      </c>
      <c r="D37" s="3056" t="s">
        <v>97</v>
      </c>
      <c r="E37" s="1938">
        <f t="shared" si="12"/>
        <v>81.098515670772429</v>
      </c>
      <c r="F37" s="1938">
        <f t="shared" si="11"/>
        <v>6.1224549032612936</v>
      </c>
      <c r="G37" s="1938">
        <f t="shared" si="11"/>
        <v>3.2945755985688514</v>
      </c>
      <c r="H37" s="699">
        <v>33.617438950395389</v>
      </c>
      <c r="I37" s="699">
        <v>2.5379164123359235E-3</v>
      </c>
      <c r="J37" s="699">
        <v>1.3656870675903927E-3</v>
      </c>
      <c r="K37" s="3072" t="s">
        <v>199</v>
      </c>
    </row>
    <row r="38" spans="2:11" ht="18" customHeight="1" x14ac:dyDescent="0.2">
      <c r="B38" s="1240" t="s">
        <v>267</v>
      </c>
      <c r="C38" s="1938">
        <f>IF(SUM(C39:C44)=0,"NO",SUM(C39:C44))</f>
        <v>54323.832533108915</v>
      </c>
      <c r="D38" s="3056" t="s">
        <v>97</v>
      </c>
      <c r="E38" s="615"/>
      <c r="F38" s="615"/>
      <c r="G38" s="615"/>
      <c r="H38" s="1938">
        <f>IF(SUM(H39:H43)=0,"NO",SUM(H39:H43))</f>
        <v>1707.8179514715935</v>
      </c>
      <c r="I38" s="1938">
        <f t="shared" ref="I38:K38" si="13">IF(SUM(I39:I44)=0,"NO",SUM(I39:I44))</f>
        <v>0.26075530406167141</v>
      </c>
      <c r="J38" s="1938">
        <f t="shared" si="13"/>
        <v>0.17301398954984779</v>
      </c>
      <c r="K38" s="3044" t="str">
        <f t="shared" si="13"/>
        <v>NO</v>
      </c>
    </row>
    <row r="39" spans="2:11" ht="18" customHeight="1" x14ac:dyDescent="0.2">
      <c r="B39" s="282" t="s">
        <v>243</v>
      </c>
      <c r="C39" s="699">
        <v>602.45557181742186</v>
      </c>
      <c r="D39" s="3056" t="s">
        <v>97</v>
      </c>
      <c r="E39" s="1938">
        <f>IFERROR(H39*1000/$C39,"NA")</f>
        <v>68.250197426131521</v>
      </c>
      <c r="F39" s="1938">
        <f t="shared" ref="F39:G44" si="14">IFERROR(I39*1000000/$C39,"NA")</f>
        <v>0.55641063360002008</v>
      </c>
      <c r="G39" s="1938">
        <f t="shared" si="14"/>
        <v>0.83130910885452503</v>
      </c>
      <c r="H39" s="699">
        <v>41.117711717012</v>
      </c>
      <c r="I39" s="699">
        <v>3.3521268643079408E-4</v>
      </c>
      <c r="J39" s="699">
        <v>5.0082680453198422E-4</v>
      </c>
      <c r="K39" s="3072" t="s">
        <v>199</v>
      </c>
    </row>
    <row r="40" spans="2:11" ht="18" customHeight="1" x14ac:dyDescent="0.2">
      <c r="B40" s="282" t="s">
        <v>245</v>
      </c>
      <c r="C40" s="699">
        <v>5699.3999999999987</v>
      </c>
      <c r="D40" s="3056" t="s">
        <v>97</v>
      </c>
      <c r="E40" s="1938">
        <f t="shared" ref="E40:E44" si="15">IFERROR(H40*1000/$C40,"NA")</f>
        <v>90</v>
      </c>
      <c r="F40" s="1938">
        <f t="shared" si="14"/>
        <v>0.95238095238095244</v>
      </c>
      <c r="G40" s="1938">
        <f t="shared" si="14"/>
        <v>0.66666666666666663</v>
      </c>
      <c r="H40" s="699">
        <v>512.94599999999991</v>
      </c>
      <c r="I40" s="699">
        <v>5.4279999999999988E-3</v>
      </c>
      <c r="J40" s="699">
        <v>3.7995999999999989E-3</v>
      </c>
      <c r="K40" s="3072" t="s">
        <v>199</v>
      </c>
    </row>
    <row r="41" spans="2:11" ht="18" customHeight="1" x14ac:dyDescent="0.2">
      <c r="B41" s="282" t="s">
        <v>246</v>
      </c>
      <c r="C41" s="699">
        <v>22441.376961291498</v>
      </c>
      <c r="D41" s="3056" t="s">
        <v>97</v>
      </c>
      <c r="E41" s="1938">
        <f t="shared" si="15"/>
        <v>51.411918339265007</v>
      </c>
      <c r="F41" s="1938">
        <f t="shared" si="14"/>
        <v>0.91363636363636369</v>
      </c>
      <c r="G41" s="1938">
        <f t="shared" si="14"/>
        <v>0.86863636363636343</v>
      </c>
      <c r="H41" s="699">
        <v>1153.7542397545815</v>
      </c>
      <c r="I41" s="699">
        <v>2.0503258041907231E-2</v>
      </c>
      <c r="J41" s="699">
        <v>1.9493396078649111E-2</v>
      </c>
      <c r="K41" s="3072" t="s">
        <v>199</v>
      </c>
    </row>
    <row r="42" spans="2:11" ht="18" customHeight="1" x14ac:dyDescent="0.2">
      <c r="B42" s="282" t="s">
        <v>247</v>
      </c>
      <c r="C42" s="699" t="s">
        <v>199</v>
      </c>
      <c r="D42" s="3056" t="s">
        <v>97</v>
      </c>
      <c r="E42" s="1938" t="str">
        <f t="shared" si="15"/>
        <v>NA</v>
      </c>
      <c r="F42" s="1938" t="str">
        <f t="shared" si="14"/>
        <v>NA</v>
      </c>
      <c r="G42" s="1938" t="str">
        <f t="shared" si="14"/>
        <v>NA</v>
      </c>
      <c r="H42" s="699" t="s">
        <v>199</v>
      </c>
      <c r="I42" s="699" t="s">
        <v>199</v>
      </c>
      <c r="J42" s="699" t="s">
        <v>199</v>
      </c>
      <c r="K42" s="3072" t="s">
        <v>199</v>
      </c>
    </row>
    <row r="43" spans="2:11" ht="18" customHeight="1" x14ac:dyDescent="0.2">
      <c r="B43" s="282" t="s">
        <v>248</v>
      </c>
      <c r="C43" s="699" t="s">
        <v>199</v>
      </c>
      <c r="D43" s="3056" t="s">
        <v>97</v>
      </c>
      <c r="E43" s="1938" t="str">
        <f t="shared" si="15"/>
        <v>NA</v>
      </c>
      <c r="F43" s="1938" t="str">
        <f t="shared" si="14"/>
        <v>NA</v>
      </c>
      <c r="G43" s="1938" t="str">
        <f t="shared" si="14"/>
        <v>NA</v>
      </c>
      <c r="H43" s="699" t="s">
        <v>199</v>
      </c>
      <c r="I43" s="699" t="s">
        <v>199</v>
      </c>
      <c r="J43" s="699" t="s">
        <v>199</v>
      </c>
      <c r="K43" s="3072" t="s">
        <v>199</v>
      </c>
    </row>
    <row r="44" spans="2:11" ht="18" customHeight="1" x14ac:dyDescent="0.2">
      <c r="B44" s="282" t="s">
        <v>249</v>
      </c>
      <c r="C44" s="699">
        <v>25580.6</v>
      </c>
      <c r="D44" s="3055" t="s">
        <v>97</v>
      </c>
      <c r="E44" s="1938">
        <f t="shared" si="15"/>
        <v>94</v>
      </c>
      <c r="F44" s="1938">
        <f t="shared" si="14"/>
        <v>9.1666666666666679</v>
      </c>
      <c r="G44" s="1938">
        <f t="shared" si="14"/>
        <v>5.8333333333333348</v>
      </c>
      <c r="H44" s="699">
        <v>2404.5763999999999</v>
      </c>
      <c r="I44" s="699">
        <v>0.23448883333333337</v>
      </c>
      <c r="J44" s="699">
        <v>0.14922016666666668</v>
      </c>
      <c r="K44" s="3072" t="s">
        <v>199</v>
      </c>
    </row>
    <row r="45" spans="2:11" ht="18" customHeight="1" x14ac:dyDescent="0.2">
      <c r="B45" s="1240" t="s">
        <v>268</v>
      </c>
      <c r="C45" s="1938">
        <f>IF(SUM(C46:C51)=0,"NO",SUM(C46:C51))</f>
        <v>144800.13823711892</v>
      </c>
      <c r="D45" s="3055" t="s">
        <v>97</v>
      </c>
      <c r="E45" s="615"/>
      <c r="F45" s="615"/>
      <c r="G45" s="615"/>
      <c r="H45" s="1938">
        <f>IF(SUM(H46:H50)=0,"NO",SUM(H46:H50))</f>
        <v>2999.0193553957861</v>
      </c>
      <c r="I45" s="1938">
        <f t="shared" ref="I45:K45" si="16">IF(SUM(I46:I51)=0,"NO",SUM(I46:I51))</f>
        <v>0.94548216687347364</v>
      </c>
      <c r="J45" s="1938">
        <f t="shared" si="16"/>
        <v>0.61400549502935953</v>
      </c>
      <c r="K45" s="3044" t="str">
        <f t="shared" si="16"/>
        <v>NO</v>
      </c>
    </row>
    <row r="46" spans="2:11" ht="18" customHeight="1" x14ac:dyDescent="0.2">
      <c r="B46" s="282" t="s">
        <v>243</v>
      </c>
      <c r="C46" s="699">
        <v>2966.5290894928553</v>
      </c>
      <c r="D46" s="3055" t="s">
        <v>97</v>
      </c>
      <c r="E46" s="1938">
        <f>IFERROR(H46*1000/$C46,"NA")</f>
        <v>67.928736234468687</v>
      </c>
      <c r="F46" s="1938">
        <f t="shared" ref="F46:G51" si="17">IFERROR(I46*1000000/$C46,"NA")</f>
        <v>2.1412604010287213</v>
      </c>
      <c r="G46" s="1938">
        <f t="shared" si="17"/>
        <v>2.3513210339984632</v>
      </c>
      <c r="H46" s="699">
        <v>201.51257205203871</v>
      </c>
      <c r="I46" s="699">
        <v>6.3521112678308379E-3</v>
      </c>
      <c r="J46" s="699">
        <v>6.9752622460928599E-3</v>
      </c>
      <c r="K46" s="3072" t="s">
        <v>199</v>
      </c>
    </row>
    <row r="47" spans="2:11" ht="18" customHeight="1" x14ac:dyDescent="0.2">
      <c r="B47" s="282" t="s">
        <v>245</v>
      </c>
      <c r="C47" s="699">
        <v>13998.545079681038</v>
      </c>
      <c r="D47" s="3055" t="s">
        <v>97</v>
      </c>
      <c r="E47" s="1938">
        <f t="shared" ref="E47:E51" si="18">IFERROR(H47*1000/$C47,"NA")</f>
        <v>91.001152545322341</v>
      </c>
      <c r="F47" s="1938">
        <f t="shared" si="17"/>
        <v>0.95238095238095233</v>
      </c>
      <c r="G47" s="1938">
        <f t="shared" si="17"/>
        <v>0.67523809523809519</v>
      </c>
      <c r="H47" s="699">
        <v>1273.8837362086256</v>
      </c>
      <c r="I47" s="699">
        <v>1.333194769493432E-2</v>
      </c>
      <c r="J47" s="699">
        <v>9.4523509157084344E-3</v>
      </c>
      <c r="K47" s="3072" t="s">
        <v>199</v>
      </c>
    </row>
    <row r="48" spans="2:11" ht="18" customHeight="1" x14ac:dyDescent="0.2">
      <c r="B48" s="282" t="s">
        <v>246</v>
      </c>
      <c r="C48" s="699">
        <v>29635.599999999999</v>
      </c>
      <c r="D48" s="3055" t="s">
        <v>97</v>
      </c>
      <c r="E48" s="1938">
        <f t="shared" si="18"/>
        <v>51.411918339265014</v>
      </c>
      <c r="F48" s="1938">
        <f t="shared" si="17"/>
        <v>0.91409090909090929</v>
      </c>
      <c r="G48" s="1938">
        <f t="shared" si="17"/>
        <v>0.86459090909090885</v>
      </c>
      <c r="H48" s="699">
        <v>1523.6230471351221</v>
      </c>
      <c r="I48" s="699">
        <v>2.7089632545454552E-2</v>
      </c>
      <c r="J48" s="699">
        <v>2.562267034545454E-2</v>
      </c>
      <c r="K48" s="3072" t="s">
        <v>199</v>
      </c>
    </row>
    <row r="49" spans="2:11" ht="18" customHeight="1" x14ac:dyDescent="0.2">
      <c r="B49" s="282" t="s">
        <v>247</v>
      </c>
      <c r="C49" s="699" t="s">
        <v>199</v>
      </c>
      <c r="D49" s="3055" t="s">
        <v>97</v>
      </c>
      <c r="E49" s="1938" t="str">
        <f t="shared" si="18"/>
        <v>NA</v>
      </c>
      <c r="F49" s="1938" t="str">
        <f t="shared" si="17"/>
        <v>NA</v>
      </c>
      <c r="G49" s="1938" t="str">
        <f t="shared" si="17"/>
        <v>NA</v>
      </c>
      <c r="H49" s="699" t="s">
        <v>199</v>
      </c>
      <c r="I49" s="699" t="s">
        <v>199</v>
      </c>
      <c r="J49" s="699" t="s">
        <v>199</v>
      </c>
      <c r="K49" s="3072" t="s">
        <v>199</v>
      </c>
    </row>
    <row r="50" spans="2:11" ht="18" customHeight="1" x14ac:dyDescent="0.2">
      <c r="B50" s="282" t="s">
        <v>248</v>
      </c>
      <c r="C50" s="699" t="s">
        <v>199</v>
      </c>
      <c r="D50" s="3055" t="s">
        <v>97</v>
      </c>
      <c r="E50" s="1938" t="str">
        <f t="shared" si="18"/>
        <v>NA</v>
      </c>
      <c r="F50" s="1938" t="str">
        <f t="shared" si="17"/>
        <v>NA</v>
      </c>
      <c r="G50" s="1938" t="str">
        <f t="shared" si="17"/>
        <v>NA</v>
      </c>
      <c r="H50" s="699" t="s">
        <v>199</v>
      </c>
      <c r="I50" s="699" t="s">
        <v>199</v>
      </c>
      <c r="J50" s="699" t="s">
        <v>199</v>
      </c>
      <c r="K50" s="3072" t="s">
        <v>199</v>
      </c>
    </row>
    <row r="51" spans="2:11" ht="18" customHeight="1" x14ac:dyDescent="0.2">
      <c r="B51" s="282" t="s">
        <v>249</v>
      </c>
      <c r="C51" s="699">
        <v>98199.464067945039</v>
      </c>
      <c r="D51" s="3055" t="s">
        <v>97</v>
      </c>
      <c r="E51" s="1938">
        <f t="shared" si="18"/>
        <v>94.892335400915115</v>
      </c>
      <c r="F51" s="1938">
        <f t="shared" si="17"/>
        <v>9.1518674149120596</v>
      </c>
      <c r="G51" s="1938">
        <f t="shared" si="17"/>
        <v>5.8244229431472574</v>
      </c>
      <c r="H51" s="699">
        <v>9318.3764805255541</v>
      </c>
      <c r="I51" s="699">
        <v>0.89870847536525389</v>
      </c>
      <c r="J51" s="699">
        <v>0.57195521152210371</v>
      </c>
      <c r="K51" s="3072" t="s">
        <v>199</v>
      </c>
    </row>
    <row r="52" spans="2:11" ht="18" customHeight="1" x14ac:dyDescent="0.2">
      <c r="B52" s="1240" t="s">
        <v>269</v>
      </c>
      <c r="C52" s="3073">
        <f>IF(SUM(C53:C58)=0,"NO",SUM(C53:C58))</f>
        <v>106733.52063038695</v>
      </c>
      <c r="D52" s="3055" t="s">
        <v>97</v>
      </c>
      <c r="E52" s="615"/>
      <c r="F52" s="615"/>
      <c r="G52" s="615"/>
      <c r="H52" s="1938">
        <f>IF(SUM(H53:H57)=0,"NO",SUM(H53:H57))</f>
        <v>6773.021815868271</v>
      </c>
      <c r="I52" s="1938">
        <f t="shared" ref="I52:K52" si="19">IF(SUM(I53:I58)=0,"NO",SUM(I53:I58))</f>
        <v>0.29387967260961428</v>
      </c>
      <c r="J52" s="1938">
        <f t="shared" si="19"/>
        <v>5.4842683789692419E-2</v>
      </c>
      <c r="K52" s="3044" t="str">
        <f t="shared" si="19"/>
        <v>NO</v>
      </c>
    </row>
    <row r="53" spans="2:11" ht="18" customHeight="1" x14ac:dyDescent="0.2">
      <c r="B53" s="282" t="s">
        <v>243</v>
      </c>
      <c r="C53" s="2173">
        <v>9241.8773061383399</v>
      </c>
      <c r="D53" s="3055" t="s">
        <v>97</v>
      </c>
      <c r="E53" s="1938">
        <f>IFERROR(H53*1000/$C53,"NA")</f>
        <v>65.283690464116248</v>
      </c>
      <c r="F53" s="1938">
        <f t="shared" ref="F53:G58" si="20">IFERROR(I53*1000000/$C53,"NA")</f>
        <v>20.525210740110801</v>
      </c>
      <c r="G53" s="1938">
        <f t="shared" si="20"/>
        <v>1.6710696671076106</v>
      </c>
      <c r="H53" s="699">
        <v>603.34385736127592</v>
      </c>
      <c r="I53" s="699">
        <v>0.18969147934273692</v>
      </c>
      <c r="J53" s="699">
        <v>1.5443820833417976E-2</v>
      </c>
      <c r="K53" s="3072" t="s">
        <v>199</v>
      </c>
    </row>
    <row r="54" spans="2:11" ht="18" customHeight="1" x14ac:dyDescent="0.2">
      <c r="B54" s="282" t="s">
        <v>245</v>
      </c>
      <c r="C54" s="699">
        <v>32117.420253520464</v>
      </c>
      <c r="D54" s="3055" t="s">
        <v>97</v>
      </c>
      <c r="E54" s="1938">
        <f t="shared" ref="E54:E58" si="21">IFERROR(H54*1000/$C54,"NA")</f>
        <v>89.148826037499106</v>
      </c>
      <c r="F54" s="1938">
        <f t="shared" si="20"/>
        <v>0.94168428140108329</v>
      </c>
      <c r="G54" s="1938">
        <f t="shared" si="20"/>
        <v>0.80646748402722956</v>
      </c>
      <c r="H54" s="699">
        <v>2863.2303109543464</v>
      </c>
      <c r="I54" s="699">
        <v>3.0244469811893018E-2</v>
      </c>
      <c r="J54" s="699">
        <v>2.5901655105301832E-2</v>
      </c>
      <c r="K54" s="3072" t="s">
        <v>199</v>
      </c>
    </row>
    <row r="55" spans="2:11" ht="18" customHeight="1" x14ac:dyDescent="0.2">
      <c r="B55" s="282" t="s">
        <v>246</v>
      </c>
      <c r="C55" s="699">
        <v>64312.862743878664</v>
      </c>
      <c r="D55" s="3055" t="s">
        <v>97</v>
      </c>
      <c r="E55" s="1938">
        <f t="shared" si="21"/>
        <v>51.411918339265007</v>
      </c>
      <c r="F55" s="1938">
        <f t="shared" si="20"/>
        <v>0.99847191348425524</v>
      </c>
      <c r="G55" s="1938">
        <f t="shared" si="20"/>
        <v>0.11359996999013018</v>
      </c>
      <c r="H55" s="699">
        <v>3306.4476475526485</v>
      </c>
      <c r="I55" s="699">
        <v>6.4214587125530798E-2</v>
      </c>
      <c r="J55" s="699">
        <v>7.3059392776839774E-3</v>
      </c>
      <c r="K55" s="3072" t="s">
        <v>199</v>
      </c>
    </row>
    <row r="56" spans="2:11" ht="18" customHeight="1" x14ac:dyDescent="0.2">
      <c r="B56" s="282" t="s">
        <v>247</v>
      </c>
      <c r="C56" s="699" t="s">
        <v>199</v>
      </c>
      <c r="D56" s="3055" t="s">
        <v>97</v>
      </c>
      <c r="E56" s="1938" t="str">
        <f t="shared" si="21"/>
        <v>NA</v>
      </c>
      <c r="F56" s="1938" t="str">
        <f t="shared" si="20"/>
        <v>NA</v>
      </c>
      <c r="G56" s="1938" t="str">
        <f t="shared" si="20"/>
        <v>NA</v>
      </c>
      <c r="H56" s="699" t="s">
        <v>199</v>
      </c>
      <c r="I56" s="699" t="s">
        <v>199</v>
      </c>
      <c r="J56" s="699" t="s">
        <v>199</v>
      </c>
      <c r="K56" s="3072" t="s">
        <v>199</v>
      </c>
    </row>
    <row r="57" spans="2:11" ht="18" customHeight="1" x14ac:dyDescent="0.2">
      <c r="B57" s="282" t="s">
        <v>248</v>
      </c>
      <c r="C57" s="699" t="s">
        <v>199</v>
      </c>
      <c r="D57" s="3055" t="s">
        <v>97</v>
      </c>
      <c r="E57" s="1938" t="str">
        <f t="shared" si="21"/>
        <v>NA</v>
      </c>
      <c r="F57" s="1938" t="str">
        <f t="shared" si="20"/>
        <v>NA</v>
      </c>
      <c r="G57" s="1938" t="str">
        <f t="shared" si="20"/>
        <v>NA</v>
      </c>
      <c r="H57" s="699" t="s">
        <v>199</v>
      </c>
      <c r="I57" s="699" t="s">
        <v>199</v>
      </c>
      <c r="J57" s="699" t="s">
        <v>199</v>
      </c>
      <c r="K57" s="3072" t="s">
        <v>199</v>
      </c>
    </row>
    <row r="58" spans="2:11" ht="18" customHeight="1" x14ac:dyDescent="0.2">
      <c r="B58" s="282" t="s">
        <v>249</v>
      </c>
      <c r="C58" s="2215">
        <v>1061.3603268494803</v>
      </c>
      <c r="D58" s="3055" t="s">
        <v>97</v>
      </c>
      <c r="E58" s="3074">
        <f t="shared" si="21"/>
        <v>93.999999999999986</v>
      </c>
      <c r="F58" s="3074">
        <f t="shared" si="20"/>
        <v>9.1666666666666661</v>
      </c>
      <c r="G58" s="3074">
        <f t="shared" si="20"/>
        <v>5.8333333333333321</v>
      </c>
      <c r="H58" s="2215">
        <v>99.767870723851146</v>
      </c>
      <c r="I58" s="699">
        <v>9.7291363294535697E-3</v>
      </c>
      <c r="J58" s="699">
        <v>6.1912685732886342E-3</v>
      </c>
      <c r="K58" s="3072" t="s">
        <v>199</v>
      </c>
    </row>
    <row r="59" spans="2:11" ht="18" customHeight="1" x14ac:dyDescent="0.2">
      <c r="B59" s="1240" t="s">
        <v>270</v>
      </c>
      <c r="C59" s="3073">
        <f>IF(SUM(C60:C65)=0,"NO",SUM(C60:C65))</f>
        <v>93177.073721720604</v>
      </c>
      <c r="D59" s="4224" t="s">
        <v>97</v>
      </c>
      <c r="E59" s="4225"/>
      <c r="F59" s="4225"/>
      <c r="G59" s="4225"/>
      <c r="H59" s="1938">
        <f>IF(SUM(H60:H64)=0,"NO",SUM(H60:H64))</f>
        <v>6173.2282257650932</v>
      </c>
      <c r="I59" s="1938">
        <f t="shared" ref="I59:K59" si="22">IF(SUM(I60:I65)=0,"NO",SUM(I60:I65))</f>
        <v>0.32528779892845716</v>
      </c>
      <c r="J59" s="1938">
        <f t="shared" si="22"/>
        <v>0.26433125964766196</v>
      </c>
      <c r="K59" s="3044" t="str">
        <f t="shared" si="22"/>
        <v>NO</v>
      </c>
    </row>
    <row r="60" spans="2:11" ht="18" customHeight="1" x14ac:dyDescent="0.2">
      <c r="B60" s="282" t="s">
        <v>243</v>
      </c>
      <c r="C60" s="4223">
        <f>IF(SUM(C68,C75,C82,C89,C96,C103,C110,C111,C111,C112,C113,C120)=0,"NO",SUM(C68,C75,C82,C89,C96,C103,C110,C111,C111,C112,C113,C120))</f>
        <v>72589.560122084178</v>
      </c>
      <c r="D60" s="4224" t="s">
        <v>97</v>
      </c>
      <c r="E60" s="3074">
        <f t="shared" ref="E60:E65" si="23">IFERROR(H60*1000/$C60,"NA")</f>
        <v>69.498509723205586</v>
      </c>
      <c r="F60" s="3074">
        <f t="shared" ref="F60:F65" si="24">IFERROR(I60*1000000/$C60,"NA")</f>
        <v>4.1844114554294149</v>
      </c>
      <c r="G60" s="3074">
        <f t="shared" ref="G60:G65" si="25">IFERROR(J60*1000000/$C60,"NA")</f>
        <v>3.4021413173224526</v>
      </c>
      <c r="H60" s="3074">
        <f>IF(SUM(H68,H75,H82,H89,H96,H103,H110,H111,H111,H112,H113,H120)=0,"NO",SUM(H68,H75,H82,H89,H96,H103,H110,H111,H111,H112,H113,H120))</f>
        <v>5044.8662499478842</v>
      </c>
      <c r="I60" s="3074">
        <f>IF(SUM(I68,I75,I82,I89,I96,I103,I110,I111,I111,I112,I113,I120)=0,"NO",SUM(I68,I75,I82,I89,I96,I103,I110,I111,I111,I112,I113,I120))</f>
        <v>0.30374458691943129</v>
      </c>
      <c r="J60" s="3074">
        <f>IF(SUM(J68,J75,J82,J89,J96,J103,J110,J111,J111,J112,J113,J120)=0,"NO",SUM(J68,J75,J82,J89,J96,J103,J110,J111,J111,J112,J113,J120))</f>
        <v>0.24695994169760482</v>
      </c>
      <c r="K60" s="3044" t="str">
        <f>IF(SUM(K68,K75,K82,K89,K96,K103,K110,K111,K111,K112,K113,K120)=0,"NO",SUM(K68,K75,K82,K89,K96,K103,K110,K111,K111,K112,K113,K120))</f>
        <v>NO</v>
      </c>
    </row>
    <row r="61" spans="2:11" ht="18" customHeight="1" x14ac:dyDescent="0.2">
      <c r="B61" s="282" t="s">
        <v>245</v>
      </c>
      <c r="C61" s="4223">
        <f>IF(SUM(C69,C76,C83,C90,C97,C104,C121)=0,"NO",SUM(C69,C76,C83,C90,C97,C104,C121))</f>
        <v>1660.9600936703291</v>
      </c>
      <c r="D61" s="4224" t="s">
        <v>97</v>
      </c>
      <c r="E61" s="3074">
        <f t="shared" si="23"/>
        <v>93.507094551290052</v>
      </c>
      <c r="F61" s="3074">
        <f t="shared" si="24"/>
        <v>0.95238095238095244</v>
      </c>
      <c r="G61" s="3074">
        <f t="shared" si="25"/>
        <v>0.6804367937248057</v>
      </c>
      <c r="H61" s="3074">
        <f>IF(SUM(H69,H76,H83,H90,H97,H104,H121)=0,"NO",SUM(H69,H76,H83,H90,H97,H104,H121))</f>
        <v>155.31155252475105</v>
      </c>
      <c r="I61" s="3074">
        <f>IF(SUM(I69,I76,I83,I90,I97,I104,I121)=0,"NO",SUM(I69,I76,I83,I90,I97,I104,I121))</f>
        <v>1.5818667558765039E-3</v>
      </c>
      <c r="J61" s="3074">
        <f>IF(SUM(J69,J76,J83,J90,J97,J104,J121)=0,"NO",SUM(J69,J76,J83,J90,J97,J104,J121))</f>
        <v>1.1301783606418917E-3</v>
      </c>
      <c r="K61" s="3044" t="str">
        <f>IF(SUM(K69,K76,K83,K90,K97,K104,K121)=0,"NO",SUM(K69,K76,K83,K90,K97,K104,K121))</f>
        <v>NO</v>
      </c>
    </row>
    <row r="62" spans="2:11" ht="18" customHeight="1" x14ac:dyDescent="0.2">
      <c r="B62" s="282" t="s">
        <v>246</v>
      </c>
      <c r="C62" s="4223">
        <f>IF(SUM(C70,C77,C84,C91,C98,C105,C115,C122)=0,"NO",SUM(C70,C77,C84,C91,C98,C105,C115,C122))</f>
        <v>18926.553505966083</v>
      </c>
      <c r="D62" s="4224" t="s">
        <v>97</v>
      </c>
      <c r="E62" s="3074">
        <f t="shared" si="23"/>
        <v>51.411918339265</v>
      </c>
      <c r="F62" s="3074">
        <f t="shared" si="24"/>
        <v>1.0546740718988847</v>
      </c>
      <c r="G62" s="3074">
        <f t="shared" si="25"/>
        <v>0.85811395002770485</v>
      </c>
      <c r="H62" s="3074">
        <f t="shared" ref="H62:K63" si="26">IF(SUM(H70,H77,H84,H91,H98,H105,H115,H122)=0,"NO",SUM(H70,H77,H84,H91,H98,H105,H115,H122))</f>
        <v>973.05042329245794</v>
      </c>
      <c r="I62" s="3074">
        <f t="shared" si="26"/>
        <v>1.9961345253149361E-2</v>
      </c>
      <c r="J62" s="3074">
        <f t="shared" si="26"/>
        <v>1.6241139589415261E-2</v>
      </c>
      <c r="K62" s="3044" t="str">
        <f t="shared" si="26"/>
        <v>NO</v>
      </c>
    </row>
    <row r="63" spans="2:11" ht="18" customHeight="1" x14ac:dyDescent="0.2">
      <c r="B63" s="282" t="s">
        <v>247</v>
      </c>
      <c r="C63" s="4223" t="str">
        <f>IF(SUM(C71,C78,C85,C92,C99,C106,C116,C123)=0,"NO",SUM(C71,C78,C85,C92,C99,C106,C116,C123))</f>
        <v>NO</v>
      </c>
      <c r="D63" s="4224" t="s">
        <v>97</v>
      </c>
      <c r="E63" s="3074" t="str">
        <f t="shared" si="23"/>
        <v>NA</v>
      </c>
      <c r="F63" s="3074" t="str">
        <f t="shared" si="24"/>
        <v>NA</v>
      </c>
      <c r="G63" s="3074" t="str">
        <f t="shared" si="25"/>
        <v>NA</v>
      </c>
      <c r="H63" s="3074" t="str">
        <f t="shared" si="26"/>
        <v>NO</v>
      </c>
      <c r="I63" s="3074" t="str">
        <f t="shared" si="26"/>
        <v>NO</v>
      </c>
      <c r="J63" s="3074" t="str">
        <f t="shared" si="26"/>
        <v>NO</v>
      </c>
      <c r="K63" s="3044" t="str">
        <f t="shared" si="26"/>
        <v>NO</v>
      </c>
    </row>
    <row r="64" spans="2:11" ht="18" customHeight="1" x14ac:dyDescent="0.2">
      <c r="B64" s="282" t="s">
        <v>248</v>
      </c>
      <c r="C64" s="4223" t="str">
        <f>IF(SUM(C72,C79,C86,C93,C100,C107,C124)=0,"NO",SUM(C72,C79,C86,C93,C100,C107,C124))</f>
        <v>NO</v>
      </c>
      <c r="D64" s="4224" t="s">
        <v>97</v>
      </c>
      <c r="E64" s="3074" t="str">
        <f t="shared" si="23"/>
        <v>NA</v>
      </c>
      <c r="F64" s="3074" t="str">
        <f t="shared" si="24"/>
        <v>NA</v>
      </c>
      <c r="G64" s="3074" t="str">
        <f t="shared" si="25"/>
        <v>NA</v>
      </c>
      <c r="H64" s="3074" t="str">
        <f>IF(SUM(H72,H79,H86,H93,H100,H107,H124)=0,"NO",SUM(H72,H79,H86,H93,H100,H107,H124))</f>
        <v>NO</v>
      </c>
      <c r="I64" s="3074" t="str">
        <f>IF(SUM(I72,I79,I86,I93,I100,I107,I124)=0,"NO",SUM(I72,I79,I86,I93,I100,I107,I124))</f>
        <v>NO</v>
      </c>
      <c r="J64" s="3074" t="str">
        <f>IF(SUM(J72,J79,J86,J93,J100,J107,J124)=0,"NO",SUM(J72,J79,J86,J93,J100,J107,J124))</f>
        <v>NO</v>
      </c>
      <c r="K64" s="3044" t="str">
        <f>IF(SUM(K72,K79,K86,K93,K100,K107,K124)=0,"NO",SUM(K72,K79,K86,K93,K100,K107,K124))</f>
        <v>NO</v>
      </c>
    </row>
    <row r="65" spans="2:11" ht="18" customHeight="1" x14ac:dyDescent="0.2">
      <c r="B65" s="282" t="s">
        <v>249</v>
      </c>
      <c r="C65" s="4223" t="str">
        <f>IF(SUM(C73,C80,C87,C94,C101,C108,C117,C125)=0,"NO",SUM(C73,C80,C87,C94,C101,C108,C117,C125))</f>
        <v>NO</v>
      </c>
      <c r="D65" s="4224" t="s">
        <v>97</v>
      </c>
      <c r="E65" s="3074" t="str">
        <f t="shared" si="23"/>
        <v>NA</v>
      </c>
      <c r="F65" s="3074" t="str">
        <f t="shared" si="24"/>
        <v>NA</v>
      </c>
      <c r="G65" s="3074" t="str">
        <f t="shared" si="25"/>
        <v>NA</v>
      </c>
      <c r="H65" s="1938" t="str">
        <f>IF(SUM(H73,H80,H87,H94,H101,H108,H117,H125)=0,"NO",SUM(H73,H80,H87,H94,H101,H108,H117,H125))</f>
        <v>NO</v>
      </c>
      <c r="I65" s="1938" t="str">
        <f>IF(SUM(I73,I80,I87,I94,I101,I108,I117,I125)=0,"NO",SUM(I73,I80,I87,I94,I101,I108,I117,I125))</f>
        <v>NO</v>
      </c>
      <c r="J65" s="1938" t="str">
        <f>IF(SUM(J73,J80,J87,J94,J101,J108,J117,J125)=0,"NO",SUM(J73,J80,J87,J94,J101,J108,J117,J125))</f>
        <v>NO</v>
      </c>
      <c r="K65" s="3044" t="str">
        <f>IF(SUM(K73,K80,K87,K94,K101,K108,K117,K125)=0,"NO",SUM(K73,K80,K87,K94,K101,K108,K117,K125))</f>
        <v>NO</v>
      </c>
    </row>
    <row r="66" spans="2:11" ht="18" customHeight="1" x14ac:dyDescent="0.2">
      <c r="B66" s="4221" t="s">
        <v>271</v>
      </c>
      <c r="C66" s="2130"/>
      <c r="D66" s="2311"/>
      <c r="E66" s="2311"/>
      <c r="F66" s="2311"/>
      <c r="G66" s="2311"/>
      <c r="H66" s="2311"/>
      <c r="I66" s="2311"/>
      <c r="J66" s="2311"/>
      <c r="K66" s="4222"/>
    </row>
    <row r="67" spans="2:11" ht="18" customHeight="1" x14ac:dyDescent="0.2">
      <c r="B67" s="1241" t="s">
        <v>272</v>
      </c>
      <c r="C67" s="1938">
        <f>IF(SUM(C68:C73)=0,"NO",SUM(C68:C73))</f>
        <v>6363.2382332874085</v>
      </c>
      <c r="D67" s="3055" t="s">
        <v>97</v>
      </c>
      <c r="E67" s="615"/>
      <c r="F67" s="615"/>
      <c r="G67" s="615"/>
      <c r="H67" s="1938">
        <f>IF(SUM(H68:H72)=0,"NO",SUM(H68:H72))</f>
        <v>349.5541196723741</v>
      </c>
      <c r="I67" s="1938">
        <f t="shared" ref="I67:K67" si="27">IF(SUM(I68:I73)=0,"NO",SUM(I68:I73))</f>
        <v>3.9646268251781386E-2</v>
      </c>
      <c r="J67" s="1938">
        <f t="shared" si="27"/>
        <v>8.4890918729283969E-3</v>
      </c>
      <c r="K67" s="3044" t="str">
        <f t="shared" si="27"/>
        <v>NO</v>
      </c>
    </row>
    <row r="68" spans="2:11" ht="18" customHeight="1" x14ac:dyDescent="0.2">
      <c r="B68" s="158" t="s">
        <v>243</v>
      </c>
      <c r="C68" s="699">
        <v>1563.2382332874088</v>
      </c>
      <c r="D68" s="3055" t="s">
        <v>97</v>
      </c>
      <c r="E68" s="1938">
        <f>IFERROR(H68*1000/$C68,"NA")</f>
        <v>65.746160409451818</v>
      </c>
      <c r="F68" s="1938">
        <f t="shared" ref="F68:G73" si="28">IFERROR(I68*1000000/$C68,"NA")</f>
        <v>22.506018278349615</v>
      </c>
      <c r="G68" s="1938">
        <f t="shared" si="28"/>
        <v>2.9340965281298312</v>
      </c>
      <c r="H68" s="699">
        <v>102.77691164390203</v>
      </c>
      <c r="I68" s="699">
        <v>3.5182268251781383E-2</v>
      </c>
      <c r="J68" s="699">
        <v>4.5866918729283975E-3</v>
      </c>
      <c r="K68" s="3072" t="s">
        <v>199</v>
      </c>
    </row>
    <row r="69" spans="2:11" ht="18" customHeight="1" x14ac:dyDescent="0.2">
      <c r="B69" s="158" t="s">
        <v>245</v>
      </c>
      <c r="C69" s="699" t="s">
        <v>199</v>
      </c>
      <c r="D69" s="3055" t="s">
        <v>97</v>
      </c>
      <c r="E69" s="1938" t="str">
        <f t="shared" ref="E69:E73" si="29">IFERROR(H69*1000/$C69,"NA")</f>
        <v>NA</v>
      </c>
      <c r="F69" s="1938" t="str">
        <f t="shared" si="28"/>
        <v>NA</v>
      </c>
      <c r="G69" s="1938" t="str">
        <f t="shared" si="28"/>
        <v>NA</v>
      </c>
      <c r="H69" s="699" t="s">
        <v>199</v>
      </c>
      <c r="I69" s="699" t="s">
        <v>199</v>
      </c>
      <c r="J69" s="699" t="s">
        <v>199</v>
      </c>
      <c r="K69" s="3072" t="s">
        <v>199</v>
      </c>
    </row>
    <row r="70" spans="2:11" ht="18" customHeight="1" x14ac:dyDescent="0.2">
      <c r="B70" s="158" t="s">
        <v>246</v>
      </c>
      <c r="C70" s="699">
        <v>4800</v>
      </c>
      <c r="D70" s="3055" t="s">
        <v>97</v>
      </c>
      <c r="E70" s="1938">
        <f t="shared" si="29"/>
        <v>51.411918339265014</v>
      </c>
      <c r="F70" s="1938">
        <f t="shared" si="28"/>
        <v>0.93</v>
      </c>
      <c r="G70" s="1938">
        <f t="shared" si="28"/>
        <v>0.81300000000000006</v>
      </c>
      <c r="H70" s="699">
        <v>246.77720802847205</v>
      </c>
      <c r="I70" s="699">
        <v>4.4640000000000001E-3</v>
      </c>
      <c r="J70" s="699">
        <v>3.9023999999999999E-3</v>
      </c>
      <c r="K70" s="3072" t="s">
        <v>199</v>
      </c>
    </row>
    <row r="71" spans="2:11" ht="18" customHeight="1" x14ac:dyDescent="0.2">
      <c r="B71" s="158" t="s">
        <v>247</v>
      </c>
      <c r="C71" s="699" t="s">
        <v>199</v>
      </c>
      <c r="D71" s="3055" t="s">
        <v>97</v>
      </c>
      <c r="E71" s="1938" t="str">
        <f t="shared" si="29"/>
        <v>NA</v>
      </c>
      <c r="F71" s="1938" t="str">
        <f t="shared" si="28"/>
        <v>NA</v>
      </c>
      <c r="G71" s="1938" t="str">
        <f t="shared" si="28"/>
        <v>NA</v>
      </c>
      <c r="H71" s="699" t="s">
        <v>199</v>
      </c>
      <c r="I71" s="699" t="s">
        <v>199</v>
      </c>
      <c r="J71" s="699" t="s">
        <v>199</v>
      </c>
      <c r="K71" s="3072" t="s">
        <v>199</v>
      </c>
    </row>
    <row r="72" spans="2:11" ht="18" customHeight="1" x14ac:dyDescent="0.2">
      <c r="B72" s="158" t="s">
        <v>248</v>
      </c>
      <c r="C72" s="699" t="s">
        <v>199</v>
      </c>
      <c r="D72" s="3055" t="s">
        <v>97</v>
      </c>
      <c r="E72" s="1938" t="str">
        <f t="shared" si="29"/>
        <v>NA</v>
      </c>
      <c r="F72" s="1938" t="str">
        <f t="shared" si="28"/>
        <v>NA</v>
      </c>
      <c r="G72" s="1938" t="str">
        <f t="shared" si="28"/>
        <v>NA</v>
      </c>
      <c r="H72" s="699" t="s">
        <v>199</v>
      </c>
      <c r="I72" s="699" t="s">
        <v>199</v>
      </c>
      <c r="J72" s="699" t="s">
        <v>199</v>
      </c>
      <c r="K72" s="3072" t="s">
        <v>199</v>
      </c>
    </row>
    <row r="73" spans="2:11" ht="18" customHeight="1" x14ac:dyDescent="0.2">
      <c r="B73" s="158" t="s">
        <v>249</v>
      </c>
      <c r="C73" s="699" t="s">
        <v>199</v>
      </c>
      <c r="D73" s="3055" t="s">
        <v>97</v>
      </c>
      <c r="E73" s="1938" t="str">
        <f t="shared" si="29"/>
        <v>NA</v>
      </c>
      <c r="F73" s="1938" t="str">
        <f t="shared" si="28"/>
        <v>NA</v>
      </c>
      <c r="G73" s="1938" t="str">
        <f t="shared" si="28"/>
        <v>NA</v>
      </c>
      <c r="H73" s="699" t="s">
        <v>199</v>
      </c>
      <c r="I73" s="699" t="s">
        <v>199</v>
      </c>
      <c r="J73" s="699" t="s">
        <v>199</v>
      </c>
      <c r="K73" s="3072" t="s">
        <v>199</v>
      </c>
    </row>
    <row r="74" spans="2:11" ht="18" customHeight="1" x14ac:dyDescent="0.2">
      <c r="B74" s="1241" t="s">
        <v>273</v>
      </c>
      <c r="C74" s="1938" t="str">
        <f>IF(SUM(C75:C79)=0,"IE",SUM(C75:C79))</f>
        <v>IE</v>
      </c>
      <c r="D74" s="3056" t="s">
        <v>97</v>
      </c>
      <c r="E74" s="615"/>
      <c r="F74" s="615"/>
      <c r="G74" s="615"/>
      <c r="H74" s="1938" t="str">
        <f>IF(SUM(H75:H79)=0,"IE",SUM(H75:H79))</f>
        <v>IE</v>
      </c>
      <c r="I74" s="1938" t="str">
        <f t="shared" ref="I74:J74" si="30">IF(SUM(I75:I79)=0,"IE",SUM(I75:I79))</f>
        <v>IE</v>
      </c>
      <c r="J74" s="1938" t="str">
        <f t="shared" si="30"/>
        <v>IE</v>
      </c>
      <c r="K74" s="3044" t="str">
        <f>IF(SUM(K75:K79)=0,"NO",SUM(K75:K79))</f>
        <v>NO</v>
      </c>
    </row>
    <row r="75" spans="2:11" ht="18" customHeight="1" x14ac:dyDescent="0.2">
      <c r="B75" s="158" t="s">
        <v>243</v>
      </c>
      <c r="C75" s="699" t="s">
        <v>274</v>
      </c>
      <c r="D75" s="3056" t="s">
        <v>97</v>
      </c>
      <c r="E75" s="1938" t="str">
        <f>IFERROR(H75*1000/$C75,"NA")</f>
        <v>NA</v>
      </c>
      <c r="F75" s="1938" t="str">
        <f t="shared" ref="F75:G80" si="31">IFERROR(I75*1000000/$C75,"NA")</f>
        <v>NA</v>
      </c>
      <c r="G75" s="1938" t="str">
        <f t="shared" si="31"/>
        <v>NA</v>
      </c>
      <c r="H75" s="699" t="s">
        <v>274</v>
      </c>
      <c r="I75" s="699" t="s">
        <v>274</v>
      </c>
      <c r="J75" s="699" t="s">
        <v>274</v>
      </c>
      <c r="K75" s="3072" t="s">
        <v>199</v>
      </c>
    </row>
    <row r="76" spans="2:11" ht="18" customHeight="1" x14ac:dyDescent="0.2">
      <c r="B76" s="158" t="s">
        <v>245</v>
      </c>
      <c r="C76" s="699" t="s">
        <v>274</v>
      </c>
      <c r="D76" s="3056" t="s">
        <v>97</v>
      </c>
      <c r="E76" s="1938" t="str">
        <f t="shared" ref="E76:E80" si="32">IFERROR(H76*1000/$C76,"NA")</f>
        <v>NA</v>
      </c>
      <c r="F76" s="1938" t="str">
        <f t="shared" si="31"/>
        <v>NA</v>
      </c>
      <c r="G76" s="1938" t="str">
        <f t="shared" si="31"/>
        <v>NA</v>
      </c>
      <c r="H76" s="699" t="s">
        <v>274</v>
      </c>
      <c r="I76" s="699" t="s">
        <v>274</v>
      </c>
      <c r="J76" s="699" t="s">
        <v>274</v>
      </c>
      <c r="K76" s="3072" t="s">
        <v>199</v>
      </c>
    </row>
    <row r="77" spans="2:11" ht="18" customHeight="1" x14ac:dyDescent="0.2">
      <c r="B77" s="158" t="s">
        <v>246</v>
      </c>
      <c r="C77" s="699" t="s">
        <v>274</v>
      </c>
      <c r="D77" s="3056" t="s">
        <v>97</v>
      </c>
      <c r="E77" s="1938" t="str">
        <f t="shared" si="32"/>
        <v>NA</v>
      </c>
      <c r="F77" s="1938" t="str">
        <f t="shared" si="31"/>
        <v>NA</v>
      </c>
      <c r="G77" s="1938" t="str">
        <f t="shared" si="31"/>
        <v>NA</v>
      </c>
      <c r="H77" s="699" t="s">
        <v>274</v>
      </c>
      <c r="I77" s="699" t="s">
        <v>274</v>
      </c>
      <c r="J77" s="699" t="s">
        <v>274</v>
      </c>
      <c r="K77" s="3072" t="s">
        <v>199</v>
      </c>
    </row>
    <row r="78" spans="2:11" ht="18" customHeight="1" x14ac:dyDescent="0.2">
      <c r="B78" s="158" t="s">
        <v>247</v>
      </c>
      <c r="C78" s="699" t="s">
        <v>199</v>
      </c>
      <c r="D78" s="3056" t="s">
        <v>97</v>
      </c>
      <c r="E78" s="1938" t="str">
        <f t="shared" si="32"/>
        <v>NA</v>
      </c>
      <c r="F78" s="1938" t="str">
        <f t="shared" si="31"/>
        <v>NA</v>
      </c>
      <c r="G78" s="1938" t="str">
        <f t="shared" si="31"/>
        <v>NA</v>
      </c>
      <c r="H78" s="699" t="s">
        <v>199</v>
      </c>
      <c r="I78" s="699" t="s">
        <v>199</v>
      </c>
      <c r="J78" s="699" t="s">
        <v>199</v>
      </c>
      <c r="K78" s="3072" t="s">
        <v>199</v>
      </c>
    </row>
    <row r="79" spans="2:11" ht="18" customHeight="1" x14ac:dyDescent="0.2">
      <c r="B79" s="158" t="s">
        <v>248</v>
      </c>
      <c r="C79" s="699" t="s">
        <v>199</v>
      </c>
      <c r="D79" s="3056" t="s">
        <v>97</v>
      </c>
      <c r="E79" s="1938" t="str">
        <f t="shared" si="32"/>
        <v>NA</v>
      </c>
      <c r="F79" s="1938" t="str">
        <f t="shared" si="31"/>
        <v>NA</v>
      </c>
      <c r="G79" s="1938" t="str">
        <f t="shared" si="31"/>
        <v>NA</v>
      </c>
      <c r="H79" s="699" t="s">
        <v>199</v>
      </c>
      <c r="I79" s="699" t="s">
        <v>199</v>
      </c>
      <c r="J79" s="699" t="s">
        <v>199</v>
      </c>
      <c r="K79" s="3072" t="s">
        <v>199</v>
      </c>
    </row>
    <row r="80" spans="2:11" ht="18" customHeight="1" x14ac:dyDescent="0.2">
      <c r="B80" s="158" t="s">
        <v>249</v>
      </c>
      <c r="C80" s="699" t="s">
        <v>274</v>
      </c>
      <c r="D80" s="3055" t="s">
        <v>97</v>
      </c>
      <c r="E80" s="1938" t="str">
        <f t="shared" si="32"/>
        <v>NA</v>
      </c>
      <c r="F80" s="1938" t="str">
        <f t="shared" si="31"/>
        <v>NA</v>
      </c>
      <c r="G80" s="1938" t="str">
        <f t="shared" si="31"/>
        <v>NA</v>
      </c>
      <c r="H80" s="699" t="s">
        <v>274</v>
      </c>
      <c r="I80" s="699" t="s">
        <v>274</v>
      </c>
      <c r="J80" s="699" t="s">
        <v>274</v>
      </c>
      <c r="K80" s="3072" t="s">
        <v>199</v>
      </c>
    </row>
    <row r="81" spans="2:11" ht="18" customHeight="1" x14ac:dyDescent="0.2">
      <c r="B81" s="1241" t="s">
        <v>275</v>
      </c>
      <c r="C81" s="1938">
        <f>IF(SUM(C82:C87)=0,"NO",SUM(C82:C87))</f>
        <v>49243.499930285689</v>
      </c>
      <c r="D81" s="3056" t="s">
        <v>97</v>
      </c>
      <c r="E81" s="615"/>
      <c r="F81" s="615"/>
      <c r="G81" s="615"/>
      <c r="H81" s="1938">
        <f>IF(SUM(H82:H86)=0,"NO",SUM(H82:H86))</f>
        <v>3391.8499958029838</v>
      </c>
      <c r="I81" s="1938">
        <f t="shared" ref="I81:K81" si="33">IF(SUM(I82:I87)=0,"NO",SUM(I82:I87))</f>
        <v>0.16385485438971764</v>
      </c>
      <c r="J81" s="1938">
        <f t="shared" si="33"/>
        <v>0.16050296582779025</v>
      </c>
      <c r="K81" s="3044" t="str">
        <f t="shared" si="33"/>
        <v>NO</v>
      </c>
    </row>
    <row r="82" spans="2:11" ht="18" customHeight="1" x14ac:dyDescent="0.2">
      <c r="B82" s="158" t="s">
        <v>243</v>
      </c>
      <c r="C82" s="699">
        <v>46556.186330649281</v>
      </c>
      <c r="D82" s="3056" t="s">
        <v>97</v>
      </c>
      <c r="E82" s="1938">
        <f>IFERROR(H82*1000/$C82,"NA")</f>
        <v>69.580458554204895</v>
      </c>
      <c r="F82" s="1938">
        <f t="shared" ref="F82:G87" si="34">IFERROR(I82*1000000/$C82,"NA")</f>
        <v>3.4109099547998092</v>
      </c>
      <c r="G82" s="1938">
        <f t="shared" si="34"/>
        <v>3.397104046604873</v>
      </c>
      <c r="H82" s="699">
        <v>3239.4007934215829</v>
      </c>
      <c r="I82" s="699">
        <v>0.15879895941272643</v>
      </c>
      <c r="J82" s="699">
        <v>0.15815620897833915</v>
      </c>
      <c r="K82" s="3072" t="s">
        <v>199</v>
      </c>
    </row>
    <row r="83" spans="2:11" ht="18" customHeight="1" x14ac:dyDescent="0.2">
      <c r="B83" s="158" t="s">
        <v>245</v>
      </c>
      <c r="C83" s="699">
        <v>247.07009367032919</v>
      </c>
      <c r="D83" s="3056" t="s">
        <v>97</v>
      </c>
      <c r="E83" s="1938">
        <f t="shared" ref="E83:E87" si="35">IFERROR(H83*1000/$C83,"NA")</f>
        <v>109.24674097046528</v>
      </c>
      <c r="F83" s="1938">
        <f t="shared" si="34"/>
        <v>0.95238095238095233</v>
      </c>
      <c r="G83" s="1938">
        <f t="shared" si="34"/>
        <v>0.75923809523809516</v>
      </c>
      <c r="H83" s="699">
        <v>26.991602524751048</v>
      </c>
      <c r="I83" s="699">
        <v>2.3530485111459922E-4</v>
      </c>
      <c r="J83" s="699">
        <v>1.875850273085585E-4</v>
      </c>
      <c r="K83" s="3072" t="s">
        <v>199</v>
      </c>
    </row>
    <row r="84" spans="2:11" ht="18" customHeight="1" x14ac:dyDescent="0.2">
      <c r="B84" s="158" t="s">
        <v>246</v>
      </c>
      <c r="C84" s="699">
        <v>2440.2435059660816</v>
      </c>
      <c r="D84" s="3056" t="s">
        <v>97</v>
      </c>
      <c r="E84" s="1938">
        <f t="shared" si="35"/>
        <v>51.411918339265</v>
      </c>
      <c r="F84" s="1938">
        <f t="shared" si="34"/>
        <v>1.9754545454545456</v>
      </c>
      <c r="G84" s="1938">
        <f t="shared" si="34"/>
        <v>0.88481818181818173</v>
      </c>
      <c r="H84" s="699">
        <v>125.45759985664991</v>
      </c>
      <c r="I84" s="699">
        <v>4.8205901258766325E-3</v>
      </c>
      <c r="J84" s="699">
        <v>2.1591718221425334E-3</v>
      </c>
      <c r="K84" s="3072" t="s">
        <v>199</v>
      </c>
    </row>
    <row r="85" spans="2:11" ht="18" customHeight="1" x14ac:dyDescent="0.2">
      <c r="B85" s="158" t="s">
        <v>247</v>
      </c>
      <c r="C85" s="699" t="s">
        <v>199</v>
      </c>
      <c r="D85" s="3055" t="s">
        <v>97</v>
      </c>
      <c r="E85" s="1938" t="str">
        <f t="shared" si="35"/>
        <v>NA</v>
      </c>
      <c r="F85" s="1938" t="str">
        <f t="shared" si="34"/>
        <v>NA</v>
      </c>
      <c r="G85" s="1938" t="str">
        <f t="shared" si="34"/>
        <v>NA</v>
      </c>
      <c r="H85" s="699" t="s">
        <v>199</v>
      </c>
      <c r="I85" s="699" t="s">
        <v>199</v>
      </c>
      <c r="J85" s="699" t="s">
        <v>199</v>
      </c>
      <c r="K85" s="3072" t="s">
        <v>199</v>
      </c>
    </row>
    <row r="86" spans="2:11" ht="18" customHeight="1" x14ac:dyDescent="0.2">
      <c r="B86" s="158" t="s">
        <v>248</v>
      </c>
      <c r="C86" s="699" t="s">
        <v>199</v>
      </c>
      <c r="D86" s="3055" t="s">
        <v>97</v>
      </c>
      <c r="E86" s="1938" t="str">
        <f t="shared" si="35"/>
        <v>NA</v>
      </c>
      <c r="F86" s="1938" t="str">
        <f t="shared" si="34"/>
        <v>NA</v>
      </c>
      <c r="G86" s="1938" t="str">
        <f t="shared" si="34"/>
        <v>NA</v>
      </c>
      <c r="H86" s="699" t="s">
        <v>199</v>
      </c>
      <c r="I86" s="699" t="s">
        <v>199</v>
      </c>
      <c r="J86" s="699" t="s">
        <v>199</v>
      </c>
      <c r="K86" s="3072" t="s">
        <v>199</v>
      </c>
    </row>
    <row r="87" spans="2:11" ht="18" customHeight="1" x14ac:dyDescent="0.2">
      <c r="B87" s="158" t="s">
        <v>249</v>
      </c>
      <c r="C87" s="699" t="s">
        <v>199</v>
      </c>
      <c r="D87" s="3055" t="s">
        <v>97</v>
      </c>
      <c r="E87" s="1938" t="str">
        <f t="shared" si="35"/>
        <v>NA</v>
      </c>
      <c r="F87" s="1938" t="str">
        <f t="shared" si="34"/>
        <v>NA</v>
      </c>
      <c r="G87" s="1938" t="str">
        <f t="shared" si="34"/>
        <v>NA</v>
      </c>
      <c r="H87" s="699" t="s">
        <v>199</v>
      </c>
      <c r="I87" s="699" t="s">
        <v>199</v>
      </c>
      <c r="J87" s="699" t="s">
        <v>199</v>
      </c>
      <c r="K87" s="3072" t="s">
        <v>199</v>
      </c>
    </row>
    <row r="88" spans="2:11" ht="18" customHeight="1" x14ac:dyDescent="0.2">
      <c r="B88" s="1241" t="s">
        <v>276</v>
      </c>
      <c r="C88" s="1938" t="str">
        <f>IF(SUM(C89:C93)=0,"IE",SUM(C89:C93))</f>
        <v>IE</v>
      </c>
      <c r="D88" s="3056" t="s">
        <v>97</v>
      </c>
      <c r="E88" s="615"/>
      <c r="F88" s="615"/>
      <c r="G88" s="615"/>
      <c r="H88" s="1938" t="str">
        <f>IF(SUM(H89:H93)=0,"IE",SUM(H89:H93))</f>
        <v>IE</v>
      </c>
      <c r="I88" s="1938" t="str">
        <f t="shared" ref="I88" si="36">IF(SUM(I89:I93)=0,"IE",SUM(I89:I93))</f>
        <v>IE</v>
      </c>
      <c r="J88" s="1938" t="str">
        <f t="shared" ref="J88" si="37">IF(SUM(J89:J93)=0,"IE",SUM(J89:J93))</f>
        <v>IE</v>
      </c>
      <c r="K88" s="3044" t="str">
        <f>IF(SUM(K89:K93)=0,"NO",SUM(K89:K93))</f>
        <v>NO</v>
      </c>
    </row>
    <row r="89" spans="2:11" ht="18" customHeight="1" x14ac:dyDescent="0.2">
      <c r="B89" s="158" t="s">
        <v>243</v>
      </c>
      <c r="C89" s="699" t="s">
        <v>274</v>
      </c>
      <c r="D89" s="3056"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2" t="s">
        <v>199</v>
      </c>
    </row>
    <row r="90" spans="2:11" ht="18" customHeight="1" x14ac:dyDescent="0.2">
      <c r="B90" s="158" t="s">
        <v>277</v>
      </c>
      <c r="C90" s="699" t="s">
        <v>274</v>
      </c>
      <c r="D90" s="3056" t="s">
        <v>97</v>
      </c>
      <c r="E90" s="1938" t="str">
        <f t="shared" ref="E90:E94" si="40">IFERROR(H90*1000/$C90,"NA")</f>
        <v>NA</v>
      </c>
      <c r="F90" s="1938" t="str">
        <f t="shared" si="38"/>
        <v>NA</v>
      </c>
      <c r="G90" s="1938" t="str">
        <f t="shared" si="39"/>
        <v>NA</v>
      </c>
      <c r="H90" s="699" t="s">
        <v>274</v>
      </c>
      <c r="I90" s="699" t="s">
        <v>274</v>
      </c>
      <c r="J90" s="699" t="s">
        <v>274</v>
      </c>
      <c r="K90" s="3072" t="s">
        <v>199</v>
      </c>
    </row>
    <row r="91" spans="2:11" ht="18" customHeight="1" x14ac:dyDescent="0.2">
      <c r="B91" s="158" t="s">
        <v>246</v>
      </c>
      <c r="C91" s="699" t="s">
        <v>274</v>
      </c>
      <c r="D91" s="3056" t="s">
        <v>97</v>
      </c>
      <c r="E91" s="1938" t="str">
        <f t="shared" si="40"/>
        <v>NA</v>
      </c>
      <c r="F91" s="1938" t="str">
        <f t="shared" si="38"/>
        <v>NA</v>
      </c>
      <c r="G91" s="1938" t="str">
        <f t="shared" si="39"/>
        <v>NA</v>
      </c>
      <c r="H91" s="699" t="s">
        <v>274</v>
      </c>
      <c r="I91" s="699" t="s">
        <v>274</v>
      </c>
      <c r="J91" s="699" t="s">
        <v>274</v>
      </c>
      <c r="K91" s="3072" t="s">
        <v>199</v>
      </c>
    </row>
    <row r="92" spans="2:11" ht="18" customHeight="1" x14ac:dyDescent="0.2">
      <c r="B92" s="158" t="s">
        <v>247</v>
      </c>
      <c r="C92" s="699" t="s">
        <v>199</v>
      </c>
      <c r="D92" s="3056" t="s">
        <v>97</v>
      </c>
      <c r="E92" s="1938" t="str">
        <f t="shared" si="40"/>
        <v>NA</v>
      </c>
      <c r="F92" s="1938" t="str">
        <f t="shared" si="38"/>
        <v>NA</v>
      </c>
      <c r="G92" s="1938" t="str">
        <f t="shared" si="39"/>
        <v>NA</v>
      </c>
      <c r="H92" s="699" t="s">
        <v>199</v>
      </c>
      <c r="I92" s="699" t="s">
        <v>199</v>
      </c>
      <c r="J92" s="699" t="s">
        <v>199</v>
      </c>
      <c r="K92" s="3072" t="s">
        <v>199</v>
      </c>
    </row>
    <row r="93" spans="2:11" ht="18" customHeight="1" x14ac:dyDescent="0.2">
      <c r="B93" s="158" t="s">
        <v>248</v>
      </c>
      <c r="C93" s="699" t="s">
        <v>199</v>
      </c>
      <c r="D93" s="3056" t="s">
        <v>97</v>
      </c>
      <c r="E93" s="1938" t="str">
        <f t="shared" si="40"/>
        <v>NA</v>
      </c>
      <c r="F93" s="1938" t="str">
        <f t="shared" si="38"/>
        <v>NA</v>
      </c>
      <c r="G93" s="1938" t="str">
        <f t="shared" si="39"/>
        <v>NA</v>
      </c>
      <c r="H93" s="699" t="s">
        <v>199</v>
      </c>
      <c r="I93" s="699" t="s">
        <v>199</v>
      </c>
      <c r="J93" s="699" t="s">
        <v>199</v>
      </c>
      <c r="K93" s="3072" t="s">
        <v>199</v>
      </c>
    </row>
    <row r="94" spans="2:11" ht="18" customHeight="1" x14ac:dyDescent="0.2">
      <c r="B94" s="158" t="s">
        <v>249</v>
      </c>
      <c r="C94" s="699" t="s">
        <v>274</v>
      </c>
      <c r="D94" s="3055" t="s">
        <v>97</v>
      </c>
      <c r="E94" s="1938" t="str">
        <f t="shared" si="40"/>
        <v>NA</v>
      </c>
      <c r="F94" s="1938" t="str">
        <f t="shared" si="38"/>
        <v>NA</v>
      </c>
      <c r="G94" s="1938" t="str">
        <f t="shared" si="39"/>
        <v>NA</v>
      </c>
      <c r="H94" s="699" t="s">
        <v>274</v>
      </c>
      <c r="I94" s="699" t="s">
        <v>274</v>
      </c>
      <c r="J94" s="699" t="s">
        <v>274</v>
      </c>
      <c r="K94" s="3072" t="s">
        <v>199</v>
      </c>
    </row>
    <row r="95" spans="2:11" ht="18" customHeight="1" x14ac:dyDescent="0.2">
      <c r="B95" s="1241" t="s">
        <v>278</v>
      </c>
      <c r="C95" s="1938">
        <f>IF(SUM(C96:C101)=0,"NO",SUM(C96:C101))</f>
        <v>26036.770502522118</v>
      </c>
      <c r="D95" s="3056" t="s">
        <v>97</v>
      </c>
      <c r="E95" s="615"/>
      <c r="F95" s="615"/>
      <c r="G95" s="615"/>
      <c r="H95" s="1938">
        <f>IF(SUM(H96:H100)=0,"NO",SUM(H96:H100))</f>
        <v>1761.1848546897731</v>
      </c>
      <c r="I95" s="1938">
        <f t="shared" ref="I95:K95" si="41">IF(SUM(I96:I101)=0,"NO",SUM(I96:I101))</f>
        <v>8.7365344535685299E-2</v>
      </c>
      <c r="J95" s="1938">
        <f t="shared" si="41"/>
        <v>8.4976072991817017E-2</v>
      </c>
      <c r="K95" s="3044" t="str">
        <f t="shared" si="41"/>
        <v>NO</v>
      </c>
    </row>
    <row r="96" spans="2:11" ht="18" customHeight="1" x14ac:dyDescent="0.2">
      <c r="B96" s="158" t="s">
        <v>243</v>
      </c>
      <c r="C96" s="699">
        <v>22904.050502522117</v>
      </c>
      <c r="D96" s="3056" t="s">
        <v>97</v>
      </c>
      <c r="E96" s="1938">
        <f>IFERROR(H96*1000/$C96,"NA")</f>
        <v>69.862128084890074</v>
      </c>
      <c r="F96" s="1938">
        <f t="shared" ref="F96:G101" si="42">IFERROR(I96*1000000/$C96,"NA")</f>
        <v>3.690064220459663</v>
      </c>
      <c r="G96" s="1938">
        <f t="shared" si="42"/>
        <v>3.5857476698301061</v>
      </c>
      <c r="H96" s="699">
        <v>1600.1257098699909</v>
      </c>
      <c r="I96" s="699">
        <v>8.4517417262958028E-2</v>
      </c>
      <c r="J96" s="699">
        <v>8.2128145719089746E-2</v>
      </c>
      <c r="K96" s="3072" t="s">
        <v>199</v>
      </c>
    </row>
    <row r="97" spans="2:11" ht="18" customHeight="1" x14ac:dyDescent="0.2">
      <c r="B97" s="158" t="s">
        <v>245</v>
      </c>
      <c r="C97" s="699" t="s">
        <v>199</v>
      </c>
      <c r="D97" s="3056" t="s">
        <v>97</v>
      </c>
      <c r="E97" s="1938" t="str">
        <f t="shared" ref="E97:E101" si="43">IFERROR(H97*1000/$C97,"NA")</f>
        <v>NA</v>
      </c>
      <c r="F97" s="1938" t="str">
        <f t="shared" si="42"/>
        <v>NA</v>
      </c>
      <c r="G97" s="1938" t="str">
        <f t="shared" si="42"/>
        <v>NA</v>
      </c>
      <c r="H97" s="699" t="s">
        <v>199</v>
      </c>
      <c r="I97" s="699" t="s">
        <v>199</v>
      </c>
      <c r="J97" s="699" t="s">
        <v>199</v>
      </c>
      <c r="K97" s="3072" t="s">
        <v>199</v>
      </c>
    </row>
    <row r="98" spans="2:11" ht="18" customHeight="1" x14ac:dyDescent="0.2">
      <c r="B98" s="158" t="s">
        <v>246</v>
      </c>
      <c r="C98" s="699">
        <v>3132.7200000000007</v>
      </c>
      <c r="D98" s="3056" t="s">
        <v>97</v>
      </c>
      <c r="E98" s="1938">
        <f t="shared" si="43"/>
        <v>51.411918339265</v>
      </c>
      <c r="F98" s="1938">
        <f t="shared" si="42"/>
        <v>0.90909090909090906</v>
      </c>
      <c r="G98" s="1938">
        <f t="shared" si="42"/>
        <v>0.90909090909090906</v>
      </c>
      <c r="H98" s="699">
        <v>161.05914481978229</v>
      </c>
      <c r="I98" s="699">
        <v>2.8479272727272732E-3</v>
      </c>
      <c r="J98" s="699">
        <v>2.8479272727272732E-3</v>
      </c>
      <c r="K98" s="3072" t="s">
        <v>199</v>
      </c>
    </row>
    <row r="99" spans="2:11" ht="18" customHeight="1" x14ac:dyDescent="0.2">
      <c r="B99" s="158" t="s">
        <v>247</v>
      </c>
      <c r="C99" s="699" t="s">
        <v>199</v>
      </c>
      <c r="D99" s="3056"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2" t="s">
        <v>199</v>
      </c>
    </row>
    <row r="100" spans="2:11" ht="18" customHeight="1" x14ac:dyDescent="0.2">
      <c r="B100" s="158" t="s">
        <v>248</v>
      </c>
      <c r="C100" s="699" t="s">
        <v>199</v>
      </c>
      <c r="D100" s="3056" t="s">
        <v>97</v>
      </c>
      <c r="E100" s="1938" t="str">
        <f t="shared" si="44"/>
        <v>NA</v>
      </c>
      <c r="F100" s="1938" t="str">
        <f t="shared" si="45"/>
        <v>NA</v>
      </c>
      <c r="G100" s="1938" t="str">
        <f t="shared" si="46"/>
        <v>NA</v>
      </c>
      <c r="H100" s="699" t="s">
        <v>199</v>
      </c>
      <c r="I100" s="699" t="s">
        <v>199</v>
      </c>
      <c r="J100" s="699" t="s">
        <v>199</v>
      </c>
      <c r="K100" s="3072" t="s">
        <v>199</v>
      </c>
    </row>
    <row r="101" spans="2:11" ht="18" customHeight="1" x14ac:dyDescent="0.2">
      <c r="B101" s="158" t="s">
        <v>249</v>
      </c>
      <c r="C101" s="699" t="s">
        <v>199</v>
      </c>
      <c r="D101" s="3055" t="s">
        <v>97</v>
      </c>
      <c r="E101" s="1938" t="str">
        <f t="shared" si="43"/>
        <v>NA</v>
      </c>
      <c r="F101" s="1938" t="str">
        <f t="shared" si="42"/>
        <v>NA</v>
      </c>
      <c r="G101" s="1938" t="str">
        <f t="shared" si="42"/>
        <v>NA</v>
      </c>
      <c r="H101" s="699" t="s">
        <v>199</v>
      </c>
      <c r="I101" s="699" t="s">
        <v>199</v>
      </c>
      <c r="J101" s="699" t="s">
        <v>199</v>
      </c>
      <c r="K101" s="3072" t="s">
        <v>199</v>
      </c>
    </row>
    <row r="102" spans="2:11" ht="18" customHeight="1" x14ac:dyDescent="0.2">
      <c r="B102" s="1241" t="s">
        <v>279</v>
      </c>
      <c r="C102" s="1938">
        <f>IF(SUM(C103:C108)=0,"NO",SUM(C103:C108))</f>
        <v>8105.7900000000009</v>
      </c>
      <c r="D102" s="3055" t="s">
        <v>97</v>
      </c>
      <c r="E102" s="615"/>
      <c r="F102" s="615"/>
      <c r="G102" s="615"/>
      <c r="H102" s="1938">
        <f>IF(SUM(H103:H107)=0,"NO",SUM(H103:H107))</f>
        <v>463.31134012164335</v>
      </c>
      <c r="I102" s="1938">
        <f t="shared" ref="I102:K102" si="47">IF(SUM(I103:I108)=0,"NO",SUM(I103:I108))</f>
        <v>7.3306226424242425E-3</v>
      </c>
      <c r="J102" s="1938">
        <f t="shared" si="47"/>
        <v>6.9394567241558448E-3</v>
      </c>
      <c r="K102" s="3044" t="str">
        <f t="shared" si="47"/>
        <v>NO</v>
      </c>
    </row>
    <row r="103" spans="2:11" ht="18" customHeight="1" x14ac:dyDescent="0.2">
      <c r="B103" s="158" t="s">
        <v>243</v>
      </c>
      <c r="C103" s="699">
        <v>980.17000000000007</v>
      </c>
      <c r="D103" s="3055" t="s">
        <v>97</v>
      </c>
      <c r="E103" s="1938">
        <f>IFERROR(H103*1000/$C103,"NA")</f>
        <v>67.927867614801514</v>
      </c>
      <c r="F103" s="1938">
        <f t="shared" ref="F103:G108" si="48">IFERROR(I103*1000000/$C103,"NA")</f>
        <v>0.78924879494576583</v>
      </c>
      <c r="G103" s="1938">
        <f t="shared" si="48"/>
        <v>1.0792563435082179</v>
      </c>
      <c r="H103" s="699">
        <v>66.580858000000006</v>
      </c>
      <c r="I103" s="699">
        <v>7.7359799134199135E-4</v>
      </c>
      <c r="J103" s="699">
        <v>1.0578546902164502E-3</v>
      </c>
      <c r="K103" s="3072" t="s">
        <v>199</v>
      </c>
    </row>
    <row r="104" spans="2:11" ht="18" customHeight="1" x14ac:dyDescent="0.2">
      <c r="B104" s="158" t="s">
        <v>245</v>
      </c>
      <c r="C104" s="699">
        <v>759.79</v>
      </c>
      <c r="D104" s="3055" t="s">
        <v>97</v>
      </c>
      <c r="E104" s="1938">
        <f t="shared" ref="E104:E108" si="49">IFERROR(H104*1000/$C104,"NA")</f>
        <v>91.408086444938746</v>
      </c>
      <c r="F104" s="1938">
        <f t="shared" si="48"/>
        <v>0.95238095238095244</v>
      </c>
      <c r="G104" s="1938">
        <f t="shared" si="48"/>
        <v>0.66666666666666685</v>
      </c>
      <c r="H104" s="699">
        <v>69.450950000000006</v>
      </c>
      <c r="I104" s="699">
        <v>7.2360952380952381E-4</v>
      </c>
      <c r="J104" s="699">
        <v>5.0652666666666673E-4</v>
      </c>
      <c r="K104" s="3072" t="s">
        <v>199</v>
      </c>
    </row>
    <row r="105" spans="2:11" ht="18" customHeight="1" x14ac:dyDescent="0.2">
      <c r="B105" s="158" t="s">
        <v>246</v>
      </c>
      <c r="C105" s="699">
        <v>6365.8300000000008</v>
      </c>
      <c r="D105" s="3055" t="s">
        <v>97</v>
      </c>
      <c r="E105" s="1938">
        <f t="shared" si="49"/>
        <v>51.411918339265</v>
      </c>
      <c r="F105" s="1938">
        <f t="shared" si="48"/>
        <v>0.91636363636363627</v>
      </c>
      <c r="G105" s="1938">
        <f t="shared" si="48"/>
        <v>0.84436363636363632</v>
      </c>
      <c r="H105" s="699">
        <v>327.27953212164334</v>
      </c>
      <c r="I105" s="699">
        <v>5.8334151272727277E-3</v>
      </c>
      <c r="J105" s="699">
        <v>5.3750753672727278E-3</v>
      </c>
      <c r="K105" s="3072" t="s">
        <v>199</v>
      </c>
    </row>
    <row r="106" spans="2:11" ht="18" customHeight="1" x14ac:dyDescent="0.2">
      <c r="B106" s="158" t="s">
        <v>247</v>
      </c>
      <c r="C106" s="699" t="s">
        <v>199</v>
      </c>
      <c r="D106" s="3056" t="s">
        <v>97</v>
      </c>
      <c r="E106" s="1938" t="str">
        <f t="shared" si="49"/>
        <v>NA</v>
      </c>
      <c r="F106" s="1938" t="str">
        <f t="shared" si="48"/>
        <v>NA</v>
      </c>
      <c r="G106" s="1938" t="str">
        <f t="shared" si="48"/>
        <v>NA</v>
      </c>
      <c r="H106" s="699" t="s">
        <v>199</v>
      </c>
      <c r="I106" s="699" t="s">
        <v>199</v>
      </c>
      <c r="J106" s="699" t="s">
        <v>199</v>
      </c>
      <c r="K106" s="3072" t="s">
        <v>199</v>
      </c>
    </row>
    <row r="107" spans="2:11" ht="18" customHeight="1" x14ac:dyDescent="0.2">
      <c r="B107" s="158" t="s">
        <v>248</v>
      </c>
      <c r="C107" s="699" t="s">
        <v>199</v>
      </c>
      <c r="D107" s="3056" t="s">
        <v>97</v>
      </c>
      <c r="E107" s="1938" t="str">
        <f t="shared" si="49"/>
        <v>NA</v>
      </c>
      <c r="F107" s="1938" t="str">
        <f t="shared" si="48"/>
        <v>NA</v>
      </c>
      <c r="G107" s="1938" t="str">
        <f t="shared" si="48"/>
        <v>NA</v>
      </c>
      <c r="H107" s="699" t="s">
        <v>199</v>
      </c>
      <c r="I107" s="699" t="s">
        <v>199</v>
      </c>
      <c r="J107" s="699" t="s">
        <v>199</v>
      </c>
      <c r="K107" s="3072" t="s">
        <v>199</v>
      </c>
    </row>
    <row r="108" spans="2:11" ht="18" customHeight="1" x14ac:dyDescent="0.2">
      <c r="B108" s="158" t="s">
        <v>249</v>
      </c>
      <c r="C108" s="699" t="s">
        <v>199</v>
      </c>
      <c r="D108" s="3056" t="s">
        <v>97</v>
      </c>
      <c r="E108" s="1938" t="str">
        <f t="shared" si="49"/>
        <v>NA</v>
      </c>
      <c r="F108" s="1938" t="str">
        <f t="shared" si="48"/>
        <v>NA</v>
      </c>
      <c r="G108" s="1938" t="str">
        <f t="shared" si="48"/>
        <v>NA</v>
      </c>
      <c r="H108" s="699" t="s">
        <v>199</v>
      </c>
      <c r="I108" s="699" t="s">
        <v>199</v>
      </c>
      <c r="J108" s="699" t="s">
        <v>199</v>
      </c>
      <c r="K108" s="3072" t="s">
        <v>199</v>
      </c>
    </row>
    <row r="109" spans="2:11" ht="18" customHeight="1" x14ac:dyDescent="0.2">
      <c r="B109" s="1241" t="s">
        <v>280</v>
      </c>
      <c r="C109" s="1938" t="str">
        <f>IF(SUM(C110:C113,C115:C117)=0,"IE",SUM(C110:C113,C115:C117))</f>
        <v>IE</v>
      </c>
      <c r="D109" s="3055" t="s">
        <v>97</v>
      </c>
      <c r="E109" s="615"/>
      <c r="F109" s="615"/>
      <c r="G109" s="615"/>
      <c r="H109" s="1938" t="str">
        <f>IF(SUM(H110:H113,H115:H116)=0,"IE",SUM(H110:H113,H115:H116))</f>
        <v>IE</v>
      </c>
      <c r="I109" s="1938" t="str">
        <f t="shared" ref="I109:J109" si="50">IF(SUM(I110:I113,I115:I116)=0,"IE",SUM(I110:I113,I115:I116))</f>
        <v>IE</v>
      </c>
      <c r="J109" s="1938" t="str">
        <f t="shared" si="50"/>
        <v>IE</v>
      </c>
      <c r="K109" s="3044" t="str">
        <f>IF(SUM(K110:K113,K115:K116)=0,"NO",SUM(K110:K113,K115:K116))</f>
        <v>NO</v>
      </c>
    </row>
    <row r="110" spans="2:11" ht="18" customHeight="1" x14ac:dyDescent="0.2">
      <c r="B110" s="158" t="s">
        <v>281</v>
      </c>
      <c r="C110" s="699" t="s">
        <v>274</v>
      </c>
      <c r="D110" s="3055"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2" t="s">
        <v>199</v>
      </c>
    </row>
    <row r="111" spans="2:11" ht="18" customHeight="1" x14ac:dyDescent="0.2">
      <c r="B111" s="158" t="s">
        <v>282</v>
      </c>
      <c r="C111" s="699" t="s">
        <v>274</v>
      </c>
      <c r="D111" s="3055" t="s">
        <v>97</v>
      </c>
      <c r="E111" s="1938" t="str">
        <f t="shared" si="51"/>
        <v>NA</v>
      </c>
      <c r="F111" s="1938" t="str">
        <f t="shared" si="52"/>
        <v>NA</v>
      </c>
      <c r="G111" s="1938" t="str">
        <f t="shared" si="52"/>
        <v>NA</v>
      </c>
      <c r="H111" s="699" t="s">
        <v>274</v>
      </c>
      <c r="I111" s="699" t="s">
        <v>274</v>
      </c>
      <c r="J111" s="699" t="s">
        <v>274</v>
      </c>
      <c r="K111" s="3072" t="s">
        <v>199</v>
      </c>
    </row>
    <row r="112" spans="2:11" ht="18" customHeight="1" x14ac:dyDescent="0.2">
      <c r="B112" s="158" t="s">
        <v>283</v>
      </c>
      <c r="C112" s="699" t="s">
        <v>274</v>
      </c>
      <c r="D112" s="3055" t="s">
        <v>97</v>
      </c>
      <c r="E112" s="1938" t="str">
        <f t="shared" si="51"/>
        <v>NA</v>
      </c>
      <c r="F112" s="1938" t="str">
        <f t="shared" si="52"/>
        <v>NA</v>
      </c>
      <c r="G112" s="1938" t="str">
        <f t="shared" si="52"/>
        <v>NA</v>
      </c>
      <c r="H112" s="699" t="s">
        <v>274</v>
      </c>
      <c r="I112" s="699" t="s">
        <v>274</v>
      </c>
      <c r="J112" s="699" t="s">
        <v>274</v>
      </c>
      <c r="K112" s="3072" t="s">
        <v>199</v>
      </c>
    </row>
    <row r="113" spans="2:11" ht="18" customHeight="1" x14ac:dyDescent="0.2">
      <c r="B113" s="158" t="s">
        <v>284</v>
      </c>
      <c r="C113" s="1938" t="str">
        <f>C114</f>
        <v>NA</v>
      </c>
      <c r="D113" s="3055" t="s">
        <v>97</v>
      </c>
      <c r="E113" s="615"/>
      <c r="F113" s="615"/>
      <c r="G113" s="615"/>
      <c r="H113" s="1938" t="str">
        <f>H114</f>
        <v>NA</v>
      </c>
      <c r="I113" s="1938" t="str">
        <f t="shared" ref="I113:K113" si="53">I114</f>
        <v>NA</v>
      </c>
      <c r="J113" s="1938" t="str">
        <f t="shared" si="53"/>
        <v>NA</v>
      </c>
      <c r="K113" s="3044" t="str">
        <f t="shared" si="53"/>
        <v>NO</v>
      </c>
    </row>
    <row r="114" spans="2:11" ht="18" customHeight="1" x14ac:dyDescent="0.2">
      <c r="B114" s="3070" t="s">
        <v>205</v>
      </c>
      <c r="C114" s="699" t="s">
        <v>205</v>
      </c>
      <c r="D114" s="3055"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2" t="s">
        <v>199</v>
      </c>
    </row>
    <row r="115" spans="2:11" ht="18" customHeight="1" x14ac:dyDescent="0.2">
      <c r="B115" s="158" t="s">
        <v>246</v>
      </c>
      <c r="C115" s="699" t="s">
        <v>274</v>
      </c>
      <c r="D115" s="3055" t="s">
        <v>97</v>
      </c>
      <c r="E115" s="1938" t="str">
        <f t="shared" si="54"/>
        <v>NA</v>
      </c>
      <c r="F115" s="1938" t="str">
        <f t="shared" si="55"/>
        <v>NA</v>
      </c>
      <c r="G115" s="1938" t="str">
        <f t="shared" si="55"/>
        <v>NA</v>
      </c>
      <c r="H115" s="699" t="s">
        <v>274</v>
      </c>
      <c r="I115" s="699" t="s">
        <v>274</v>
      </c>
      <c r="J115" s="699" t="s">
        <v>274</v>
      </c>
      <c r="K115" s="3072" t="s">
        <v>199</v>
      </c>
    </row>
    <row r="116" spans="2:11" ht="18" customHeight="1" x14ac:dyDescent="0.2">
      <c r="B116" s="158" t="s">
        <v>247</v>
      </c>
      <c r="C116" s="699" t="s">
        <v>274</v>
      </c>
      <c r="D116" s="3055" t="s">
        <v>97</v>
      </c>
      <c r="E116" s="1938" t="str">
        <f t="shared" si="54"/>
        <v>NA</v>
      </c>
      <c r="F116" s="1938" t="str">
        <f t="shared" si="55"/>
        <v>NA</v>
      </c>
      <c r="G116" s="1938" t="str">
        <f t="shared" si="55"/>
        <v>NA</v>
      </c>
      <c r="H116" s="699" t="s">
        <v>274</v>
      </c>
      <c r="I116" s="699" t="s">
        <v>274</v>
      </c>
      <c r="J116" s="699" t="s">
        <v>274</v>
      </c>
      <c r="K116" s="3072" t="s">
        <v>199</v>
      </c>
    </row>
    <row r="117" spans="2:11" ht="18" customHeight="1" x14ac:dyDescent="0.2">
      <c r="B117" s="158" t="s">
        <v>249</v>
      </c>
      <c r="C117" s="699" t="s">
        <v>274</v>
      </c>
      <c r="D117" s="3055" t="s">
        <v>97</v>
      </c>
      <c r="E117" s="1938" t="str">
        <f t="shared" si="54"/>
        <v>NA</v>
      </c>
      <c r="F117" s="1938" t="str">
        <f t="shared" si="55"/>
        <v>NA</v>
      </c>
      <c r="G117" s="1938" t="str">
        <f t="shared" si="55"/>
        <v>NA</v>
      </c>
      <c r="H117" s="699" t="s">
        <v>274</v>
      </c>
      <c r="I117" s="699" t="s">
        <v>274</v>
      </c>
      <c r="J117" s="699" t="s">
        <v>274</v>
      </c>
      <c r="K117" s="3072" t="s">
        <v>199</v>
      </c>
    </row>
    <row r="118" spans="2:11" ht="18" customHeight="1" x14ac:dyDescent="0.2">
      <c r="B118" s="1241" t="s">
        <v>285</v>
      </c>
      <c r="C118" s="1938">
        <f>C119</f>
        <v>3427.7750556253786</v>
      </c>
      <c r="D118" s="3055" t="s">
        <v>97</v>
      </c>
      <c r="E118" s="615"/>
      <c r="F118" s="615"/>
      <c r="G118" s="615"/>
      <c r="H118" s="1938">
        <f>H119</f>
        <v>207.32791547831852</v>
      </c>
      <c r="I118" s="1938">
        <f>I119</f>
        <v>2.709070910884857E-2</v>
      </c>
      <c r="J118" s="1938">
        <f>J119</f>
        <v>3.4236722309704763E-3</v>
      </c>
      <c r="K118" s="3044" t="str">
        <f>K119</f>
        <v>NO</v>
      </c>
    </row>
    <row r="119" spans="2:11" ht="18" customHeight="1" x14ac:dyDescent="0.2">
      <c r="B119" s="3069" t="s">
        <v>286</v>
      </c>
      <c r="C119" s="3077">
        <f>IF(SUM(C120:C125)=0,"NO",SUM(C120:C125))</f>
        <v>3427.7750556253786</v>
      </c>
      <c r="D119" s="3055" t="s">
        <v>97</v>
      </c>
      <c r="E119" s="615"/>
      <c r="F119" s="615"/>
      <c r="G119" s="615"/>
      <c r="H119" s="3077">
        <f>IF(SUM(H120:H124)=0,"NO",SUM(H120:H124))</f>
        <v>207.32791547831852</v>
      </c>
      <c r="I119" s="3077">
        <f t="shared" ref="I119" si="56">IF(SUM(I120:I125)=0,"NO",SUM(I120:I125))</f>
        <v>2.709070910884857E-2</v>
      </c>
      <c r="J119" s="3077">
        <f t="shared" ref="J119" si="57">IF(SUM(J120:J125)=0,"NO",SUM(J120:J125))</f>
        <v>3.4236722309704763E-3</v>
      </c>
      <c r="K119" s="3078" t="str">
        <f t="shared" ref="K119" si="58">IF(SUM(K120:K125)=0,"NO",SUM(K120:K125))</f>
        <v>NO</v>
      </c>
    </row>
    <row r="120" spans="2:11" ht="18" customHeight="1" x14ac:dyDescent="0.2">
      <c r="B120" s="158" t="s">
        <v>243</v>
      </c>
      <c r="C120" s="699">
        <v>585.91505562537907</v>
      </c>
      <c r="D120" s="3055" t="s">
        <v>97</v>
      </c>
      <c r="E120" s="1938">
        <f>IFERROR(H120*1000/$C120,"NA")</f>
        <v>61.411593142972919</v>
      </c>
      <c r="F120" s="1938">
        <f t="shared" ref="F120:G125" si="59">IFERROR(I120*1000000/$C120,"NA")</f>
        <v>41.767733676860033</v>
      </c>
      <c r="G120" s="1938">
        <f t="shared" si="59"/>
        <v>1.7597097516645932</v>
      </c>
      <c r="H120" s="699">
        <v>35.981977012408123</v>
      </c>
      <c r="I120" s="699">
        <v>2.4472344000623463E-2</v>
      </c>
      <c r="J120" s="699">
        <v>1.0310404370310821E-3</v>
      </c>
      <c r="K120" s="3072" t="s">
        <v>199</v>
      </c>
    </row>
    <row r="121" spans="2:11" ht="18" customHeight="1" x14ac:dyDescent="0.2">
      <c r="B121" s="158" t="s">
        <v>245</v>
      </c>
      <c r="C121" s="699">
        <v>654.09999999999991</v>
      </c>
      <c r="D121" s="3055" t="s">
        <v>97</v>
      </c>
      <c r="E121" s="1938">
        <f t="shared" ref="E121:E125" si="60">IFERROR(H121*1000/$C121,"NA")</f>
        <v>90</v>
      </c>
      <c r="F121" s="1938">
        <f t="shared" si="59"/>
        <v>0.95238095238095233</v>
      </c>
      <c r="G121" s="1938">
        <f t="shared" si="59"/>
        <v>0.66666666666666663</v>
      </c>
      <c r="H121" s="699">
        <v>58.868999999999993</v>
      </c>
      <c r="I121" s="699">
        <v>6.2295238095238083E-4</v>
      </c>
      <c r="J121" s="699">
        <v>4.3606666666666657E-4</v>
      </c>
      <c r="K121" s="3072" t="s">
        <v>199</v>
      </c>
    </row>
    <row r="122" spans="2:11" ht="18" customHeight="1" x14ac:dyDescent="0.2">
      <c r="B122" s="158" t="s">
        <v>246</v>
      </c>
      <c r="C122" s="699">
        <v>2187.7599999999998</v>
      </c>
      <c r="D122" s="3055" t="s">
        <v>97</v>
      </c>
      <c r="E122" s="1938">
        <f t="shared" si="60"/>
        <v>51.411918339265014</v>
      </c>
      <c r="F122" s="1938">
        <f t="shared" si="59"/>
        <v>0.91208026806995635</v>
      </c>
      <c r="G122" s="1938">
        <f t="shared" si="59"/>
        <v>0.89432347573441684</v>
      </c>
      <c r="H122" s="699">
        <v>112.47693846591041</v>
      </c>
      <c r="I122" s="699">
        <v>1.9954127272727275E-3</v>
      </c>
      <c r="J122" s="699">
        <v>1.9565651272727275E-3</v>
      </c>
      <c r="K122" s="3072" t="s">
        <v>199</v>
      </c>
    </row>
    <row r="123" spans="2:11" ht="18" customHeight="1" x14ac:dyDescent="0.2">
      <c r="B123" s="158" t="s">
        <v>247</v>
      </c>
      <c r="C123" s="699" t="s">
        <v>199</v>
      </c>
      <c r="D123" s="3055" t="s">
        <v>97</v>
      </c>
      <c r="E123" s="1938" t="str">
        <f t="shared" si="60"/>
        <v>NA</v>
      </c>
      <c r="F123" s="1938" t="str">
        <f t="shared" si="59"/>
        <v>NA</v>
      </c>
      <c r="G123" s="1938" t="str">
        <f t="shared" si="59"/>
        <v>NA</v>
      </c>
      <c r="H123" s="699" t="s">
        <v>199</v>
      </c>
      <c r="I123" s="699" t="s">
        <v>199</v>
      </c>
      <c r="J123" s="699" t="s">
        <v>199</v>
      </c>
      <c r="K123" s="3072" t="s">
        <v>199</v>
      </c>
    </row>
    <row r="124" spans="2:11" ht="18" customHeight="1" x14ac:dyDescent="0.2">
      <c r="B124" s="158" t="s">
        <v>248</v>
      </c>
      <c r="C124" s="699" t="s">
        <v>199</v>
      </c>
      <c r="D124" s="3055" t="s">
        <v>97</v>
      </c>
      <c r="E124" s="1938" t="str">
        <f t="shared" si="60"/>
        <v>NA</v>
      </c>
      <c r="F124" s="1938" t="str">
        <f t="shared" si="59"/>
        <v>NA</v>
      </c>
      <c r="G124" s="1938" t="str">
        <f t="shared" si="59"/>
        <v>NA</v>
      </c>
      <c r="H124" s="699" t="s">
        <v>199</v>
      </c>
      <c r="I124" s="699" t="s">
        <v>199</v>
      </c>
      <c r="J124" s="699" t="s">
        <v>199</v>
      </c>
      <c r="K124" s="3072" t="s">
        <v>199</v>
      </c>
    </row>
    <row r="125" spans="2:11" ht="18" customHeight="1" thickBot="1" x14ac:dyDescent="0.25">
      <c r="B125" s="2216" t="s">
        <v>249</v>
      </c>
      <c r="C125" s="2215" t="s">
        <v>199</v>
      </c>
      <c r="D125" s="3079" t="s">
        <v>97</v>
      </c>
      <c r="E125" s="3074" t="str">
        <f t="shared" si="60"/>
        <v>NA</v>
      </c>
      <c r="F125" s="3074" t="str">
        <f t="shared" si="59"/>
        <v>NA</v>
      </c>
      <c r="G125" s="3074" t="str">
        <f t="shared" si="59"/>
        <v>NA</v>
      </c>
      <c r="H125" s="2215" t="s">
        <v>199</v>
      </c>
      <c r="I125" s="2215" t="s">
        <v>199</v>
      </c>
      <c r="J125" s="2215" t="s">
        <v>199</v>
      </c>
      <c r="K125" s="3080"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2460</v>
      </c>
    </row>
    <row r="2" spans="2:18" ht="15.75" customHeight="1" x14ac:dyDescent="0.2">
      <c r="B2" s="3"/>
      <c r="R2" s="14" t="s">
        <v>2461</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1"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5" t="s">
        <v>1972</v>
      </c>
      <c r="N8" s="2576"/>
      <c r="O8" s="2577"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70" t="s">
        <v>505</v>
      </c>
      <c r="C71" s="2271"/>
      <c r="D71" s="2271"/>
      <c r="E71" s="2271"/>
      <c r="F71" s="2271"/>
      <c r="G71" s="2271"/>
      <c r="H71" s="2271"/>
      <c r="I71" s="2271"/>
      <c r="J71" s="2271"/>
      <c r="K71" s="2271"/>
      <c r="L71" s="2271"/>
      <c r="M71" s="2272"/>
      <c r="N71" s="1612"/>
      <c r="O71" s="1612"/>
      <c r="P71" s="1612"/>
      <c r="Q71" s="1612"/>
      <c r="R71" s="1612"/>
    </row>
    <row r="72" spans="2:18" ht="12" customHeight="1" x14ac:dyDescent="0.2">
      <c r="B72" s="2273"/>
      <c r="C72" s="2269"/>
      <c r="D72" s="2269"/>
      <c r="E72" s="2269"/>
      <c r="F72" s="2269"/>
      <c r="G72" s="2269"/>
      <c r="H72" s="2269"/>
      <c r="I72" s="2269"/>
      <c r="J72" s="2269"/>
      <c r="K72" s="2269"/>
      <c r="L72" s="2269"/>
      <c r="M72" s="2274"/>
      <c r="N72" s="1612"/>
      <c r="O72" s="1612"/>
      <c r="P72" s="1612"/>
      <c r="Q72" s="1612"/>
      <c r="R72" s="1612"/>
    </row>
    <row r="73" spans="2:18" ht="12" customHeight="1" x14ac:dyDescent="0.2">
      <c r="B73" s="2273"/>
      <c r="C73" s="2269"/>
      <c r="D73" s="2269"/>
      <c r="E73" s="2269"/>
      <c r="F73" s="2269"/>
      <c r="G73" s="2269"/>
      <c r="H73" s="2269"/>
      <c r="I73" s="2269"/>
      <c r="J73" s="2269"/>
      <c r="K73" s="2269"/>
      <c r="L73" s="2269"/>
      <c r="M73" s="2274"/>
      <c r="N73" s="1612"/>
      <c r="O73" s="1612"/>
      <c r="P73" s="1612"/>
      <c r="Q73" s="1612"/>
      <c r="R73" s="1612"/>
    </row>
    <row r="74" spans="2:18" ht="12" customHeight="1" x14ac:dyDescent="0.2">
      <c r="B74" s="2273"/>
      <c r="C74" s="2269"/>
      <c r="D74" s="2269"/>
      <c r="E74" s="2269"/>
      <c r="F74" s="2269"/>
      <c r="G74" s="2269"/>
      <c r="H74" s="2269"/>
      <c r="I74" s="2269"/>
      <c r="J74" s="2269"/>
      <c r="K74" s="2269"/>
      <c r="L74" s="2269"/>
      <c r="M74" s="2274"/>
      <c r="N74" s="1612"/>
      <c r="O74" s="1612"/>
      <c r="P74" s="1612"/>
      <c r="Q74" s="1612"/>
      <c r="R74" s="1612"/>
    </row>
    <row r="75" spans="2:18" ht="12" customHeight="1" x14ac:dyDescent="0.2">
      <c r="B75" s="2273"/>
      <c r="C75" s="2269"/>
      <c r="D75" s="2269"/>
      <c r="E75" s="2269"/>
      <c r="F75" s="2269"/>
      <c r="G75" s="2269"/>
      <c r="H75" s="2269"/>
      <c r="I75" s="2269"/>
      <c r="J75" s="2269"/>
      <c r="K75" s="2269"/>
      <c r="L75" s="2269"/>
      <c r="M75" s="2274"/>
      <c r="N75" s="1612"/>
      <c r="O75" s="1612"/>
      <c r="P75" s="1612"/>
      <c r="Q75" s="1612"/>
      <c r="R75" s="1612"/>
    </row>
    <row r="76" spans="2:18" ht="12" customHeight="1" x14ac:dyDescent="0.2">
      <c r="B76" s="2278"/>
      <c r="C76" s="2279"/>
      <c r="D76" s="2279"/>
      <c r="E76" s="2279"/>
      <c r="F76" s="2279"/>
      <c r="G76" s="2279"/>
      <c r="H76" s="2279"/>
      <c r="I76" s="2279"/>
      <c r="J76" s="2279"/>
      <c r="K76" s="2279"/>
      <c r="L76" s="2279"/>
      <c r="M76" s="2280"/>
      <c r="N76" s="1612"/>
      <c r="O76" s="1612"/>
      <c r="P76" s="1612"/>
      <c r="Q76" s="1612"/>
      <c r="R76" s="1612"/>
    </row>
    <row r="77" spans="2:18" ht="12" customHeight="1" x14ac:dyDescent="0.2">
      <c r="B77" s="2275"/>
      <c r="M77" s="2276"/>
      <c r="N77" s="1612"/>
      <c r="O77" s="1612"/>
      <c r="P77" s="1612"/>
      <c r="Q77" s="1612"/>
      <c r="R77" s="1612"/>
    </row>
    <row r="78" spans="2:18" ht="12" customHeight="1" thickBot="1" x14ac:dyDescent="0.25">
      <c r="B78" s="2277"/>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2460</v>
      </c>
    </row>
    <row r="2" spans="2:9" ht="15.75" x14ac:dyDescent="0.2">
      <c r="B2" s="3" t="s">
        <v>162</v>
      </c>
      <c r="I2" s="14" t="s">
        <v>2461</v>
      </c>
    </row>
    <row r="3" spans="2:9" x14ac:dyDescent="0.2">
      <c r="I3" s="14" t="s">
        <v>163</v>
      </c>
    </row>
    <row r="4" spans="2:9" hidden="1" x14ac:dyDescent="0.2">
      <c r="I4" s="2"/>
    </row>
    <row r="5" spans="2:9" hidden="1" x14ac:dyDescent="0.2">
      <c r="I5" s="2"/>
    </row>
    <row r="6" spans="2:9" ht="13.5" thickBot="1" x14ac:dyDescent="0.25">
      <c r="B6" s="2465" t="s">
        <v>62</v>
      </c>
      <c r="I6" s="2"/>
    </row>
    <row r="7" spans="2:9" ht="18" customHeight="1" thickBot="1" x14ac:dyDescent="0.25">
      <c r="B7" s="2565"/>
      <c r="C7" s="686" t="s">
        <v>2028</v>
      </c>
      <c r="D7" s="2564"/>
      <c r="E7" s="2564"/>
      <c r="F7" s="2564"/>
      <c r="G7" s="687"/>
      <c r="H7" s="686" t="s">
        <v>2029</v>
      </c>
      <c r="I7" s="687"/>
    </row>
    <row r="8" spans="2:9" ht="18" customHeight="1" x14ac:dyDescent="0.2">
      <c r="B8" s="2566" t="s">
        <v>2030</v>
      </c>
      <c r="C8" s="2561" t="s">
        <v>597</v>
      </c>
      <c r="D8" s="2562" t="s">
        <v>75</v>
      </c>
      <c r="E8" s="2563" t="s">
        <v>143</v>
      </c>
      <c r="F8" s="2563" t="s">
        <v>2031</v>
      </c>
      <c r="G8" s="2563" t="s">
        <v>2032</v>
      </c>
      <c r="H8" s="688" t="s">
        <v>2033</v>
      </c>
      <c r="I8" s="689" t="s">
        <v>2034</v>
      </c>
    </row>
    <row r="9" spans="2:9" ht="18" customHeight="1" thickBot="1" x14ac:dyDescent="0.25">
      <c r="B9" s="2567"/>
      <c r="C9" s="690" t="s">
        <v>171</v>
      </c>
      <c r="D9" s="690"/>
      <c r="E9" s="690"/>
      <c r="F9" s="690"/>
      <c r="G9" s="690"/>
      <c r="H9" s="691" t="s">
        <v>171</v>
      </c>
      <c r="I9" s="692"/>
    </row>
    <row r="10" spans="2:9" ht="18" customHeight="1" thickTop="1" thickBot="1" x14ac:dyDescent="0.25">
      <c r="B10" s="693" t="s">
        <v>434</v>
      </c>
      <c r="C10" s="694">
        <f>SUM(C11:C16)</f>
        <v>5242.0059224718152</v>
      </c>
      <c r="D10" s="695">
        <f t="shared" ref="D10:F10" si="0">SUM(D11:D16)</f>
        <v>30065.86924529283</v>
      </c>
      <c r="E10" s="695">
        <f t="shared" si="0"/>
        <v>2011.5187374326579</v>
      </c>
      <c r="F10" s="695">
        <f t="shared" si="0"/>
        <v>3215.9752181599524</v>
      </c>
      <c r="G10" s="696" t="s">
        <v>199</v>
      </c>
      <c r="H10" s="697" t="s">
        <v>2035</v>
      </c>
      <c r="I10" s="698" t="s">
        <v>2036</v>
      </c>
    </row>
    <row r="11" spans="2:9" ht="18" customHeight="1" x14ac:dyDescent="0.2">
      <c r="B11" s="1561" t="s">
        <v>1921</v>
      </c>
      <c r="C11" s="3696">
        <f>Table1!D10</f>
        <v>1484.1467133997639</v>
      </c>
      <c r="D11" s="3697">
        <f>Table1!G10</f>
        <v>3169.1880086236638</v>
      </c>
      <c r="E11" s="3697">
        <f>Table1!H10</f>
        <v>694.25055244311727</v>
      </c>
      <c r="F11" s="3697">
        <f>Table1!F10</f>
        <v>2158.8652258263442</v>
      </c>
      <c r="G11" s="3698" t="s">
        <v>199</v>
      </c>
      <c r="H11" s="3699" t="s">
        <v>221</v>
      </c>
      <c r="I11" s="3700" t="s">
        <v>221</v>
      </c>
    </row>
    <row r="12" spans="2:9" ht="18" customHeight="1" x14ac:dyDescent="0.2">
      <c r="B12" s="2419" t="s">
        <v>2037</v>
      </c>
      <c r="C12" s="3149">
        <f>'Table2(I)'!D10</f>
        <v>3.5721409116313096</v>
      </c>
      <c r="D12" s="699">
        <f>'Table2(I)'!L10</f>
        <v>10.825383446352516</v>
      </c>
      <c r="E12" s="699">
        <f>'Table2(I)'!M10</f>
        <v>236.76993726994959</v>
      </c>
      <c r="F12" s="699">
        <f>'Table2(I)'!K10</f>
        <v>40.261420616691055</v>
      </c>
      <c r="G12" s="3125" t="s">
        <v>199</v>
      </c>
      <c r="H12" s="3701" t="s">
        <v>199</v>
      </c>
      <c r="I12" s="2921" t="s">
        <v>199</v>
      </c>
    </row>
    <row r="13" spans="2:9" ht="18" customHeight="1" x14ac:dyDescent="0.2">
      <c r="B13" s="2419" t="s">
        <v>2038</v>
      </c>
      <c r="C13" s="3149">
        <f>Table3!D10</f>
        <v>2428.0258024593377</v>
      </c>
      <c r="D13" s="699">
        <f>Table3!G10</f>
        <v>199.73085384221017</v>
      </c>
      <c r="E13" s="699">
        <f>Table3!H10</f>
        <v>11.650966474128925</v>
      </c>
      <c r="F13" s="699">
        <f>Table3!F10</f>
        <v>11.532718650733093</v>
      </c>
      <c r="G13" s="3702"/>
      <c r="H13" s="3701" t="s">
        <v>221</v>
      </c>
      <c r="I13" s="2921" t="s">
        <v>274</v>
      </c>
    </row>
    <row r="14" spans="2:9" ht="18" customHeight="1" x14ac:dyDescent="0.2">
      <c r="B14" s="2419" t="s">
        <v>2039</v>
      </c>
      <c r="C14" s="3149">
        <f>Table4!D10</f>
        <v>770.39823790037201</v>
      </c>
      <c r="D14" s="699">
        <f>Table4!G10</f>
        <v>26686.124999380601</v>
      </c>
      <c r="E14" s="3125">
        <f>Table4!H10</f>
        <v>808.54679728910628</v>
      </c>
      <c r="F14" s="3125">
        <f>Table4!F10</f>
        <v>1005.3158530661846</v>
      </c>
      <c r="G14" s="3702"/>
      <c r="H14" s="3703" t="s">
        <v>221</v>
      </c>
      <c r="I14" s="2921" t="s">
        <v>221</v>
      </c>
    </row>
    <row r="15" spans="2:9" ht="18" customHeight="1" x14ac:dyDescent="0.2">
      <c r="B15" s="2419" t="s">
        <v>2040</v>
      </c>
      <c r="C15" s="3149">
        <f>Table5!D10</f>
        <v>555.8630278007106</v>
      </c>
      <c r="D15" s="699" t="str">
        <f>Table5!G10</f>
        <v>NO</v>
      </c>
      <c r="E15" s="3125">
        <f>Table5!H10</f>
        <v>260.30048395635589</v>
      </c>
      <c r="F15" s="3125" t="str">
        <f>Table5!F10</f>
        <v>NO</v>
      </c>
      <c r="G15" s="3125" t="s">
        <v>205</v>
      </c>
      <c r="H15" s="3703" t="s">
        <v>221</v>
      </c>
      <c r="I15" s="2921" t="s">
        <v>221</v>
      </c>
    </row>
    <row r="16" spans="2:9" ht="18" customHeight="1" thickBot="1" x14ac:dyDescent="0.25">
      <c r="B16" s="2420" t="s">
        <v>2041</v>
      </c>
      <c r="C16" s="3704" t="s">
        <v>199</v>
      </c>
      <c r="D16" s="1562" t="s">
        <v>199</v>
      </c>
      <c r="E16" s="1563" t="s">
        <v>199</v>
      </c>
      <c r="F16" s="1563" t="s">
        <v>199</v>
      </c>
      <c r="G16" s="1563" t="s">
        <v>199</v>
      </c>
      <c r="H16" s="3705"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2460</v>
      </c>
    </row>
    <row r="2" spans="2:8" ht="15.75" x14ac:dyDescent="0.2">
      <c r="B2" s="3" t="s">
        <v>162</v>
      </c>
      <c r="G2" s="14" t="s">
        <v>2461</v>
      </c>
    </row>
    <row r="3" spans="2:8" x14ac:dyDescent="0.2">
      <c r="B3" s="2465" t="s">
        <v>62</v>
      </c>
      <c r="G3" s="14" t="s">
        <v>163</v>
      </c>
    </row>
    <row r="4" spans="2:8" ht="13.5" thickBot="1" x14ac:dyDescent="0.25">
      <c r="B4" s="2465"/>
      <c r="G4" s="2"/>
    </row>
    <row r="5" spans="2:8" hidden="1" x14ac:dyDescent="0.2">
      <c r="B5" s="2465"/>
      <c r="G5" s="2"/>
    </row>
    <row r="6" spans="2:8" ht="18.75" thickBot="1" x14ac:dyDescent="0.25">
      <c r="B6" s="2481"/>
      <c r="C6" s="535"/>
      <c r="D6" s="2536"/>
      <c r="E6" s="2537"/>
      <c r="F6" s="2538" t="s">
        <v>2043</v>
      </c>
      <c r="G6" s="3691">
        <v>0.95</v>
      </c>
    </row>
    <row r="7" spans="2:8" ht="13.5" thickBot="1" x14ac:dyDescent="0.25">
      <c r="B7" s="535"/>
      <c r="C7" s="535"/>
      <c r="H7" s="605"/>
    </row>
    <row r="8" spans="2:8" ht="28.5" x14ac:dyDescent="0.2">
      <c r="B8" s="1602" t="s">
        <v>2044</v>
      </c>
      <c r="C8" s="1603" t="s">
        <v>2045</v>
      </c>
      <c r="D8" s="1604" t="s">
        <v>2046</v>
      </c>
      <c r="E8" s="1605"/>
      <c r="F8" s="2507" t="s">
        <v>2047</v>
      </c>
      <c r="G8" s="2509" t="s">
        <v>2048</v>
      </c>
    </row>
    <row r="9" spans="2:8" ht="18" customHeight="1" thickBot="1" x14ac:dyDescent="0.25">
      <c r="B9" s="1606"/>
      <c r="C9" s="1607"/>
      <c r="D9" s="1608" t="s">
        <v>2049</v>
      </c>
      <c r="E9" s="1608" t="s">
        <v>2050</v>
      </c>
      <c r="F9" s="2508" t="s">
        <v>117</v>
      </c>
      <c r="G9" s="2510" t="s">
        <v>117</v>
      </c>
      <c r="H9" s="19"/>
    </row>
    <row r="10" spans="2:8" ht="18" customHeight="1" thickTop="1" x14ac:dyDescent="0.25">
      <c r="B10" s="1161" t="s">
        <v>2051</v>
      </c>
      <c r="C10" s="1442" t="s">
        <v>2052</v>
      </c>
      <c r="D10" s="3692" t="s">
        <v>2053</v>
      </c>
      <c r="E10" s="3692" t="s">
        <v>2053</v>
      </c>
      <c r="F10" s="3692" t="s">
        <v>2053</v>
      </c>
      <c r="G10" s="3693" t="s">
        <v>2053</v>
      </c>
    </row>
    <row r="11" spans="2:8" ht="18" customHeight="1" x14ac:dyDescent="0.25">
      <c r="B11" s="1161" t="s">
        <v>2051</v>
      </c>
      <c r="C11" s="1165" t="s">
        <v>2054</v>
      </c>
      <c r="D11" s="3692"/>
      <c r="E11" s="3692"/>
      <c r="F11" s="3692"/>
      <c r="G11" s="3693"/>
    </row>
    <row r="12" spans="2:8" ht="18" customHeight="1" x14ac:dyDescent="0.25">
      <c r="B12" s="1161" t="s">
        <v>2051</v>
      </c>
      <c r="C12" s="1165" t="s">
        <v>2055</v>
      </c>
      <c r="D12" s="3692"/>
      <c r="E12" s="3692"/>
      <c r="F12" s="3692"/>
      <c r="G12" s="3693"/>
    </row>
    <row r="13" spans="2:8" ht="18" customHeight="1" x14ac:dyDescent="0.25">
      <c r="B13" s="1161" t="s">
        <v>2056</v>
      </c>
      <c r="C13" s="1442" t="s">
        <v>2052</v>
      </c>
      <c r="D13" s="3692" t="s">
        <v>2053</v>
      </c>
      <c r="E13" s="3692" t="s">
        <v>2053</v>
      </c>
      <c r="F13" s="3692" t="s">
        <v>2053</v>
      </c>
      <c r="G13" s="3693" t="s">
        <v>2053</v>
      </c>
    </row>
    <row r="14" spans="2:8" ht="18" customHeight="1" x14ac:dyDescent="0.25">
      <c r="B14" s="1161" t="s">
        <v>2056</v>
      </c>
      <c r="C14" s="1165" t="s">
        <v>2054</v>
      </c>
      <c r="D14" s="3692"/>
      <c r="E14" s="3692"/>
      <c r="F14" s="3692"/>
      <c r="G14" s="3693"/>
    </row>
    <row r="15" spans="2:8" ht="18" customHeight="1" x14ac:dyDescent="0.25">
      <c r="B15" s="1161" t="s">
        <v>2056</v>
      </c>
      <c r="C15" s="1165" t="s">
        <v>2055</v>
      </c>
      <c r="D15" s="3692"/>
      <c r="E15" s="3692"/>
      <c r="F15" s="3692"/>
      <c r="G15" s="3693"/>
    </row>
    <row r="16" spans="2:8" ht="18" customHeight="1" x14ac:dyDescent="0.25">
      <c r="B16" s="1161" t="s">
        <v>2057</v>
      </c>
      <c r="C16" s="1442" t="s">
        <v>2052</v>
      </c>
      <c r="D16" s="3692" t="s">
        <v>2053</v>
      </c>
      <c r="E16" s="3692" t="s">
        <v>2053</v>
      </c>
      <c r="F16" s="3692" t="s">
        <v>2053</v>
      </c>
      <c r="G16" s="3693" t="s">
        <v>2053</v>
      </c>
    </row>
    <row r="17" spans="2:7" ht="18" customHeight="1" x14ac:dyDescent="0.25">
      <c r="B17" s="1161" t="s">
        <v>2057</v>
      </c>
      <c r="C17" s="1165" t="s">
        <v>2054</v>
      </c>
      <c r="D17" s="3692"/>
      <c r="E17" s="3692"/>
      <c r="F17" s="3692"/>
      <c r="G17" s="3693"/>
    </row>
    <row r="18" spans="2:7" ht="18" customHeight="1" x14ac:dyDescent="0.25">
      <c r="B18" s="1161" t="s">
        <v>2057</v>
      </c>
      <c r="C18" s="1165" t="s">
        <v>2055</v>
      </c>
      <c r="D18" s="3692"/>
      <c r="E18" s="3692"/>
      <c r="F18" s="3692"/>
      <c r="G18" s="3693"/>
    </row>
    <row r="19" spans="2:7" ht="18" customHeight="1" x14ac:dyDescent="0.25">
      <c r="B19" s="1161" t="s">
        <v>2058</v>
      </c>
      <c r="C19" s="1442" t="s">
        <v>2052</v>
      </c>
      <c r="D19" s="3692"/>
      <c r="E19" s="3692"/>
      <c r="F19" s="3692"/>
      <c r="G19" s="3693"/>
    </row>
    <row r="20" spans="2:7" ht="18" customHeight="1" x14ac:dyDescent="0.25">
      <c r="B20" s="1161" t="s">
        <v>2058</v>
      </c>
      <c r="C20" s="1165" t="s">
        <v>2054</v>
      </c>
      <c r="D20" s="3692"/>
      <c r="E20" s="3692"/>
      <c r="F20" s="3692"/>
      <c r="G20" s="3693"/>
    </row>
    <row r="21" spans="2:7" ht="18" customHeight="1" x14ac:dyDescent="0.25">
      <c r="B21" s="1161" t="s">
        <v>2058</v>
      </c>
      <c r="C21" s="1165" t="s">
        <v>2055</v>
      </c>
      <c r="D21" s="3692"/>
      <c r="E21" s="3692"/>
      <c r="F21" s="3692"/>
      <c r="G21" s="3693"/>
    </row>
    <row r="22" spans="2:7" ht="18" customHeight="1" x14ac:dyDescent="0.25">
      <c r="B22" s="1161" t="s">
        <v>2059</v>
      </c>
      <c r="C22" s="1442" t="s">
        <v>2052</v>
      </c>
      <c r="D22" s="3692"/>
      <c r="E22" s="3692"/>
      <c r="F22" s="3692"/>
      <c r="G22" s="3693"/>
    </row>
    <row r="23" spans="2:7" ht="18" customHeight="1" x14ac:dyDescent="0.25">
      <c r="B23" s="1161" t="s">
        <v>2059</v>
      </c>
      <c r="C23" s="1165" t="s">
        <v>2054</v>
      </c>
      <c r="D23" s="3692"/>
      <c r="E23" s="3692"/>
      <c r="F23" s="3692"/>
      <c r="G23" s="3693"/>
    </row>
    <row r="24" spans="2:7" ht="18" customHeight="1" x14ac:dyDescent="0.25">
      <c r="B24" s="1161" t="s">
        <v>2059</v>
      </c>
      <c r="C24" s="1165" t="s">
        <v>2055</v>
      </c>
      <c r="D24" s="3692"/>
      <c r="E24" s="3692"/>
      <c r="F24" s="3692"/>
      <c r="G24" s="3693"/>
    </row>
    <row r="25" spans="2:7" ht="18" customHeight="1" x14ac:dyDescent="0.25">
      <c r="B25" s="1161" t="s">
        <v>2060</v>
      </c>
      <c r="C25" s="1165" t="s">
        <v>2054</v>
      </c>
      <c r="D25" s="3692"/>
      <c r="E25" s="3692"/>
      <c r="F25" s="3692"/>
      <c r="G25" s="3693"/>
    </row>
    <row r="26" spans="2:7" ht="18" customHeight="1" x14ac:dyDescent="0.25">
      <c r="B26" s="1161" t="s">
        <v>2060</v>
      </c>
      <c r="C26" s="1165" t="s">
        <v>2055</v>
      </c>
      <c r="D26" s="3692"/>
      <c r="E26" s="3692"/>
      <c r="F26" s="3692"/>
      <c r="G26" s="3693"/>
    </row>
    <row r="27" spans="2:7" ht="18" customHeight="1" x14ac:dyDescent="0.25">
      <c r="B27" s="1162" t="s">
        <v>2061</v>
      </c>
      <c r="C27" s="1442" t="s">
        <v>2052</v>
      </c>
      <c r="D27" s="3692" t="s">
        <v>2053</v>
      </c>
      <c r="E27" s="3692" t="s">
        <v>2053</v>
      </c>
      <c r="F27" s="3692" t="s">
        <v>2053</v>
      </c>
      <c r="G27" s="3693" t="s">
        <v>2053</v>
      </c>
    </row>
    <row r="28" spans="2:7" ht="18" customHeight="1" x14ac:dyDescent="0.25">
      <c r="B28" s="1162" t="s">
        <v>2061</v>
      </c>
      <c r="C28" s="1165" t="s">
        <v>2054</v>
      </c>
      <c r="D28" s="3692"/>
      <c r="E28" s="3692"/>
      <c r="F28" s="3692"/>
      <c r="G28" s="3693"/>
    </row>
    <row r="29" spans="2:7" ht="18" customHeight="1" x14ac:dyDescent="0.25">
      <c r="B29" s="1162" t="s">
        <v>2061</v>
      </c>
      <c r="C29" s="1165" t="s">
        <v>2055</v>
      </c>
      <c r="D29" s="3692"/>
      <c r="E29" s="3692"/>
      <c r="F29" s="3692"/>
      <c r="G29" s="3693"/>
    </row>
    <row r="30" spans="2:7" ht="18" customHeight="1" x14ac:dyDescent="0.25">
      <c r="B30" s="1162" t="s">
        <v>2062</v>
      </c>
      <c r="C30" s="1442" t="s">
        <v>2052</v>
      </c>
      <c r="D30" s="3692" t="s">
        <v>2053</v>
      </c>
      <c r="E30" s="3692" t="s">
        <v>2053</v>
      </c>
      <c r="F30" s="3692" t="s">
        <v>2053</v>
      </c>
      <c r="G30" s="3693" t="s">
        <v>2053</v>
      </c>
    </row>
    <row r="31" spans="2:7" ht="18" customHeight="1" x14ac:dyDescent="0.25">
      <c r="B31" s="1162" t="s">
        <v>2062</v>
      </c>
      <c r="C31" s="1165" t="s">
        <v>2054</v>
      </c>
      <c r="D31" s="3692"/>
      <c r="E31" s="3692"/>
      <c r="F31" s="3692"/>
      <c r="G31" s="3693"/>
    </row>
    <row r="32" spans="2:7" ht="18" customHeight="1" x14ac:dyDescent="0.25">
      <c r="B32" s="1162" t="s">
        <v>2062</v>
      </c>
      <c r="C32" s="1165" t="s">
        <v>2055</v>
      </c>
      <c r="D32" s="3692"/>
      <c r="E32" s="3692"/>
      <c r="F32" s="3692"/>
      <c r="G32" s="3693"/>
    </row>
    <row r="33" spans="2:7" ht="18" customHeight="1" x14ac:dyDescent="0.25">
      <c r="B33" s="1162" t="s">
        <v>2063</v>
      </c>
      <c r="C33" s="1442" t="s">
        <v>2052</v>
      </c>
      <c r="D33" s="3692" t="s">
        <v>2053</v>
      </c>
      <c r="E33" s="3692" t="s">
        <v>2053</v>
      </c>
      <c r="F33" s="3692" t="s">
        <v>2053</v>
      </c>
      <c r="G33" s="3693" t="s">
        <v>2053</v>
      </c>
    </row>
    <row r="34" spans="2:7" ht="18" customHeight="1" x14ac:dyDescent="0.25">
      <c r="B34" s="1162" t="s">
        <v>2063</v>
      </c>
      <c r="C34" s="1165" t="s">
        <v>2054</v>
      </c>
      <c r="D34" s="3692"/>
      <c r="E34" s="3692"/>
      <c r="F34" s="3692"/>
      <c r="G34" s="3693"/>
    </row>
    <row r="35" spans="2:7" ht="18" customHeight="1" x14ac:dyDescent="0.25">
      <c r="B35" s="1162" t="s">
        <v>2063</v>
      </c>
      <c r="C35" s="1165" t="s">
        <v>2055</v>
      </c>
      <c r="D35" s="3692"/>
      <c r="E35" s="3692"/>
      <c r="F35" s="3692"/>
      <c r="G35" s="3693"/>
    </row>
    <row r="36" spans="2:7" ht="18" customHeight="1" x14ac:dyDescent="0.25">
      <c r="B36" s="1162" t="s">
        <v>2064</v>
      </c>
      <c r="C36" s="1442" t="s">
        <v>2052</v>
      </c>
      <c r="D36" s="3692"/>
      <c r="E36" s="3692"/>
      <c r="F36" s="3692"/>
      <c r="G36" s="3693"/>
    </row>
    <row r="37" spans="2:7" ht="18" customHeight="1" x14ac:dyDescent="0.25">
      <c r="B37" s="1162" t="s">
        <v>2064</v>
      </c>
      <c r="C37" s="1165" t="s">
        <v>2054</v>
      </c>
      <c r="D37" s="3692"/>
      <c r="E37" s="3692"/>
      <c r="F37" s="3692"/>
      <c r="G37" s="3693"/>
    </row>
    <row r="38" spans="2:7" ht="18" customHeight="1" x14ac:dyDescent="0.25">
      <c r="B38" s="1162" t="s">
        <v>2064</v>
      </c>
      <c r="C38" s="1165" t="s">
        <v>2055</v>
      </c>
      <c r="D38" s="3692"/>
      <c r="E38" s="3692"/>
      <c r="F38" s="3692"/>
      <c r="G38" s="3693"/>
    </row>
    <row r="39" spans="2:7" ht="18" customHeight="1" x14ac:dyDescent="0.25">
      <c r="B39" s="1162" t="s">
        <v>2065</v>
      </c>
      <c r="C39" s="1442" t="s">
        <v>2052</v>
      </c>
      <c r="D39" s="3692"/>
      <c r="E39" s="3692"/>
      <c r="F39" s="3692"/>
      <c r="G39" s="3693"/>
    </row>
    <row r="40" spans="2:7" ht="18" customHeight="1" x14ac:dyDescent="0.25">
      <c r="B40" s="1162" t="s">
        <v>2065</v>
      </c>
      <c r="C40" s="1165" t="s">
        <v>2054</v>
      </c>
      <c r="D40" s="3692"/>
      <c r="E40" s="3692"/>
      <c r="F40" s="3692"/>
      <c r="G40" s="3693"/>
    </row>
    <row r="41" spans="2:7" ht="18" customHeight="1" x14ac:dyDescent="0.25">
      <c r="B41" s="1162" t="s">
        <v>2065</v>
      </c>
      <c r="C41" s="1165" t="s">
        <v>2055</v>
      </c>
      <c r="D41" s="3692"/>
      <c r="E41" s="3692"/>
      <c r="F41" s="3692"/>
      <c r="G41" s="3693"/>
    </row>
    <row r="42" spans="2:7" ht="18" customHeight="1" x14ac:dyDescent="0.25">
      <c r="B42" s="1162" t="s">
        <v>2066</v>
      </c>
      <c r="C42" s="1165" t="s">
        <v>2054</v>
      </c>
      <c r="D42" s="3692"/>
      <c r="E42" s="3692"/>
      <c r="F42" s="3692"/>
      <c r="G42" s="3693"/>
    </row>
    <row r="43" spans="2:7" ht="18" customHeight="1" x14ac:dyDescent="0.25">
      <c r="B43" s="1162" t="s">
        <v>2066</v>
      </c>
      <c r="C43" s="1165" t="s">
        <v>2055</v>
      </c>
      <c r="D43" s="3692"/>
      <c r="E43" s="3692"/>
      <c r="F43" s="3692"/>
      <c r="G43" s="3693"/>
    </row>
    <row r="44" spans="2:7" ht="18" customHeight="1" x14ac:dyDescent="0.25">
      <c r="B44" s="1161" t="s">
        <v>2067</v>
      </c>
      <c r="C44" s="1442" t="s">
        <v>2052</v>
      </c>
      <c r="D44" s="3692" t="s">
        <v>2053</v>
      </c>
      <c r="E44" s="3692" t="s">
        <v>2053</v>
      </c>
      <c r="F44" s="3692" t="s">
        <v>2053</v>
      </c>
      <c r="G44" s="3693" t="s">
        <v>2053</v>
      </c>
    </row>
    <row r="45" spans="2:7" ht="18" customHeight="1" x14ac:dyDescent="0.25">
      <c r="B45" s="1161" t="s">
        <v>2067</v>
      </c>
      <c r="C45" s="1165" t="s">
        <v>2054</v>
      </c>
      <c r="D45" s="3692"/>
      <c r="E45" s="3692"/>
      <c r="F45" s="3692"/>
      <c r="G45" s="3693"/>
    </row>
    <row r="46" spans="2:7" ht="18" customHeight="1" x14ac:dyDescent="0.25">
      <c r="B46" s="1161" t="s">
        <v>2067</v>
      </c>
      <c r="C46" s="1165" t="s">
        <v>2055</v>
      </c>
      <c r="D46" s="3692"/>
      <c r="E46" s="3692"/>
      <c r="F46" s="3692"/>
      <c r="G46" s="3693"/>
    </row>
    <row r="47" spans="2:7" ht="18" customHeight="1" x14ac:dyDescent="0.25">
      <c r="B47" s="1161" t="s">
        <v>2068</v>
      </c>
      <c r="C47" s="1442" t="s">
        <v>2052</v>
      </c>
      <c r="D47" s="3692" t="s">
        <v>2053</v>
      </c>
      <c r="E47" s="3692" t="s">
        <v>2053</v>
      </c>
      <c r="F47" s="3692" t="s">
        <v>2053</v>
      </c>
      <c r="G47" s="3693" t="s">
        <v>2053</v>
      </c>
    </row>
    <row r="48" spans="2:7" ht="18" customHeight="1" x14ac:dyDescent="0.25">
      <c r="B48" s="1161" t="s">
        <v>2068</v>
      </c>
      <c r="C48" s="1165" t="s">
        <v>2054</v>
      </c>
      <c r="D48" s="3692"/>
      <c r="E48" s="3692" t="s">
        <v>2053</v>
      </c>
      <c r="F48" s="3692" t="s">
        <v>2053</v>
      </c>
      <c r="G48" s="3693"/>
    </row>
    <row r="49" spans="2:8" ht="18" customHeight="1" x14ac:dyDescent="0.25">
      <c r="B49" s="1161" t="s">
        <v>2068</v>
      </c>
      <c r="C49" s="1165" t="s">
        <v>2055</v>
      </c>
      <c r="D49" s="3692"/>
      <c r="E49" s="3692"/>
      <c r="F49" s="3692"/>
      <c r="G49" s="3693"/>
    </row>
    <row r="50" spans="2:8" ht="18" customHeight="1" x14ac:dyDescent="0.25">
      <c r="B50" s="1161" t="s">
        <v>2069</v>
      </c>
      <c r="C50" s="1442" t="s">
        <v>2052</v>
      </c>
      <c r="D50" s="3692" t="s">
        <v>2053</v>
      </c>
      <c r="E50" s="3692" t="s">
        <v>2053</v>
      </c>
      <c r="F50" s="3692" t="s">
        <v>2053</v>
      </c>
      <c r="G50" s="3693" t="s">
        <v>2053</v>
      </c>
    </row>
    <row r="51" spans="2:8" ht="18" customHeight="1" x14ac:dyDescent="0.25">
      <c r="B51" s="1161" t="s">
        <v>2069</v>
      </c>
      <c r="C51" s="1165" t="s">
        <v>2054</v>
      </c>
      <c r="D51" s="3692"/>
      <c r="E51" s="3692"/>
      <c r="F51" s="3692"/>
      <c r="G51" s="3693"/>
    </row>
    <row r="52" spans="2:8" ht="18" customHeight="1" x14ac:dyDescent="0.25">
      <c r="B52" s="1161" t="s">
        <v>2069</v>
      </c>
      <c r="C52" s="1165" t="s">
        <v>2055</v>
      </c>
      <c r="D52" s="3692"/>
      <c r="E52" s="3692"/>
      <c r="F52" s="3692"/>
      <c r="G52" s="3693"/>
    </row>
    <row r="53" spans="2:8" ht="18" customHeight="1" x14ac:dyDescent="0.25">
      <c r="B53" s="1161" t="s">
        <v>2070</v>
      </c>
      <c r="C53" s="1442" t="s">
        <v>2052</v>
      </c>
      <c r="D53" s="3692" t="s">
        <v>2053</v>
      </c>
      <c r="E53" s="3692" t="s">
        <v>2053</v>
      </c>
      <c r="F53" s="3692" t="s">
        <v>2053</v>
      </c>
      <c r="G53" s="3693" t="s">
        <v>2053</v>
      </c>
    </row>
    <row r="54" spans="2:8" ht="18" customHeight="1" x14ac:dyDescent="0.25">
      <c r="B54" s="1161" t="s">
        <v>2070</v>
      </c>
      <c r="C54" s="1165" t="s">
        <v>2054</v>
      </c>
      <c r="D54" s="3692"/>
      <c r="E54" s="3692"/>
      <c r="F54" s="3692"/>
      <c r="G54" s="3693"/>
    </row>
    <row r="55" spans="2:8" ht="18" customHeight="1" x14ac:dyDescent="0.25">
      <c r="B55" s="1161" t="s">
        <v>2070</v>
      </c>
      <c r="C55" s="1165" t="s">
        <v>2055</v>
      </c>
      <c r="D55" s="3692"/>
      <c r="E55" s="3692"/>
      <c r="F55" s="3692"/>
      <c r="G55" s="3693"/>
    </row>
    <row r="56" spans="2:8" ht="18" customHeight="1" x14ac:dyDescent="0.25">
      <c r="B56" s="1161" t="s">
        <v>2071</v>
      </c>
      <c r="C56" s="1442" t="s">
        <v>2052</v>
      </c>
      <c r="D56" s="3692"/>
      <c r="E56" s="3692"/>
      <c r="F56" s="3692"/>
      <c r="G56" s="3693"/>
    </row>
    <row r="57" spans="2:8" ht="18" customHeight="1" x14ac:dyDescent="0.25">
      <c r="B57" s="1161" t="s">
        <v>2071</v>
      </c>
      <c r="C57" s="1165" t="s">
        <v>2054</v>
      </c>
      <c r="D57" s="3692"/>
      <c r="E57" s="3692"/>
      <c r="F57" s="3692"/>
      <c r="G57" s="3693"/>
    </row>
    <row r="58" spans="2:8" ht="18" customHeight="1" x14ac:dyDescent="0.25">
      <c r="B58" s="1161" t="s">
        <v>2071</v>
      </c>
      <c r="C58" s="1165" t="s">
        <v>2055</v>
      </c>
      <c r="D58" s="3692"/>
      <c r="E58" s="3692"/>
      <c r="F58" s="3692"/>
      <c r="G58" s="3693"/>
    </row>
    <row r="59" spans="2:8" ht="18" customHeight="1" x14ac:dyDescent="0.25">
      <c r="B59" s="1161" t="s">
        <v>2072</v>
      </c>
      <c r="C59" s="1442" t="s">
        <v>2052</v>
      </c>
      <c r="D59" s="3692"/>
      <c r="E59" s="3692"/>
      <c r="F59" s="3692"/>
      <c r="G59" s="3693"/>
    </row>
    <row r="60" spans="2:8" ht="18" customHeight="1" x14ac:dyDescent="0.25">
      <c r="B60" s="1161" t="s">
        <v>2072</v>
      </c>
      <c r="C60" s="1165" t="s">
        <v>2054</v>
      </c>
      <c r="D60" s="3692"/>
      <c r="E60" s="3692"/>
      <c r="F60" s="3692"/>
      <c r="G60" s="3693"/>
    </row>
    <row r="61" spans="2:8" ht="18" customHeight="1" x14ac:dyDescent="0.25">
      <c r="B61" s="1161" t="s">
        <v>2072</v>
      </c>
      <c r="C61" s="1165" t="s">
        <v>2055</v>
      </c>
      <c r="D61" s="3692"/>
      <c r="E61" s="3692"/>
      <c r="F61" s="3692"/>
      <c r="G61" s="3693"/>
    </row>
    <row r="62" spans="2:8" ht="18" customHeight="1" x14ac:dyDescent="0.25">
      <c r="B62" s="1161" t="s">
        <v>2073</v>
      </c>
      <c r="C62" s="1165" t="s">
        <v>2054</v>
      </c>
      <c r="D62" s="3692"/>
      <c r="E62" s="3692"/>
      <c r="F62" s="3692"/>
      <c r="G62" s="3693"/>
    </row>
    <row r="63" spans="2:8" ht="18" customHeight="1" x14ac:dyDescent="0.25">
      <c r="B63" s="1161" t="s">
        <v>2073</v>
      </c>
      <c r="C63" s="1165" t="s">
        <v>2055</v>
      </c>
      <c r="D63" s="3692"/>
      <c r="E63" s="3692"/>
      <c r="F63" s="3692"/>
      <c r="G63" s="3693"/>
    </row>
    <row r="64" spans="2:8" ht="18" customHeight="1" x14ac:dyDescent="0.25">
      <c r="B64" s="1161" t="s">
        <v>2074</v>
      </c>
      <c r="C64" s="1442" t="s">
        <v>2052</v>
      </c>
      <c r="D64" s="3692"/>
      <c r="E64" s="3692" t="s">
        <v>2053</v>
      </c>
      <c r="F64" s="3692" t="s">
        <v>2053</v>
      </c>
      <c r="G64" s="3693"/>
      <c r="H64" s="4194"/>
    </row>
    <row r="65" spans="2:7" ht="18" customHeight="1" x14ac:dyDescent="0.25">
      <c r="B65" s="1161" t="s">
        <v>2074</v>
      </c>
      <c r="C65" s="1165" t="s">
        <v>2054</v>
      </c>
      <c r="D65" s="3692"/>
      <c r="E65" s="3692"/>
      <c r="F65" s="3692"/>
      <c r="G65" s="3693"/>
    </row>
    <row r="66" spans="2:7" ht="18" customHeight="1" x14ac:dyDescent="0.25">
      <c r="B66" s="1161" t="s">
        <v>2074</v>
      </c>
      <c r="C66" s="1165" t="s">
        <v>2055</v>
      </c>
      <c r="D66" s="3692"/>
      <c r="E66" s="3692"/>
      <c r="F66" s="3692"/>
      <c r="G66" s="3693"/>
    </row>
    <row r="67" spans="2:7" ht="18" customHeight="1" x14ac:dyDescent="0.25">
      <c r="B67" s="1161" t="s">
        <v>2075</v>
      </c>
      <c r="C67" s="1442" t="s">
        <v>2052</v>
      </c>
      <c r="D67" s="3692" t="s">
        <v>2053</v>
      </c>
      <c r="E67" s="3692" t="s">
        <v>2053</v>
      </c>
      <c r="F67" s="3692" t="s">
        <v>2053</v>
      </c>
      <c r="G67" s="3693" t="s">
        <v>2053</v>
      </c>
    </row>
    <row r="68" spans="2:7" ht="18" customHeight="1" x14ac:dyDescent="0.25">
      <c r="B68" s="1161" t="s">
        <v>2075</v>
      </c>
      <c r="C68" s="1165" t="s">
        <v>2054</v>
      </c>
      <c r="D68" s="3692"/>
      <c r="E68" s="3692"/>
      <c r="F68" s="3692"/>
      <c r="G68" s="3693"/>
    </row>
    <row r="69" spans="2:7" ht="18" customHeight="1" x14ac:dyDescent="0.25">
      <c r="B69" s="1161" t="s">
        <v>2075</v>
      </c>
      <c r="C69" s="1165" t="s">
        <v>2055</v>
      </c>
      <c r="D69" s="3692"/>
      <c r="E69" s="3692"/>
      <c r="F69" s="3692"/>
      <c r="G69" s="3693"/>
    </row>
    <row r="70" spans="2:7" ht="18" customHeight="1" x14ac:dyDescent="0.25">
      <c r="B70" s="1161" t="s">
        <v>2076</v>
      </c>
      <c r="C70" s="1442" t="s">
        <v>2052</v>
      </c>
      <c r="D70" s="3692"/>
      <c r="E70" s="3692" t="s">
        <v>2053</v>
      </c>
      <c r="F70" s="3692" t="s">
        <v>2053</v>
      </c>
      <c r="G70" s="3693"/>
    </row>
    <row r="71" spans="2:7" ht="18" customHeight="1" x14ac:dyDescent="0.25">
      <c r="B71" s="1161" t="s">
        <v>2076</v>
      </c>
      <c r="C71" s="1165" t="s">
        <v>2054</v>
      </c>
      <c r="D71" s="3692"/>
      <c r="E71" s="3692"/>
      <c r="F71" s="3692"/>
      <c r="G71" s="3693"/>
    </row>
    <row r="72" spans="2:7" ht="18" customHeight="1" x14ac:dyDescent="0.25">
      <c r="B72" s="1161" t="s">
        <v>2076</v>
      </c>
      <c r="C72" s="1165" t="s">
        <v>2055</v>
      </c>
      <c r="D72" s="3692"/>
      <c r="E72" s="3692"/>
      <c r="F72" s="3692"/>
      <c r="G72" s="3693"/>
    </row>
    <row r="73" spans="2:7" ht="18" customHeight="1" x14ac:dyDescent="0.25">
      <c r="B73" s="1161" t="s">
        <v>2077</v>
      </c>
      <c r="C73" s="1442" t="s">
        <v>2052</v>
      </c>
      <c r="D73" s="3692" t="s">
        <v>2053</v>
      </c>
      <c r="E73" s="3692" t="s">
        <v>2053</v>
      </c>
      <c r="F73" s="3692" t="s">
        <v>2053</v>
      </c>
      <c r="G73" s="3693" t="s">
        <v>2053</v>
      </c>
    </row>
    <row r="74" spans="2:7" ht="18" customHeight="1" x14ac:dyDescent="0.25">
      <c r="B74" s="1161" t="s">
        <v>2077</v>
      </c>
      <c r="C74" s="1165" t="s">
        <v>2054</v>
      </c>
      <c r="D74" s="3692"/>
      <c r="E74" s="3692"/>
      <c r="F74" s="3692"/>
      <c r="G74" s="3693"/>
    </row>
    <row r="75" spans="2:7" ht="18" customHeight="1" x14ac:dyDescent="0.25">
      <c r="B75" s="1161" t="s">
        <v>2077</v>
      </c>
      <c r="C75" s="1165" t="s">
        <v>2055</v>
      </c>
      <c r="D75" s="3692"/>
      <c r="E75" s="3692"/>
      <c r="F75" s="3692"/>
      <c r="G75" s="3693"/>
    </row>
    <row r="76" spans="2:7" ht="18" customHeight="1" x14ac:dyDescent="0.25">
      <c r="B76" s="1161" t="s">
        <v>2078</v>
      </c>
      <c r="C76" s="1442" t="s">
        <v>2052</v>
      </c>
      <c r="D76" s="3692"/>
      <c r="E76" s="3692"/>
      <c r="F76" s="3692"/>
      <c r="G76" s="3693"/>
    </row>
    <row r="77" spans="2:7" ht="18" customHeight="1" x14ac:dyDescent="0.25">
      <c r="B77" s="1161" t="s">
        <v>2078</v>
      </c>
      <c r="C77" s="1165" t="s">
        <v>2054</v>
      </c>
      <c r="D77" s="3692"/>
      <c r="E77" s="3692"/>
      <c r="F77" s="3692"/>
      <c r="G77" s="3693"/>
    </row>
    <row r="78" spans="2:7" ht="18" customHeight="1" x14ac:dyDescent="0.25">
      <c r="B78" s="1161" t="s">
        <v>2078</v>
      </c>
      <c r="C78" s="1165" t="s">
        <v>2055</v>
      </c>
      <c r="D78" s="3692"/>
      <c r="E78" s="3692"/>
      <c r="F78" s="3692"/>
      <c r="G78" s="3693"/>
    </row>
    <row r="79" spans="2:7" ht="18" customHeight="1" x14ac:dyDescent="0.25">
      <c r="B79" s="1161" t="s">
        <v>2079</v>
      </c>
      <c r="C79" s="1442" t="s">
        <v>2052</v>
      </c>
      <c r="D79" s="3692"/>
      <c r="E79" s="3692"/>
      <c r="F79" s="3692"/>
      <c r="G79" s="3693"/>
    </row>
    <row r="80" spans="2:7" ht="18" customHeight="1" x14ac:dyDescent="0.25">
      <c r="B80" s="1161" t="s">
        <v>2079</v>
      </c>
      <c r="C80" s="1165" t="s">
        <v>2054</v>
      </c>
      <c r="D80" s="3692"/>
      <c r="E80" s="3692"/>
      <c r="F80" s="3692"/>
      <c r="G80" s="3693"/>
    </row>
    <row r="81" spans="2:7" ht="18" customHeight="1" x14ac:dyDescent="0.25">
      <c r="B81" s="1161" t="s">
        <v>2079</v>
      </c>
      <c r="C81" s="1165" t="s">
        <v>2055</v>
      </c>
      <c r="D81" s="3692"/>
      <c r="E81" s="3692"/>
      <c r="F81" s="3692"/>
      <c r="G81" s="3693"/>
    </row>
    <row r="82" spans="2:7" ht="18" customHeight="1" x14ac:dyDescent="0.25">
      <c r="B82" s="1161" t="s">
        <v>2080</v>
      </c>
      <c r="C82" s="1165" t="s">
        <v>2054</v>
      </c>
      <c r="D82" s="3692"/>
      <c r="E82" s="3692" t="s">
        <v>2053</v>
      </c>
      <c r="F82" s="3692" t="s">
        <v>2053</v>
      </c>
      <c r="G82" s="3693" t="s">
        <v>2053</v>
      </c>
    </row>
    <row r="83" spans="2:7" ht="18" customHeight="1" x14ac:dyDescent="0.25">
      <c r="B83" s="1161" t="s">
        <v>2080</v>
      </c>
      <c r="C83" s="1165" t="s">
        <v>2055</v>
      </c>
      <c r="D83" s="3692"/>
      <c r="E83" s="3692"/>
      <c r="F83" s="3692"/>
      <c r="G83" s="3693"/>
    </row>
    <row r="84" spans="2:7" ht="18" customHeight="1" x14ac:dyDescent="0.25">
      <c r="B84" s="1161" t="s">
        <v>2081</v>
      </c>
      <c r="C84" s="1442" t="s">
        <v>2052</v>
      </c>
      <c r="D84" s="3692"/>
      <c r="E84" s="3692"/>
      <c r="F84" s="3692"/>
      <c r="G84" s="3693"/>
    </row>
    <row r="85" spans="2:7" ht="18" customHeight="1" x14ac:dyDescent="0.25">
      <c r="B85" s="1161" t="s">
        <v>2081</v>
      </c>
      <c r="C85" s="1165" t="s">
        <v>2054</v>
      </c>
      <c r="D85" s="3692"/>
      <c r="E85" s="3692"/>
      <c r="F85" s="3692"/>
      <c r="G85" s="3693"/>
    </row>
    <row r="86" spans="2:7" ht="18" customHeight="1" x14ac:dyDescent="0.25">
      <c r="B86" s="1161" t="s">
        <v>2081</v>
      </c>
      <c r="C86" s="1165" t="s">
        <v>2055</v>
      </c>
      <c r="D86" s="3692"/>
      <c r="E86" s="3692"/>
      <c r="F86" s="3692"/>
      <c r="G86" s="3693"/>
    </row>
    <row r="87" spans="2:7" ht="18" customHeight="1" x14ac:dyDescent="0.2">
      <c r="B87" s="1161" t="s">
        <v>2082</v>
      </c>
      <c r="C87" s="1165" t="s">
        <v>2083</v>
      </c>
      <c r="D87" s="3692"/>
      <c r="E87" s="3692"/>
      <c r="F87" s="3692"/>
      <c r="G87" s="3693"/>
    </row>
    <row r="88" spans="2:7" ht="18" customHeight="1" x14ac:dyDescent="0.25">
      <c r="B88" s="1161" t="s">
        <v>2082</v>
      </c>
      <c r="C88" s="1165" t="s">
        <v>2054</v>
      </c>
      <c r="D88" s="3692"/>
      <c r="E88" s="3692"/>
      <c r="F88" s="3692"/>
      <c r="G88" s="3693"/>
    </row>
    <row r="89" spans="2:7" ht="18" customHeight="1" x14ac:dyDescent="0.25">
      <c r="B89" s="1161" t="s">
        <v>2082</v>
      </c>
      <c r="C89" s="1165" t="s">
        <v>2055</v>
      </c>
      <c r="D89" s="3692"/>
      <c r="E89" s="3692"/>
      <c r="F89" s="3692"/>
      <c r="G89" s="3693"/>
    </row>
    <row r="90" spans="2:7" ht="18" customHeight="1" x14ac:dyDescent="0.25">
      <c r="B90" s="1161" t="s">
        <v>2084</v>
      </c>
      <c r="C90" s="1442" t="s">
        <v>2052</v>
      </c>
      <c r="D90" s="3692"/>
      <c r="E90" s="3692"/>
      <c r="F90" s="3692"/>
      <c r="G90" s="3693"/>
    </row>
    <row r="91" spans="2:7" ht="18" customHeight="1" x14ac:dyDescent="0.25">
      <c r="B91" s="1161" t="s">
        <v>2084</v>
      </c>
      <c r="C91" s="1165" t="s">
        <v>2054</v>
      </c>
      <c r="D91" s="3692"/>
      <c r="E91" s="3692"/>
      <c r="F91" s="3692"/>
      <c r="G91" s="3693"/>
    </row>
    <row r="92" spans="2:7" ht="18" customHeight="1" x14ac:dyDescent="0.25">
      <c r="B92" s="1161" t="s">
        <v>2084</v>
      </c>
      <c r="C92" s="1165" t="s">
        <v>2055</v>
      </c>
      <c r="D92" s="3692"/>
      <c r="E92" s="3692"/>
      <c r="F92" s="3692"/>
      <c r="G92" s="3693"/>
    </row>
    <row r="93" spans="2:7" ht="18" customHeight="1" x14ac:dyDescent="0.25">
      <c r="B93" s="1161" t="s">
        <v>2085</v>
      </c>
      <c r="C93" s="1442" t="s">
        <v>2052</v>
      </c>
      <c r="D93" s="3692"/>
      <c r="E93" s="3692"/>
      <c r="F93" s="3692"/>
      <c r="G93" s="3693"/>
    </row>
    <row r="94" spans="2:7" ht="18" customHeight="1" x14ac:dyDescent="0.25">
      <c r="B94" s="1161" t="s">
        <v>2085</v>
      </c>
      <c r="C94" s="1165" t="s">
        <v>2054</v>
      </c>
      <c r="D94" s="3692"/>
      <c r="E94" s="3692"/>
      <c r="F94" s="3692"/>
      <c r="G94" s="3693"/>
    </row>
    <row r="95" spans="2:7" ht="18" customHeight="1" x14ac:dyDescent="0.25">
      <c r="B95" s="1161" t="s">
        <v>2085</v>
      </c>
      <c r="C95" s="1165" t="s">
        <v>2055</v>
      </c>
      <c r="D95" s="3692"/>
      <c r="E95" s="3692"/>
      <c r="F95" s="3692"/>
      <c r="G95" s="3693"/>
    </row>
    <row r="96" spans="2:7" ht="18" customHeight="1" x14ac:dyDescent="0.25">
      <c r="B96" s="1161" t="s">
        <v>2086</v>
      </c>
      <c r="C96" s="1442" t="s">
        <v>2052</v>
      </c>
      <c r="D96" s="3692"/>
      <c r="E96" s="3692"/>
      <c r="F96" s="3692"/>
      <c r="G96" s="3693"/>
    </row>
    <row r="97" spans="2:7" ht="18" customHeight="1" x14ac:dyDescent="0.25">
      <c r="B97" s="1161" t="s">
        <v>2086</v>
      </c>
      <c r="C97" s="1165" t="s">
        <v>2054</v>
      </c>
      <c r="D97" s="3692"/>
      <c r="E97" s="3692"/>
      <c r="F97" s="3692"/>
      <c r="G97" s="3693"/>
    </row>
    <row r="98" spans="2:7" ht="18" customHeight="1" x14ac:dyDescent="0.25">
      <c r="B98" s="1161" t="s">
        <v>2086</v>
      </c>
      <c r="C98" s="1165" t="s">
        <v>2055</v>
      </c>
      <c r="D98" s="3692"/>
      <c r="E98" s="3692"/>
      <c r="F98" s="3692"/>
      <c r="G98" s="3693"/>
    </row>
    <row r="99" spans="2:7" ht="18" customHeight="1" x14ac:dyDescent="0.25">
      <c r="B99" s="1161" t="s">
        <v>2087</v>
      </c>
      <c r="C99" s="1165" t="s">
        <v>2054</v>
      </c>
      <c r="D99" s="3692"/>
      <c r="E99" s="3692"/>
      <c r="F99" s="3692"/>
      <c r="G99" s="3693"/>
    </row>
    <row r="100" spans="2:7" ht="18" customHeight="1" x14ac:dyDescent="0.25">
      <c r="B100" s="1161" t="s">
        <v>2087</v>
      </c>
      <c r="C100" s="1165" t="s">
        <v>2055</v>
      </c>
      <c r="D100" s="3692"/>
      <c r="E100" s="3692"/>
      <c r="F100" s="3692"/>
      <c r="G100" s="3693"/>
    </row>
    <row r="101" spans="2:7" ht="18" customHeight="1" x14ac:dyDescent="0.25">
      <c r="B101" s="1161" t="s">
        <v>2088</v>
      </c>
      <c r="C101" s="1442" t="s">
        <v>2052</v>
      </c>
      <c r="D101" s="3692" t="s">
        <v>2053</v>
      </c>
      <c r="E101" s="3692" t="s">
        <v>2053</v>
      </c>
      <c r="F101" s="3692" t="s">
        <v>2053</v>
      </c>
      <c r="G101" s="3692"/>
    </row>
    <row r="102" spans="2:7" ht="18" customHeight="1" x14ac:dyDescent="0.25">
      <c r="B102" s="1161" t="s">
        <v>2088</v>
      </c>
      <c r="C102" s="1165" t="s">
        <v>2054</v>
      </c>
      <c r="D102" s="3692" t="s">
        <v>2053</v>
      </c>
      <c r="E102" s="3692" t="s">
        <v>2053</v>
      </c>
      <c r="F102" s="3692" t="s">
        <v>2053</v>
      </c>
      <c r="G102" s="3692" t="s">
        <v>2053</v>
      </c>
    </row>
    <row r="103" spans="2:7" ht="18" customHeight="1" x14ac:dyDescent="0.25">
      <c r="B103" s="1161" t="s">
        <v>2089</v>
      </c>
      <c r="C103" s="1442" t="s">
        <v>2052</v>
      </c>
      <c r="D103" s="3692" t="s">
        <v>2053</v>
      </c>
      <c r="E103" s="3692"/>
      <c r="F103" s="3692" t="s">
        <v>2053</v>
      </c>
      <c r="G103" s="3692"/>
    </row>
    <row r="104" spans="2:7" ht="18" customHeight="1" x14ac:dyDescent="0.25">
      <c r="B104" s="1161" t="s">
        <v>2090</v>
      </c>
      <c r="C104" s="1165" t="s">
        <v>2054</v>
      </c>
      <c r="D104" s="3692"/>
      <c r="E104" s="3692"/>
      <c r="F104" s="3692"/>
      <c r="G104" s="3693"/>
    </row>
    <row r="105" spans="2:7" ht="18" customHeight="1" x14ac:dyDescent="0.25">
      <c r="B105" s="1161" t="s">
        <v>2091</v>
      </c>
      <c r="C105" s="1442" t="s">
        <v>2052</v>
      </c>
      <c r="D105" s="3692"/>
      <c r="E105" s="3692"/>
      <c r="F105" s="3692"/>
      <c r="G105" s="3693"/>
    </row>
    <row r="106" spans="2:7" ht="18" customHeight="1" x14ac:dyDescent="0.25">
      <c r="B106" s="1161" t="s">
        <v>2091</v>
      </c>
      <c r="C106" s="1165" t="s">
        <v>2054</v>
      </c>
      <c r="D106" s="3692" t="s">
        <v>2053</v>
      </c>
      <c r="E106" s="3692" t="s">
        <v>2053</v>
      </c>
      <c r="F106" s="3692" t="s">
        <v>2053</v>
      </c>
      <c r="G106" s="3693" t="s">
        <v>2053</v>
      </c>
    </row>
    <row r="107" spans="2:7" ht="18" customHeight="1" x14ac:dyDescent="0.25">
      <c r="B107" s="1161" t="s">
        <v>2092</v>
      </c>
      <c r="C107" s="1442" t="s">
        <v>2052</v>
      </c>
      <c r="D107" s="3692" t="s">
        <v>2053</v>
      </c>
      <c r="E107" s="3692" t="s">
        <v>2053</v>
      </c>
      <c r="F107" s="3692" t="s">
        <v>2053</v>
      </c>
      <c r="G107" s="3693" t="s">
        <v>2053</v>
      </c>
    </row>
    <row r="108" spans="2:7" ht="18" customHeight="1" x14ac:dyDescent="0.25">
      <c r="B108" s="1161" t="s">
        <v>2092</v>
      </c>
      <c r="C108" s="1165" t="s">
        <v>2054</v>
      </c>
      <c r="D108" s="3692" t="s">
        <v>2053</v>
      </c>
      <c r="E108" s="3692" t="s">
        <v>2053</v>
      </c>
      <c r="F108" s="3692" t="s">
        <v>2053</v>
      </c>
      <c r="G108" s="3693" t="s">
        <v>2053</v>
      </c>
    </row>
    <row r="109" spans="2:7" ht="18" customHeight="1" x14ac:dyDescent="0.25">
      <c r="B109" s="1161" t="s">
        <v>2092</v>
      </c>
      <c r="C109" s="1165" t="s">
        <v>2055</v>
      </c>
      <c r="D109" s="3692"/>
      <c r="E109" s="3692"/>
      <c r="F109" s="3692"/>
      <c r="G109" s="3693"/>
    </row>
    <row r="110" spans="2:7" ht="18" customHeight="1" x14ac:dyDescent="0.25">
      <c r="B110" s="1161" t="s">
        <v>2093</v>
      </c>
      <c r="C110" s="1442" t="s">
        <v>2052</v>
      </c>
      <c r="D110" s="3692"/>
      <c r="E110" s="3692"/>
      <c r="F110" s="3692"/>
      <c r="G110" s="3693"/>
    </row>
    <row r="111" spans="2:7" ht="18" customHeight="1" x14ac:dyDescent="0.25">
      <c r="B111" s="1161" t="s">
        <v>2093</v>
      </c>
      <c r="C111" s="1165" t="s">
        <v>2054</v>
      </c>
      <c r="D111" s="3692"/>
      <c r="E111" s="3692"/>
      <c r="F111" s="3692"/>
      <c r="G111" s="3693"/>
    </row>
    <row r="112" spans="2:7" ht="18" customHeight="1" x14ac:dyDescent="0.25">
      <c r="B112" s="1161" t="s">
        <v>2093</v>
      </c>
      <c r="C112" s="1165" t="s">
        <v>2055</v>
      </c>
      <c r="D112" s="3692"/>
      <c r="E112" s="3692"/>
      <c r="F112" s="3692"/>
      <c r="G112" s="3693"/>
    </row>
    <row r="113" spans="2:7" ht="18" customHeight="1" x14ac:dyDescent="0.25">
      <c r="B113" s="1161" t="s">
        <v>2094</v>
      </c>
      <c r="C113" s="1442" t="s">
        <v>2052</v>
      </c>
      <c r="D113" s="3692"/>
      <c r="E113" s="3692"/>
      <c r="F113" s="3692"/>
      <c r="G113" s="3693"/>
    </row>
    <row r="114" spans="2:7" ht="18" customHeight="1" x14ac:dyDescent="0.25">
      <c r="B114" s="1162" t="s">
        <v>2095</v>
      </c>
      <c r="C114" s="1442" t="s">
        <v>2052</v>
      </c>
      <c r="D114" s="3692"/>
      <c r="E114" s="3692"/>
      <c r="F114" s="3692"/>
      <c r="G114" s="3693"/>
    </row>
    <row r="115" spans="2:7" ht="18" customHeight="1" x14ac:dyDescent="0.25">
      <c r="B115" s="1161" t="s">
        <v>2096</v>
      </c>
      <c r="C115" s="1442" t="s">
        <v>2052</v>
      </c>
      <c r="D115" s="3692" t="s">
        <v>2053</v>
      </c>
      <c r="E115" s="3692" t="s">
        <v>2053</v>
      </c>
      <c r="F115" s="3692" t="s">
        <v>2053</v>
      </c>
      <c r="G115" s="3693" t="s">
        <v>2053</v>
      </c>
    </row>
    <row r="116" spans="2:7" ht="18" customHeight="1" x14ac:dyDescent="0.25">
      <c r="B116" s="1161" t="s">
        <v>2097</v>
      </c>
      <c r="C116" s="1442" t="s">
        <v>2052</v>
      </c>
      <c r="D116" s="3692"/>
      <c r="E116" s="3692"/>
      <c r="F116" s="3692"/>
      <c r="G116" s="3693"/>
    </row>
    <row r="117" spans="2:7" ht="18" customHeight="1" x14ac:dyDescent="0.25">
      <c r="B117" s="1161" t="s">
        <v>2098</v>
      </c>
      <c r="C117" s="1442" t="s">
        <v>2052</v>
      </c>
      <c r="D117" s="3692"/>
      <c r="E117" s="3692"/>
      <c r="F117" s="3692"/>
      <c r="G117" s="3693"/>
    </row>
    <row r="118" spans="2:7" ht="18" customHeight="1" x14ac:dyDescent="0.25">
      <c r="B118" s="1161" t="s">
        <v>2099</v>
      </c>
      <c r="C118" s="1442" t="s">
        <v>2052</v>
      </c>
      <c r="D118" s="3692" t="s">
        <v>2053</v>
      </c>
      <c r="E118" s="3692" t="s">
        <v>2053</v>
      </c>
      <c r="F118" s="3692" t="s">
        <v>2053</v>
      </c>
      <c r="G118" s="3693" t="s">
        <v>2053</v>
      </c>
    </row>
    <row r="119" spans="2:7" ht="18" customHeight="1" x14ac:dyDescent="0.25">
      <c r="B119" s="1161" t="s">
        <v>2100</v>
      </c>
      <c r="C119" s="1442" t="s">
        <v>2052</v>
      </c>
      <c r="D119" s="3692" t="s">
        <v>2053</v>
      </c>
      <c r="E119" s="3692" t="s">
        <v>2053</v>
      </c>
      <c r="F119" s="3692" t="s">
        <v>2053</v>
      </c>
      <c r="G119" s="3693" t="s">
        <v>2053</v>
      </c>
    </row>
    <row r="120" spans="2:7" ht="18" customHeight="1" x14ac:dyDescent="0.25">
      <c r="B120" s="1163" t="s">
        <v>2100</v>
      </c>
      <c r="C120" s="1165" t="s">
        <v>2054</v>
      </c>
      <c r="D120" s="3692"/>
      <c r="E120" s="3692"/>
      <c r="F120" s="3692"/>
      <c r="G120" s="3693"/>
    </row>
    <row r="121" spans="2:7" ht="18" customHeight="1" x14ac:dyDescent="0.25">
      <c r="B121" s="1163" t="s">
        <v>2100</v>
      </c>
      <c r="C121" s="1165" t="s">
        <v>2055</v>
      </c>
      <c r="D121" s="3692"/>
      <c r="E121" s="3692"/>
      <c r="F121" s="3692"/>
      <c r="G121" s="3693"/>
    </row>
    <row r="122" spans="2:7" ht="18" customHeight="1" x14ac:dyDescent="0.25">
      <c r="B122" s="1163" t="s">
        <v>2101</v>
      </c>
      <c r="C122" s="1165" t="s">
        <v>2055</v>
      </c>
      <c r="D122" s="3692" t="s">
        <v>2053</v>
      </c>
      <c r="E122" s="3692" t="s">
        <v>2053</v>
      </c>
      <c r="F122" s="3692" t="s">
        <v>2053</v>
      </c>
      <c r="G122" s="3693" t="s">
        <v>2053</v>
      </c>
    </row>
    <row r="123" spans="2:7" ht="18" customHeight="1" x14ac:dyDescent="0.25">
      <c r="B123" s="1163" t="s">
        <v>2102</v>
      </c>
      <c r="C123" s="1442" t="s">
        <v>2052</v>
      </c>
      <c r="D123" s="3692"/>
      <c r="E123" s="3692"/>
      <c r="F123" s="3692"/>
      <c r="G123" s="3693"/>
    </row>
    <row r="124" spans="2:7" ht="18" customHeight="1" x14ac:dyDescent="0.25">
      <c r="B124" s="1163" t="s">
        <v>2102</v>
      </c>
      <c r="C124" s="1165" t="s">
        <v>2055</v>
      </c>
      <c r="D124" s="3692"/>
      <c r="E124" s="3692"/>
      <c r="F124" s="3692"/>
      <c r="G124" s="3693"/>
    </row>
    <row r="125" spans="2:7" ht="18" customHeight="1" x14ac:dyDescent="0.25">
      <c r="B125" s="1163" t="s">
        <v>2103</v>
      </c>
      <c r="C125" s="1442" t="s">
        <v>2052</v>
      </c>
      <c r="D125" s="3692"/>
      <c r="E125" s="3692"/>
      <c r="F125" s="3692"/>
      <c r="G125" s="3693"/>
    </row>
    <row r="126" spans="2:7" ht="18" customHeight="1" x14ac:dyDescent="0.25">
      <c r="B126" s="1163" t="s">
        <v>2103</v>
      </c>
      <c r="C126" s="1165" t="s">
        <v>2055</v>
      </c>
      <c r="D126" s="3692"/>
      <c r="E126" s="3692"/>
      <c r="F126" s="3692"/>
      <c r="G126" s="3693"/>
    </row>
    <row r="127" spans="2:7" ht="18" customHeight="1" x14ac:dyDescent="0.25">
      <c r="B127" s="1163" t="s">
        <v>2104</v>
      </c>
      <c r="C127" s="1442" t="s">
        <v>2052</v>
      </c>
      <c r="D127" s="3692"/>
      <c r="E127" s="3692"/>
      <c r="F127" s="3692"/>
      <c r="G127" s="3693"/>
    </row>
    <row r="128" spans="2:7" ht="18" customHeight="1" x14ac:dyDescent="0.25">
      <c r="B128" s="1163" t="s">
        <v>2104</v>
      </c>
      <c r="C128" s="1165" t="s">
        <v>2054</v>
      </c>
      <c r="D128" s="3692"/>
      <c r="E128" s="3692"/>
      <c r="F128" s="3692"/>
      <c r="G128" s="3693"/>
    </row>
    <row r="129" spans="2:7" ht="18" customHeight="1" x14ac:dyDescent="0.25">
      <c r="B129" s="1163" t="s">
        <v>2105</v>
      </c>
      <c r="C129" s="1442" t="s">
        <v>2052</v>
      </c>
      <c r="D129" s="3692"/>
      <c r="E129" s="3692" t="s">
        <v>2053</v>
      </c>
      <c r="F129" s="3692"/>
      <c r="G129" s="3693" t="s">
        <v>2053</v>
      </c>
    </row>
    <row r="130" spans="2:7" ht="18" customHeight="1" x14ac:dyDescent="0.25">
      <c r="B130" s="1163" t="s">
        <v>2106</v>
      </c>
      <c r="C130" s="1442" t="s">
        <v>2052</v>
      </c>
      <c r="D130" s="3692"/>
      <c r="E130" s="3692"/>
      <c r="F130" s="3692"/>
      <c r="G130" s="3693"/>
    </row>
    <row r="131" spans="2:7" ht="18" customHeight="1" x14ac:dyDescent="0.25">
      <c r="B131" s="1164" t="s">
        <v>2107</v>
      </c>
      <c r="C131" s="1442" t="s">
        <v>2052</v>
      </c>
      <c r="D131" s="3692"/>
      <c r="E131" s="3692"/>
      <c r="F131" s="3692"/>
      <c r="G131" s="3693"/>
    </row>
    <row r="132" spans="2:7" ht="18" customHeight="1" x14ac:dyDescent="0.25">
      <c r="B132" s="1164" t="s">
        <v>2107</v>
      </c>
      <c r="C132" s="1165" t="s">
        <v>2054</v>
      </c>
      <c r="D132" s="3692"/>
      <c r="E132" s="3692"/>
      <c r="F132" s="3692"/>
      <c r="G132" s="3693"/>
    </row>
    <row r="133" spans="2:7" ht="18" customHeight="1" x14ac:dyDescent="0.2">
      <c r="B133" s="1163" t="s">
        <v>2108</v>
      </c>
      <c r="C133" s="1165" t="s">
        <v>2109</v>
      </c>
      <c r="D133" s="3692"/>
      <c r="E133" s="3692" t="s">
        <v>2053</v>
      </c>
      <c r="F133" s="3692" t="s">
        <v>2053</v>
      </c>
      <c r="G133" s="3693" t="s">
        <v>2053</v>
      </c>
    </row>
    <row r="134" spans="2:7" ht="18" customHeight="1" x14ac:dyDescent="0.25">
      <c r="B134" s="1163" t="s">
        <v>2110</v>
      </c>
      <c r="C134" s="1442" t="s">
        <v>2052</v>
      </c>
      <c r="D134" s="3692"/>
      <c r="E134" s="3692"/>
      <c r="F134" s="3692"/>
      <c r="G134" s="3693"/>
    </row>
    <row r="135" spans="2:7" ht="18" customHeight="1" x14ac:dyDescent="0.25">
      <c r="B135" s="1163" t="s">
        <v>2110</v>
      </c>
      <c r="C135" s="1165" t="s">
        <v>2054</v>
      </c>
      <c r="D135" s="3692"/>
      <c r="E135" s="3692"/>
      <c r="F135" s="3692"/>
      <c r="G135" s="3693"/>
    </row>
    <row r="136" spans="2:7" ht="18" customHeight="1" x14ac:dyDescent="0.25">
      <c r="B136" s="1163" t="s">
        <v>2110</v>
      </c>
      <c r="C136" s="1165" t="s">
        <v>2055</v>
      </c>
      <c r="D136" s="3692"/>
      <c r="E136" s="3692"/>
      <c r="F136" s="3692"/>
      <c r="G136" s="3693"/>
    </row>
    <row r="137" spans="2:7" ht="18" customHeight="1" x14ac:dyDescent="0.2">
      <c r="B137" s="1163" t="s">
        <v>2110</v>
      </c>
      <c r="C137" s="1165" t="s">
        <v>2109</v>
      </c>
      <c r="D137" s="3692"/>
      <c r="E137" s="3692"/>
      <c r="F137" s="3692"/>
      <c r="G137" s="3693"/>
    </row>
    <row r="138" spans="2:7" ht="18" customHeight="1" x14ac:dyDescent="0.25">
      <c r="B138" s="1161" t="s">
        <v>2111</v>
      </c>
      <c r="C138" s="1442" t="s">
        <v>2052</v>
      </c>
      <c r="D138" s="3692" t="s">
        <v>2053</v>
      </c>
      <c r="E138" s="3692" t="s">
        <v>2053</v>
      </c>
      <c r="F138" s="3692" t="s">
        <v>2053</v>
      </c>
      <c r="G138" s="3693" t="s">
        <v>2053</v>
      </c>
    </row>
    <row r="139" spans="2:7" ht="18" customHeight="1" x14ac:dyDescent="0.25">
      <c r="B139" s="1161" t="s">
        <v>2111</v>
      </c>
      <c r="C139" s="1165" t="s">
        <v>2054</v>
      </c>
      <c r="D139" s="3692"/>
      <c r="E139" s="3692"/>
      <c r="F139" s="3692"/>
      <c r="G139" s="3693"/>
    </row>
    <row r="140" spans="2:7" ht="18" customHeight="1" x14ac:dyDescent="0.25">
      <c r="B140" s="1161" t="s">
        <v>2112</v>
      </c>
      <c r="C140" s="1442" t="s">
        <v>2052</v>
      </c>
      <c r="D140" s="3692"/>
      <c r="E140" s="3692"/>
      <c r="F140" s="3692"/>
      <c r="G140" s="3693"/>
    </row>
    <row r="141" spans="2:7" ht="18" customHeight="1" x14ac:dyDescent="0.25">
      <c r="B141" s="1161" t="s">
        <v>2112</v>
      </c>
      <c r="C141" s="1165" t="s">
        <v>2054</v>
      </c>
      <c r="D141" s="3692"/>
      <c r="E141" s="3692"/>
      <c r="F141" s="3692"/>
      <c r="G141" s="3693"/>
    </row>
    <row r="142" spans="2:7" ht="18" customHeight="1" x14ac:dyDescent="0.25">
      <c r="B142" s="1161" t="s">
        <v>2113</v>
      </c>
      <c r="C142" s="1442" t="s">
        <v>2052</v>
      </c>
      <c r="D142" s="3692" t="s">
        <v>2053</v>
      </c>
      <c r="E142" s="3692"/>
      <c r="F142" s="3692" t="s">
        <v>2053</v>
      </c>
      <c r="G142" s="3693" t="s">
        <v>2053</v>
      </c>
    </row>
    <row r="143" spans="2:7" ht="18" customHeight="1" x14ac:dyDescent="0.2">
      <c r="B143" s="1161" t="s">
        <v>2113</v>
      </c>
      <c r="C143" s="1165" t="s">
        <v>1971</v>
      </c>
      <c r="D143" s="3692"/>
      <c r="E143" s="3692" t="s">
        <v>2053</v>
      </c>
      <c r="F143" s="3692" t="s">
        <v>2053</v>
      </c>
      <c r="G143" s="3693" t="s">
        <v>2053</v>
      </c>
    </row>
    <row r="144" spans="2:7" ht="18" customHeight="1" x14ac:dyDescent="0.25">
      <c r="B144" s="1163" t="s">
        <v>2113</v>
      </c>
      <c r="C144" s="1165" t="s">
        <v>905</v>
      </c>
      <c r="D144" s="3692"/>
      <c r="E144" s="3692"/>
      <c r="F144" s="3692"/>
      <c r="G144" s="3693"/>
    </row>
    <row r="145" spans="2:7" ht="18" customHeight="1" x14ac:dyDescent="0.25">
      <c r="B145" s="1163" t="s">
        <v>2114</v>
      </c>
      <c r="C145" s="1442" t="s">
        <v>2052</v>
      </c>
      <c r="D145" s="3692"/>
      <c r="E145" s="3692"/>
      <c r="F145" s="3692"/>
      <c r="G145" s="3693"/>
    </row>
    <row r="146" spans="2:7" ht="18" customHeight="1" x14ac:dyDescent="0.2">
      <c r="B146" s="1163" t="s">
        <v>2114</v>
      </c>
      <c r="C146" s="1165" t="s">
        <v>2004</v>
      </c>
      <c r="D146" s="3692"/>
      <c r="E146" s="3692"/>
      <c r="F146" s="3692"/>
      <c r="G146" s="3693"/>
    </row>
    <row r="147" spans="2:7" ht="18" customHeight="1" x14ac:dyDescent="0.2">
      <c r="B147" s="1163" t="s">
        <v>2114</v>
      </c>
      <c r="C147" s="1165" t="s">
        <v>1971</v>
      </c>
      <c r="D147" s="3692"/>
      <c r="E147" s="3692"/>
      <c r="F147" s="3692"/>
      <c r="G147" s="3693"/>
    </row>
    <row r="148" spans="2:7" ht="18" customHeight="1" x14ac:dyDescent="0.25">
      <c r="B148" s="1163" t="s">
        <v>2114</v>
      </c>
      <c r="C148" s="1165" t="s">
        <v>905</v>
      </c>
      <c r="D148" s="3692"/>
      <c r="E148" s="3692"/>
      <c r="F148" s="3692"/>
      <c r="G148" s="3693"/>
    </row>
    <row r="149" spans="2:7" ht="18" customHeight="1" x14ac:dyDescent="0.2">
      <c r="B149" s="1163" t="s">
        <v>2114</v>
      </c>
      <c r="C149" s="1165" t="s">
        <v>1972</v>
      </c>
      <c r="D149" s="3692"/>
      <c r="E149" s="3692"/>
      <c r="F149" s="3692"/>
      <c r="G149" s="3693"/>
    </row>
    <row r="150" spans="2:7" ht="18" customHeight="1" x14ac:dyDescent="0.25">
      <c r="B150" s="1163" t="s">
        <v>2115</v>
      </c>
      <c r="C150" s="1442" t="s">
        <v>2052</v>
      </c>
      <c r="D150" s="3692"/>
      <c r="E150" s="3692"/>
      <c r="F150" s="3692"/>
      <c r="G150" s="3693"/>
    </row>
    <row r="151" spans="2:7" ht="18" customHeight="1" x14ac:dyDescent="0.25">
      <c r="B151" s="1163" t="s">
        <v>2116</v>
      </c>
      <c r="C151" s="1442" t="s">
        <v>2052</v>
      </c>
      <c r="D151" s="3692"/>
      <c r="E151" s="3692"/>
      <c r="F151" s="3692"/>
      <c r="G151" s="3693"/>
    </row>
    <row r="152" spans="2:7" ht="18" customHeight="1" x14ac:dyDescent="0.25">
      <c r="B152" s="1163" t="s">
        <v>2117</v>
      </c>
      <c r="C152" s="1442" t="s">
        <v>2052</v>
      </c>
      <c r="D152" s="3692"/>
      <c r="E152" s="3692"/>
      <c r="F152" s="3692"/>
      <c r="G152" s="3693"/>
    </row>
    <row r="153" spans="2:7" ht="18" customHeight="1" x14ac:dyDescent="0.25">
      <c r="B153" s="1163" t="s">
        <v>2117</v>
      </c>
      <c r="C153" s="1165" t="s">
        <v>2054</v>
      </c>
      <c r="D153" s="3692"/>
      <c r="E153" s="3692"/>
      <c r="F153" s="3692"/>
      <c r="G153" s="3693"/>
    </row>
    <row r="154" spans="2:7" ht="18" customHeight="1" x14ac:dyDescent="0.25">
      <c r="B154" s="1163" t="s">
        <v>2117</v>
      </c>
      <c r="C154" s="1165" t="s">
        <v>2055</v>
      </c>
      <c r="D154" s="3692"/>
      <c r="E154" s="3692"/>
      <c r="F154" s="3692"/>
      <c r="G154" s="3693"/>
    </row>
    <row r="155" spans="2:7" ht="18" customHeight="1" x14ac:dyDescent="0.2">
      <c r="B155" s="1163" t="s">
        <v>2117</v>
      </c>
      <c r="C155" s="1165" t="s">
        <v>2109</v>
      </c>
      <c r="D155" s="3692"/>
      <c r="E155" s="3692"/>
      <c r="F155" s="3692"/>
      <c r="G155" s="3693"/>
    </row>
    <row r="156" spans="2:7" ht="18" customHeight="1" x14ac:dyDescent="0.25">
      <c r="B156" s="1163" t="s">
        <v>2118</v>
      </c>
      <c r="C156" s="1442" t="s">
        <v>2052</v>
      </c>
      <c r="D156" s="3692"/>
      <c r="E156" s="3692"/>
      <c r="F156" s="3692"/>
      <c r="G156" s="3693"/>
    </row>
    <row r="157" spans="2:7" ht="18" customHeight="1" x14ac:dyDescent="0.25">
      <c r="B157" s="1163" t="s">
        <v>2118</v>
      </c>
      <c r="C157" s="1165" t="s">
        <v>2054</v>
      </c>
      <c r="D157" s="3692"/>
      <c r="E157" s="3692"/>
      <c r="F157" s="3692"/>
      <c r="G157" s="3693"/>
    </row>
    <row r="158" spans="2:7" ht="18" customHeight="1" x14ac:dyDescent="0.25">
      <c r="B158" s="1163" t="s">
        <v>2118</v>
      </c>
      <c r="C158" s="1165" t="s">
        <v>2055</v>
      </c>
      <c r="D158" s="3692"/>
      <c r="E158" s="3692"/>
      <c r="F158" s="3692"/>
      <c r="G158" s="3693"/>
    </row>
    <row r="159" spans="2:7" ht="18" customHeight="1" x14ac:dyDescent="0.25">
      <c r="B159" s="1161" t="s">
        <v>2119</v>
      </c>
      <c r="C159" s="1165" t="s">
        <v>2055</v>
      </c>
      <c r="D159" s="3692"/>
      <c r="E159" s="3692"/>
      <c r="F159" s="3692"/>
      <c r="G159" s="3693"/>
    </row>
    <row r="160" spans="2:7" ht="18" customHeight="1" x14ac:dyDescent="0.2">
      <c r="B160" s="1161" t="s">
        <v>2119</v>
      </c>
      <c r="C160" s="1165" t="s">
        <v>2109</v>
      </c>
      <c r="D160" s="3692"/>
      <c r="E160" s="3692"/>
      <c r="F160" s="3692"/>
      <c r="G160" s="3693"/>
    </row>
    <row r="161" spans="2:7" ht="18" customHeight="1" x14ac:dyDescent="0.2">
      <c r="B161" s="1161" t="s">
        <v>2120</v>
      </c>
      <c r="C161" s="1165" t="s">
        <v>2109</v>
      </c>
      <c r="D161" s="3692" t="s">
        <v>2053</v>
      </c>
      <c r="E161" s="3692" t="s">
        <v>2053</v>
      </c>
      <c r="F161" s="3692" t="s">
        <v>2053</v>
      </c>
      <c r="G161" s="3693" t="s">
        <v>2053</v>
      </c>
    </row>
    <row r="162" spans="2:7" ht="18" customHeight="1" x14ac:dyDescent="0.2">
      <c r="B162" s="1161" t="s">
        <v>2121</v>
      </c>
      <c r="C162" s="1165" t="s">
        <v>2109</v>
      </c>
      <c r="D162" s="3692"/>
      <c r="E162" s="3692"/>
      <c r="F162" s="3692"/>
      <c r="G162" s="3693"/>
    </row>
    <row r="163" spans="2:7" ht="18" customHeight="1" x14ac:dyDescent="0.2">
      <c r="B163" s="1161" t="s">
        <v>2122</v>
      </c>
      <c r="C163" s="1165" t="s">
        <v>2109</v>
      </c>
      <c r="D163" s="3692"/>
      <c r="E163" s="3692"/>
      <c r="F163" s="3692"/>
      <c r="G163" s="3693"/>
    </row>
    <row r="164" spans="2:7" ht="18" customHeight="1" x14ac:dyDescent="0.2">
      <c r="B164" s="1161" t="s">
        <v>2123</v>
      </c>
      <c r="C164" s="1165" t="s">
        <v>2109</v>
      </c>
      <c r="D164" s="3692"/>
      <c r="E164" s="3692" t="s">
        <v>2053</v>
      </c>
      <c r="F164" s="3692" t="s">
        <v>2053</v>
      </c>
      <c r="G164" s="3693"/>
    </row>
    <row r="165" spans="2:7" ht="18" customHeight="1" x14ac:dyDescent="0.2">
      <c r="B165" s="1161" t="s">
        <v>2124</v>
      </c>
      <c r="C165" s="1165" t="s">
        <v>2109</v>
      </c>
      <c r="D165" s="3692"/>
      <c r="E165" s="3692"/>
      <c r="F165" s="3692"/>
      <c r="G165" s="3693"/>
    </row>
    <row r="166" spans="2:7" ht="18" customHeight="1" x14ac:dyDescent="0.2">
      <c r="B166" s="1161" t="s">
        <v>2125</v>
      </c>
      <c r="C166" s="1165" t="s">
        <v>2109</v>
      </c>
      <c r="D166" s="3692"/>
      <c r="E166" s="3692"/>
      <c r="F166" s="3692"/>
      <c r="G166" s="3693"/>
    </row>
    <row r="167" spans="2:7" ht="18" customHeight="1" x14ac:dyDescent="0.25">
      <c r="B167" s="1163" t="s">
        <v>2126</v>
      </c>
      <c r="C167" s="1442" t="s">
        <v>2052</v>
      </c>
      <c r="D167" s="3692"/>
      <c r="E167" s="3692"/>
      <c r="F167" s="3692"/>
      <c r="G167" s="3693"/>
    </row>
    <row r="168" spans="2:7" ht="18" customHeight="1" x14ac:dyDescent="0.25">
      <c r="B168" s="1163" t="s">
        <v>2126</v>
      </c>
      <c r="C168" s="1165" t="s">
        <v>2054</v>
      </c>
      <c r="D168" s="3692"/>
      <c r="E168" s="3692"/>
      <c r="F168" s="3692"/>
      <c r="G168" s="3693"/>
    </row>
    <row r="169" spans="2:7" ht="18" customHeight="1" x14ac:dyDescent="0.25">
      <c r="B169" s="1163" t="s">
        <v>2126</v>
      </c>
      <c r="C169" s="1165" t="s">
        <v>2055</v>
      </c>
      <c r="D169" s="3692"/>
      <c r="E169" s="3692"/>
      <c r="F169" s="3692"/>
      <c r="G169" s="3693"/>
    </row>
    <row r="170" spans="2:7" ht="18" customHeight="1" x14ac:dyDescent="0.2">
      <c r="B170" s="1163" t="s">
        <v>2126</v>
      </c>
      <c r="C170" s="1165" t="s">
        <v>2109</v>
      </c>
      <c r="D170" s="3692"/>
      <c r="E170" s="3692"/>
      <c r="F170" s="3692"/>
      <c r="G170" s="3693"/>
    </row>
    <row r="171" spans="2:7" ht="18" customHeight="1" x14ac:dyDescent="0.25">
      <c r="B171" s="1163" t="s">
        <v>2127</v>
      </c>
      <c r="C171" s="1442" t="s">
        <v>2052</v>
      </c>
      <c r="D171" s="3692"/>
      <c r="E171" s="3692"/>
      <c r="F171" s="3692"/>
      <c r="G171" s="3693"/>
    </row>
    <row r="172" spans="2:7" ht="18" customHeight="1" x14ac:dyDescent="0.25">
      <c r="B172" s="1163" t="s">
        <v>2127</v>
      </c>
      <c r="C172" s="1165" t="s">
        <v>2054</v>
      </c>
      <c r="D172" s="3692"/>
      <c r="E172" s="3692"/>
      <c r="F172" s="3692"/>
      <c r="G172" s="3693"/>
    </row>
    <row r="173" spans="2:7" ht="18" customHeight="1" x14ac:dyDescent="0.25">
      <c r="B173" s="1163" t="s">
        <v>2127</v>
      </c>
      <c r="C173" s="1165" t="s">
        <v>2055</v>
      </c>
      <c r="D173" s="3692"/>
      <c r="E173" s="3692"/>
      <c r="F173" s="3692"/>
      <c r="G173" s="3693"/>
    </row>
    <row r="174" spans="2:7" ht="18" customHeight="1" x14ac:dyDescent="0.2">
      <c r="B174" s="1163" t="s">
        <v>2127</v>
      </c>
      <c r="C174" s="1165" t="s">
        <v>2109</v>
      </c>
      <c r="D174" s="3692"/>
      <c r="E174" s="3692"/>
      <c r="F174" s="3692"/>
      <c r="G174" s="3693"/>
    </row>
    <row r="175" spans="2:7" ht="18" customHeight="1" x14ac:dyDescent="0.25">
      <c r="B175" s="1162" t="s">
        <v>2128</v>
      </c>
      <c r="C175" s="1442" t="s">
        <v>2052</v>
      </c>
      <c r="D175" s="3692"/>
      <c r="E175" s="3692"/>
      <c r="F175" s="3692"/>
      <c r="G175" s="3693"/>
    </row>
    <row r="176" spans="2:7" ht="18" customHeight="1" x14ac:dyDescent="0.25">
      <c r="B176" s="1163" t="s">
        <v>2129</v>
      </c>
      <c r="C176" s="1165" t="s">
        <v>2054</v>
      </c>
      <c r="D176" s="3692" t="s">
        <v>2053</v>
      </c>
      <c r="E176" s="3692" t="s">
        <v>2053</v>
      </c>
      <c r="F176" s="3692" t="s">
        <v>2053</v>
      </c>
      <c r="G176" s="3693" t="s">
        <v>2053</v>
      </c>
    </row>
    <row r="177" spans="2:7" ht="18" customHeight="1" x14ac:dyDescent="0.25">
      <c r="B177" s="1163" t="s">
        <v>2130</v>
      </c>
      <c r="C177" s="1165" t="s">
        <v>2054</v>
      </c>
      <c r="D177" s="3692" t="s">
        <v>2053</v>
      </c>
      <c r="E177" s="3692" t="s">
        <v>2053</v>
      </c>
      <c r="F177" s="3692" t="s">
        <v>2053</v>
      </c>
      <c r="G177" s="3693" t="s">
        <v>2053</v>
      </c>
    </row>
    <row r="178" spans="2:7" ht="18" customHeight="1" x14ac:dyDescent="0.25">
      <c r="B178" s="1163" t="s">
        <v>2130</v>
      </c>
      <c r="C178" s="1165" t="s">
        <v>2055</v>
      </c>
      <c r="D178" s="3692"/>
      <c r="E178" s="3692"/>
      <c r="F178" s="3692"/>
      <c r="G178" s="3693"/>
    </row>
    <row r="179" spans="2:7" ht="18" customHeight="1" x14ac:dyDescent="0.25">
      <c r="B179" s="1163" t="s">
        <v>2131</v>
      </c>
      <c r="C179" s="1165" t="s">
        <v>2054</v>
      </c>
      <c r="D179" s="3692"/>
      <c r="E179" s="3692"/>
      <c r="F179" s="3692"/>
      <c r="G179" s="3693"/>
    </row>
    <row r="180" spans="2:7" ht="18" customHeight="1" x14ac:dyDescent="0.25">
      <c r="B180" s="1163" t="s">
        <v>2132</v>
      </c>
      <c r="C180" s="1165" t="s">
        <v>2054</v>
      </c>
      <c r="D180" s="3692"/>
      <c r="E180" s="3692"/>
      <c r="F180" s="3692"/>
      <c r="G180" s="3693"/>
    </row>
    <row r="181" spans="2:7" ht="18" customHeight="1" x14ac:dyDescent="0.25">
      <c r="B181" s="1161" t="s">
        <v>2133</v>
      </c>
      <c r="C181" s="1165" t="s">
        <v>2055</v>
      </c>
      <c r="D181" s="3692" t="s">
        <v>2053</v>
      </c>
      <c r="E181" s="3692" t="s">
        <v>2053</v>
      </c>
      <c r="F181" s="3692" t="s">
        <v>2053</v>
      </c>
      <c r="G181" s="3693" t="s">
        <v>2053</v>
      </c>
    </row>
    <row r="182" spans="2:7" ht="18" customHeight="1" x14ac:dyDescent="0.25">
      <c r="B182" s="1162" t="s">
        <v>2134</v>
      </c>
      <c r="C182" s="1165" t="s">
        <v>2055</v>
      </c>
      <c r="D182" s="3692" t="s">
        <v>2053</v>
      </c>
      <c r="E182" s="3692" t="s">
        <v>2053</v>
      </c>
      <c r="F182" s="3692" t="s">
        <v>2053</v>
      </c>
      <c r="G182" s="3693" t="s">
        <v>2053</v>
      </c>
    </row>
    <row r="183" spans="2:7" ht="18" customHeight="1" x14ac:dyDescent="0.25">
      <c r="B183" s="1161" t="s">
        <v>2135</v>
      </c>
      <c r="C183" s="1165" t="s">
        <v>2054</v>
      </c>
      <c r="D183" s="3692"/>
      <c r="E183" s="3692"/>
      <c r="F183" s="3692"/>
      <c r="G183" s="3693"/>
    </row>
    <row r="184" spans="2:7" ht="18" customHeight="1" x14ac:dyDescent="0.25">
      <c r="B184" s="1161" t="s">
        <v>2135</v>
      </c>
      <c r="C184" s="1165" t="s">
        <v>2055</v>
      </c>
      <c r="D184" s="3692"/>
      <c r="E184" s="3692"/>
      <c r="F184" s="3692"/>
      <c r="G184" s="3693"/>
    </row>
    <row r="185" spans="2:7" ht="18" customHeight="1" x14ac:dyDescent="0.25">
      <c r="B185" s="1161" t="s">
        <v>2136</v>
      </c>
      <c r="C185" s="1165" t="s">
        <v>2054</v>
      </c>
      <c r="D185" s="3692"/>
      <c r="E185" s="3692"/>
      <c r="F185" s="3692"/>
      <c r="G185" s="3693"/>
    </row>
    <row r="186" spans="2:7" ht="18" customHeight="1" x14ac:dyDescent="0.25">
      <c r="B186" s="1161" t="s">
        <v>2136</v>
      </c>
      <c r="C186" s="1165" t="s">
        <v>2055</v>
      </c>
      <c r="D186" s="3692"/>
      <c r="E186" s="3692"/>
      <c r="F186" s="3692"/>
      <c r="G186" s="3693"/>
    </row>
    <row r="187" spans="2:7" ht="18" customHeight="1" x14ac:dyDescent="0.25">
      <c r="B187" s="1161" t="s">
        <v>2137</v>
      </c>
      <c r="C187" s="1442" t="s">
        <v>2052</v>
      </c>
      <c r="D187" s="3692" t="s">
        <v>2053</v>
      </c>
      <c r="E187" s="3692" t="s">
        <v>2053</v>
      </c>
      <c r="F187" s="3692" t="s">
        <v>2053</v>
      </c>
      <c r="G187" s="3693" t="s">
        <v>2053</v>
      </c>
    </row>
    <row r="188" spans="2:7" ht="18" customHeight="1" x14ac:dyDescent="0.25">
      <c r="B188" s="1161" t="s">
        <v>2138</v>
      </c>
      <c r="C188" s="1442" t="s">
        <v>2052</v>
      </c>
      <c r="D188" s="3692" t="s">
        <v>2053</v>
      </c>
      <c r="E188" s="3692" t="s">
        <v>2053</v>
      </c>
      <c r="F188" s="3692" t="s">
        <v>2053</v>
      </c>
      <c r="G188" s="3693" t="s">
        <v>2053</v>
      </c>
    </row>
    <row r="189" spans="2:7" ht="18" customHeight="1" x14ac:dyDescent="0.25">
      <c r="B189" s="1161" t="s">
        <v>2139</v>
      </c>
      <c r="C189" s="1442" t="s">
        <v>2052</v>
      </c>
      <c r="D189" s="3692"/>
      <c r="E189" s="3692"/>
      <c r="F189" s="3692"/>
      <c r="G189" s="3693"/>
    </row>
    <row r="190" spans="2:7" ht="18" customHeight="1" x14ac:dyDescent="0.25">
      <c r="B190" s="1161" t="s">
        <v>2140</v>
      </c>
      <c r="C190" s="1442" t="s">
        <v>2052</v>
      </c>
      <c r="D190" s="3692"/>
      <c r="E190" s="3692"/>
      <c r="F190" s="3692"/>
      <c r="G190" s="3693"/>
    </row>
    <row r="191" spans="2:7" ht="18" customHeight="1" x14ac:dyDescent="0.25">
      <c r="B191" s="1163" t="s">
        <v>2140</v>
      </c>
      <c r="C191" s="1165" t="s">
        <v>2054</v>
      </c>
      <c r="D191" s="3692"/>
      <c r="E191" s="3692"/>
      <c r="F191" s="3692"/>
      <c r="G191" s="3693"/>
    </row>
    <row r="192" spans="2:7" ht="18" customHeight="1" x14ac:dyDescent="0.25">
      <c r="B192" s="1163" t="s">
        <v>2140</v>
      </c>
      <c r="C192" s="1165" t="s">
        <v>2055</v>
      </c>
      <c r="D192" s="3692"/>
      <c r="E192" s="3692"/>
      <c r="F192" s="3692"/>
      <c r="G192" s="3693"/>
    </row>
    <row r="193" spans="2:7" ht="18" customHeight="1" x14ac:dyDescent="0.25">
      <c r="B193" s="1162" t="s">
        <v>2141</v>
      </c>
      <c r="C193" s="1442" t="s">
        <v>2052</v>
      </c>
      <c r="D193" s="3692"/>
      <c r="E193" s="3692"/>
      <c r="F193" s="3692"/>
      <c r="G193" s="3693"/>
    </row>
    <row r="194" spans="2:7" ht="18" customHeight="1" x14ac:dyDescent="0.25">
      <c r="B194" s="1163" t="s">
        <v>2142</v>
      </c>
      <c r="C194" s="1442" t="s">
        <v>2052</v>
      </c>
      <c r="D194" s="3692" t="s">
        <v>2053</v>
      </c>
      <c r="E194" s="3692" t="s">
        <v>2053</v>
      </c>
      <c r="F194" s="3692"/>
      <c r="G194" s="3693" t="s">
        <v>2053</v>
      </c>
    </row>
    <row r="195" spans="2:7" ht="18" customHeight="1" x14ac:dyDescent="0.25">
      <c r="B195" s="1163" t="s">
        <v>2143</v>
      </c>
      <c r="C195" s="1442" t="s">
        <v>2052</v>
      </c>
      <c r="D195" s="3692" t="s">
        <v>2053</v>
      </c>
      <c r="E195" s="3692" t="s">
        <v>2053</v>
      </c>
      <c r="F195" s="3692"/>
      <c r="G195" s="3693" t="s">
        <v>2053</v>
      </c>
    </row>
    <row r="196" spans="2:7" ht="18" customHeight="1" x14ac:dyDescent="0.25">
      <c r="B196" s="1163" t="s">
        <v>2144</v>
      </c>
      <c r="C196" s="1442" t="s">
        <v>2052</v>
      </c>
      <c r="D196" s="3692" t="s">
        <v>2053</v>
      </c>
      <c r="E196" s="3692" t="s">
        <v>2053</v>
      </c>
      <c r="F196" s="3692"/>
      <c r="G196" s="3693" t="s">
        <v>2053</v>
      </c>
    </row>
    <row r="197" spans="2:7" ht="18" customHeight="1" x14ac:dyDescent="0.25">
      <c r="B197" s="1163" t="s">
        <v>2145</v>
      </c>
      <c r="C197" s="1442" t="s">
        <v>2052</v>
      </c>
      <c r="D197" s="3692"/>
      <c r="E197" s="3692" t="s">
        <v>2053</v>
      </c>
      <c r="F197" s="3692"/>
      <c r="G197" s="3693" t="s">
        <v>2053</v>
      </c>
    </row>
    <row r="198" spans="2:7" ht="18" customHeight="1" x14ac:dyDescent="0.25">
      <c r="B198" s="1163" t="s">
        <v>2146</v>
      </c>
      <c r="C198" s="1442" t="s">
        <v>2052</v>
      </c>
      <c r="D198" s="3692" t="s">
        <v>2053</v>
      </c>
      <c r="E198" s="3692" t="s">
        <v>2053</v>
      </c>
      <c r="F198" s="3692"/>
      <c r="G198" s="3693" t="s">
        <v>2053</v>
      </c>
    </row>
    <row r="199" spans="2:7" ht="18" customHeight="1" x14ac:dyDescent="0.25">
      <c r="B199" s="1163" t="s">
        <v>2147</v>
      </c>
      <c r="C199" s="1442" t="s">
        <v>2052</v>
      </c>
      <c r="D199" s="3692" t="s">
        <v>2053</v>
      </c>
      <c r="E199" s="3692" t="s">
        <v>2053</v>
      </c>
      <c r="F199" s="3692"/>
      <c r="G199" s="3693" t="s">
        <v>2053</v>
      </c>
    </row>
    <row r="200" spans="2:7" ht="18" customHeight="1" x14ac:dyDescent="0.25">
      <c r="B200" s="1163" t="s">
        <v>2148</v>
      </c>
      <c r="C200" s="1442" t="s">
        <v>2052</v>
      </c>
      <c r="D200" s="3692"/>
      <c r="E200" s="3692"/>
      <c r="F200" s="3692"/>
      <c r="G200" s="3693"/>
    </row>
    <row r="201" spans="2:7" ht="18" customHeight="1" x14ac:dyDescent="0.25">
      <c r="B201" s="1163" t="s">
        <v>2149</v>
      </c>
      <c r="C201" s="1442" t="s">
        <v>2052</v>
      </c>
      <c r="D201" s="3692"/>
      <c r="E201" s="3692"/>
      <c r="F201" s="3692"/>
      <c r="G201" s="3693"/>
    </row>
    <row r="202" spans="2:7" ht="18" customHeight="1" x14ac:dyDescent="0.25">
      <c r="B202" s="1163" t="s">
        <v>2150</v>
      </c>
      <c r="C202" s="1442" t="s">
        <v>2052</v>
      </c>
      <c r="D202" s="3692"/>
      <c r="E202" s="3692" t="s">
        <v>2053</v>
      </c>
      <c r="F202" s="3692"/>
      <c r="G202" s="3693" t="s">
        <v>2053</v>
      </c>
    </row>
    <row r="203" spans="2:7" ht="18" customHeight="1" x14ac:dyDescent="0.25">
      <c r="B203" s="1163" t="s">
        <v>2151</v>
      </c>
      <c r="C203" s="1442" t="s">
        <v>2052</v>
      </c>
      <c r="D203" s="3692"/>
      <c r="E203" s="3692"/>
      <c r="F203" s="3692"/>
      <c r="G203" s="3693"/>
    </row>
    <row r="204" spans="2:7" ht="18" customHeight="1" x14ac:dyDescent="0.25">
      <c r="B204" s="1163" t="s">
        <v>2152</v>
      </c>
      <c r="C204" s="1442" t="s">
        <v>2052</v>
      </c>
      <c r="D204" s="3692"/>
      <c r="E204" s="3692"/>
      <c r="F204" s="3692"/>
      <c r="G204" s="3693"/>
    </row>
    <row r="205" spans="2:7" ht="18" customHeight="1" x14ac:dyDescent="0.25">
      <c r="B205" s="1163" t="s">
        <v>2153</v>
      </c>
      <c r="C205" s="1442" t="s">
        <v>2052</v>
      </c>
      <c r="D205" s="3692" t="s">
        <v>2053</v>
      </c>
      <c r="E205" s="3692" t="s">
        <v>2053</v>
      </c>
      <c r="F205" s="3692"/>
      <c r="G205" s="3693" t="s">
        <v>2053</v>
      </c>
    </row>
    <row r="206" spans="2:7" ht="18" customHeight="1" x14ac:dyDescent="0.25">
      <c r="B206" s="1163" t="s">
        <v>2154</v>
      </c>
      <c r="C206" s="1442" t="s">
        <v>2052</v>
      </c>
      <c r="D206" s="3692"/>
      <c r="E206" s="3692"/>
      <c r="F206" s="3692"/>
      <c r="G206" s="3693"/>
    </row>
    <row r="207" spans="2:7" ht="18" customHeight="1" x14ac:dyDescent="0.25">
      <c r="B207" s="1163" t="s">
        <v>2155</v>
      </c>
      <c r="C207" s="1442" t="s">
        <v>2052</v>
      </c>
      <c r="D207" s="3692"/>
      <c r="E207" s="3692"/>
      <c r="F207" s="3692"/>
      <c r="G207" s="3693"/>
    </row>
    <row r="208" spans="2:7" ht="18" customHeight="1" x14ac:dyDescent="0.25">
      <c r="B208" s="1161" t="s">
        <v>2156</v>
      </c>
      <c r="C208" s="1442" t="s">
        <v>2052</v>
      </c>
      <c r="D208" s="3692" t="s">
        <v>2053</v>
      </c>
      <c r="E208" s="3692" t="s">
        <v>2053</v>
      </c>
      <c r="F208" s="3692"/>
      <c r="G208" s="3693" t="s">
        <v>2053</v>
      </c>
    </row>
    <row r="209" spans="2:7" ht="18" customHeight="1" x14ac:dyDescent="0.25">
      <c r="B209" s="1162" t="s">
        <v>2157</v>
      </c>
      <c r="C209" s="1165" t="s">
        <v>2055</v>
      </c>
      <c r="D209" s="3692"/>
      <c r="E209" s="3692"/>
      <c r="F209" s="3692"/>
      <c r="G209" s="3693"/>
    </row>
    <row r="210" spans="2:7" ht="18" customHeight="1" x14ac:dyDescent="0.25">
      <c r="B210" s="1162" t="s">
        <v>2158</v>
      </c>
      <c r="C210" s="1442" t="s">
        <v>2052</v>
      </c>
      <c r="D210" s="3692"/>
      <c r="E210" s="3692"/>
      <c r="F210" s="3692"/>
      <c r="G210" s="3693"/>
    </row>
    <row r="211" spans="2:7" ht="18" customHeight="1" x14ac:dyDescent="0.25">
      <c r="B211" s="1162" t="s">
        <v>2158</v>
      </c>
      <c r="C211" s="1165" t="s">
        <v>2054</v>
      </c>
      <c r="D211" s="3692" t="s">
        <v>2053</v>
      </c>
      <c r="E211" s="3692" t="s">
        <v>2053</v>
      </c>
      <c r="F211" s="3692"/>
      <c r="G211" s="3693" t="s">
        <v>2053</v>
      </c>
    </row>
    <row r="212" spans="2:7" ht="18" customHeight="1" x14ac:dyDescent="0.25">
      <c r="B212" s="1162" t="s">
        <v>2158</v>
      </c>
      <c r="C212" s="1165" t="s">
        <v>2055</v>
      </c>
      <c r="D212" s="3692"/>
      <c r="E212" s="3692"/>
      <c r="F212" s="3692"/>
      <c r="G212" s="3693"/>
    </row>
    <row r="213" spans="2:7" ht="18" customHeight="1" x14ac:dyDescent="0.25">
      <c r="B213" s="1164" t="s">
        <v>2159</v>
      </c>
      <c r="C213" s="1165" t="s">
        <v>2055</v>
      </c>
      <c r="D213" s="3692"/>
      <c r="E213" s="3692"/>
      <c r="F213" s="3692"/>
      <c r="G213" s="3693"/>
    </row>
    <row r="214" spans="2:7" ht="18" customHeight="1" x14ac:dyDescent="0.25">
      <c r="B214" s="1164" t="s">
        <v>2160</v>
      </c>
      <c r="C214" s="1442" t="s">
        <v>2052</v>
      </c>
      <c r="D214" s="3692"/>
      <c r="E214" s="3692"/>
      <c r="F214" s="3692"/>
      <c r="G214" s="3693"/>
    </row>
    <row r="215" spans="2:7" ht="18" customHeight="1" x14ac:dyDescent="0.25">
      <c r="B215" s="1163" t="s">
        <v>2160</v>
      </c>
      <c r="C215" s="1165" t="s">
        <v>2054</v>
      </c>
      <c r="D215" s="3692" t="s">
        <v>2053</v>
      </c>
      <c r="E215" s="3692" t="s">
        <v>2053</v>
      </c>
      <c r="F215" s="3692"/>
      <c r="G215" s="3693" t="s">
        <v>2053</v>
      </c>
    </row>
    <row r="216" spans="2:7" ht="18" customHeight="1" x14ac:dyDescent="0.25">
      <c r="B216" s="1163" t="s">
        <v>2160</v>
      </c>
      <c r="C216" s="1165" t="s">
        <v>2055</v>
      </c>
      <c r="D216" s="3692" t="s">
        <v>2053</v>
      </c>
      <c r="E216" s="3692"/>
      <c r="F216" s="3692"/>
      <c r="G216" s="3693" t="s">
        <v>2053</v>
      </c>
    </row>
    <row r="217" spans="2:7" ht="18" customHeight="1" x14ac:dyDescent="0.25">
      <c r="B217" s="1164" t="s">
        <v>2161</v>
      </c>
      <c r="C217" s="1442" t="s">
        <v>2052</v>
      </c>
      <c r="D217" s="3692"/>
      <c r="E217" s="3692"/>
      <c r="F217" s="3692"/>
      <c r="G217" s="3693"/>
    </row>
    <row r="218" spans="2:7" ht="18" customHeight="1" x14ac:dyDescent="0.25">
      <c r="B218" s="1164" t="s">
        <v>2161</v>
      </c>
      <c r="C218" s="1165" t="s">
        <v>2054</v>
      </c>
      <c r="D218" s="3692"/>
      <c r="E218" s="3692"/>
      <c r="F218" s="3692"/>
      <c r="G218" s="3693"/>
    </row>
    <row r="219" spans="2:7" ht="18" customHeight="1" x14ac:dyDescent="0.25">
      <c r="B219" s="1164" t="s">
        <v>2161</v>
      </c>
      <c r="C219" s="1165" t="s">
        <v>2055</v>
      </c>
      <c r="D219" s="3692"/>
      <c r="E219" s="3692"/>
      <c r="F219" s="3692"/>
      <c r="G219" s="3693"/>
    </row>
    <row r="220" spans="2:7" ht="18" customHeight="1" x14ac:dyDescent="0.25">
      <c r="B220" s="1162" t="s">
        <v>2162</v>
      </c>
      <c r="C220" s="1442" t="s">
        <v>2052</v>
      </c>
      <c r="D220" s="3692"/>
      <c r="E220" s="3692"/>
      <c r="F220" s="3692"/>
      <c r="G220" s="3693"/>
    </row>
    <row r="221" spans="2:7" ht="18" customHeight="1" x14ac:dyDescent="0.25">
      <c r="B221" s="1163" t="s">
        <v>2163</v>
      </c>
      <c r="C221" s="1165" t="s">
        <v>2054</v>
      </c>
      <c r="D221" s="3692" t="s">
        <v>2053</v>
      </c>
      <c r="E221" s="3692" t="s">
        <v>2053</v>
      </c>
      <c r="F221" s="3692" t="s">
        <v>2053</v>
      </c>
      <c r="G221" s="3693" t="s">
        <v>2053</v>
      </c>
    </row>
    <row r="222" spans="2:7" ht="18" customHeight="1" x14ac:dyDescent="0.25">
      <c r="B222" s="1163" t="s">
        <v>2164</v>
      </c>
      <c r="C222" s="1165" t="s">
        <v>2054</v>
      </c>
      <c r="D222" s="3692"/>
      <c r="E222" s="3692"/>
      <c r="F222" s="3692"/>
      <c r="G222" s="3693"/>
    </row>
    <row r="223" spans="2:7" ht="18" customHeight="1" x14ac:dyDescent="0.25">
      <c r="B223" s="1163" t="s">
        <v>2164</v>
      </c>
      <c r="C223" s="1165" t="s">
        <v>2055</v>
      </c>
      <c r="D223" s="3692"/>
      <c r="E223" s="3692"/>
      <c r="F223" s="3692"/>
      <c r="G223" s="3693"/>
    </row>
    <row r="224" spans="2:7" ht="18" customHeight="1" x14ac:dyDescent="0.25">
      <c r="B224" s="1163" t="s">
        <v>2165</v>
      </c>
      <c r="C224" s="1442" t="s">
        <v>2052</v>
      </c>
      <c r="D224" s="3692"/>
      <c r="E224" s="3692"/>
      <c r="F224" s="3692"/>
      <c r="G224" s="3693"/>
    </row>
    <row r="225" spans="2:7" ht="18" customHeight="1" x14ac:dyDescent="0.25">
      <c r="B225" s="1163" t="s">
        <v>2165</v>
      </c>
      <c r="C225" s="1165" t="s">
        <v>2054</v>
      </c>
      <c r="D225" s="3692"/>
      <c r="E225" s="3692"/>
      <c r="F225" s="3692"/>
      <c r="G225" s="3693"/>
    </row>
    <row r="226" spans="2:7" ht="18" customHeight="1" x14ac:dyDescent="0.25">
      <c r="B226" s="1163" t="s">
        <v>2165</v>
      </c>
      <c r="C226" s="1165" t="s">
        <v>2055</v>
      </c>
      <c r="D226" s="3692"/>
      <c r="E226" s="3692"/>
      <c r="F226" s="3692"/>
      <c r="G226" s="3693"/>
    </row>
    <row r="227" spans="2:7" ht="18" customHeight="1" x14ac:dyDescent="0.25">
      <c r="B227" s="1161" t="s">
        <v>2166</v>
      </c>
      <c r="C227" s="1165" t="s">
        <v>2054</v>
      </c>
      <c r="D227" s="3692" t="s">
        <v>2053</v>
      </c>
      <c r="E227" s="3692" t="s">
        <v>2053</v>
      </c>
      <c r="F227" s="3692" t="s">
        <v>2053</v>
      </c>
      <c r="G227" s="3693" t="s">
        <v>2053</v>
      </c>
    </row>
    <row r="228" spans="2:7" ht="18" customHeight="1" x14ac:dyDescent="0.25">
      <c r="B228" s="1161" t="s">
        <v>2166</v>
      </c>
      <c r="C228" s="1165" t="s">
        <v>2055</v>
      </c>
      <c r="D228" s="3692"/>
      <c r="E228" s="3692"/>
      <c r="F228" s="3692"/>
      <c r="G228" s="3693"/>
    </row>
    <row r="229" spans="2:7" ht="18" customHeight="1" x14ac:dyDescent="0.25">
      <c r="B229" s="1162" t="s">
        <v>2167</v>
      </c>
      <c r="C229" s="1442" t="s">
        <v>2052</v>
      </c>
      <c r="D229" s="3692"/>
      <c r="E229" s="3692"/>
      <c r="F229" s="3692"/>
      <c r="G229" s="3693"/>
    </row>
    <row r="230" spans="2:7" ht="18" customHeight="1" x14ac:dyDescent="0.25">
      <c r="B230" s="1162" t="s">
        <v>2167</v>
      </c>
      <c r="C230" s="1165" t="s">
        <v>2054</v>
      </c>
      <c r="D230" s="3692"/>
      <c r="E230" s="3692"/>
      <c r="F230" s="3692"/>
      <c r="G230" s="3693"/>
    </row>
    <row r="231" spans="2:7" ht="18" customHeight="1" x14ac:dyDescent="0.25">
      <c r="B231" s="1162" t="s">
        <v>2168</v>
      </c>
      <c r="C231" s="1442" t="s">
        <v>2052</v>
      </c>
      <c r="D231" s="3692"/>
      <c r="E231" s="3692"/>
      <c r="F231" s="3692"/>
      <c r="G231" s="3693"/>
    </row>
    <row r="232" spans="2:7" ht="18" customHeight="1" x14ac:dyDescent="0.25">
      <c r="B232" s="1162" t="s">
        <v>2169</v>
      </c>
      <c r="C232" s="1165" t="s">
        <v>2052</v>
      </c>
      <c r="D232" s="3692"/>
      <c r="E232" s="3692"/>
      <c r="F232" s="3692"/>
      <c r="G232" s="3693"/>
    </row>
    <row r="233" spans="2:7" ht="18" customHeight="1" x14ac:dyDescent="0.25">
      <c r="B233" s="1162" t="s">
        <v>2169</v>
      </c>
      <c r="C233" s="1165" t="s">
        <v>2054</v>
      </c>
      <c r="D233" s="3692"/>
      <c r="E233" s="3692"/>
      <c r="F233" s="3692"/>
      <c r="G233" s="3693"/>
    </row>
    <row r="234" spans="2:7" ht="18" customHeight="1" x14ac:dyDescent="0.25">
      <c r="B234" s="1162" t="s">
        <v>2169</v>
      </c>
      <c r="C234" s="1165" t="s">
        <v>2055</v>
      </c>
      <c r="D234" s="3692"/>
      <c r="E234" s="3692"/>
      <c r="F234" s="3692"/>
      <c r="G234" s="3693"/>
    </row>
    <row r="235" spans="2:7" ht="18" customHeight="1" x14ac:dyDescent="0.2">
      <c r="B235" s="1162" t="s">
        <v>2169</v>
      </c>
      <c r="C235" s="1165" t="s">
        <v>2109</v>
      </c>
      <c r="D235" s="3692"/>
      <c r="E235" s="3692"/>
      <c r="F235" s="3692"/>
      <c r="G235" s="3693"/>
    </row>
    <row r="236" spans="2:7" ht="18" customHeight="1" thickBot="1" x14ac:dyDescent="0.3">
      <c r="B236" s="1403" t="s">
        <v>2170</v>
      </c>
      <c r="C236" s="1443" t="s">
        <v>2052</v>
      </c>
      <c r="D236" s="3694"/>
      <c r="E236" s="3694"/>
      <c r="F236" s="3694"/>
      <c r="G236" s="3695"/>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45" t="s">
        <v>2171</v>
      </c>
      <c r="C250" s="4546"/>
      <c r="D250" s="4546"/>
      <c r="E250" s="4546"/>
      <c r="F250" s="4546"/>
      <c r="G250" s="4547"/>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topLeftCell="B1" workbookViewId="0">
      <selection activeCell="O10" sqref="O10:P10"/>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2460</v>
      </c>
    </row>
    <row r="2" spans="2:20" ht="15.75" customHeight="1" x14ac:dyDescent="0.2">
      <c r="B2" s="3" t="s">
        <v>840</v>
      </c>
      <c r="C2" s="213" t="s">
        <v>2173</v>
      </c>
      <c r="D2" s="213"/>
      <c r="E2" s="213">
        <v>2007</v>
      </c>
      <c r="F2" s="703"/>
      <c r="G2" s="703"/>
      <c r="H2" s="703"/>
      <c r="I2" s="703"/>
      <c r="J2" s="703"/>
      <c r="K2" s="703"/>
      <c r="L2" s="703"/>
      <c r="M2" s="703"/>
      <c r="N2" s="703"/>
      <c r="O2" s="703"/>
      <c r="P2" s="703"/>
      <c r="Q2" s="703"/>
      <c r="R2" s="703"/>
      <c r="S2" s="703"/>
      <c r="T2" s="14" t="s">
        <v>2461</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5"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3840">
        <f>SUM(C11,C22,C30,C41,C50,C56)</f>
        <v>468786.29567253077</v>
      </c>
      <c r="D10" s="3840">
        <f>SUM(D11,D22,D30,D41,D50,D56)</f>
        <v>453220.0228116769</v>
      </c>
      <c r="E10" s="3842">
        <f>IF(D10="NO",IF(C10="NO","NA",-C10),IF(C10="NO",D10,D10-C10))</f>
        <v>-15566.272860853875</v>
      </c>
      <c r="F10" s="3840">
        <f>IF(E10="NA","NA",E10/C10*100)</f>
        <v>-3.3205477644183619</v>
      </c>
      <c r="G10" s="3843">
        <f>IF(E10="NA","NA",E10/Table8s2!$G$35*100)</f>
        <v>-2.8514096497140757</v>
      </c>
      <c r="H10" s="3844">
        <f>IF(E10="NA","NA",E10/Table8s2!$G$34*100)</f>
        <v>-2.4861496216747252</v>
      </c>
      <c r="I10" s="4488">
        <f>SUM(I11,I22,I30,I41,I50,I56)</f>
        <v>146015.68845035252</v>
      </c>
      <c r="J10" s="3840">
        <f>SUM(J11,J22,J30,J41,J50,J56)</f>
        <v>146776.1658292108</v>
      </c>
      <c r="K10" s="3842">
        <f t="shared" ref="K10:K12" si="0">IF(J10="NO",IF(I10="NO","NA",-I10),IF(I10="NO",J10,J10-I10))</f>
        <v>760.47737885828246</v>
      </c>
      <c r="L10" s="3840">
        <f t="shared" ref="L10:L12" si="1">IF(K10="NA","NA",K10/I10*100)</f>
        <v>0.52081895235309317</v>
      </c>
      <c r="M10" s="3843">
        <f>IF(K10="NA","NA",K10/Table8s2!$G$35*100)</f>
        <v>0.13930325877294344</v>
      </c>
      <c r="N10" s="3844">
        <f>IF(K10="NA","NA",K10/Table8s2!$G$34*100)</f>
        <v>0.12145878237142728</v>
      </c>
      <c r="O10" s="4488">
        <f>SUM(O11,O22,O30,O41,O50,O56)</f>
        <v>21310.155554211902</v>
      </c>
      <c r="P10" s="3840">
        <f>SUM(P11,P22,P30,P41,P50,P56)</f>
        <v>20712.585334341806</v>
      </c>
      <c r="Q10" s="3842">
        <f t="shared" ref="Q10:Q12" si="2">IF(P10="NO",IF(O10="NO","NA",-O10),IF(O10="NO",P10,P10-O10))</f>
        <v>-597.57021987009648</v>
      </c>
      <c r="R10" s="3840">
        <f t="shared" ref="R10:R12" si="3">IF(Q10="NA","NA",Q10/O10*100)</f>
        <v>-2.8041570055643641</v>
      </c>
      <c r="S10" s="3843">
        <f>IF(Q10="NA","NA",Q10/Table8s2!$G$35*100)</f>
        <v>-0.10946213692581308</v>
      </c>
      <c r="T10" s="3844">
        <f>IF(Q10="NA","NA",Q10/Table8s2!$G$34*100)</f>
        <v>-9.5440250169983767E-2</v>
      </c>
    </row>
    <row r="11" spans="2:20" ht="18" customHeight="1" x14ac:dyDescent="0.2">
      <c r="B11" s="1404" t="s">
        <v>1921</v>
      </c>
      <c r="C11" s="3841">
        <f>SUM(C12,C18,C21)</f>
        <v>373139.75137787632</v>
      </c>
      <c r="D11" s="3841">
        <f>Summary2!C11</f>
        <v>372938.50135631009</v>
      </c>
      <c r="E11" s="3845">
        <f t="shared" ref="E11:E38" si="4">IF(D11="NO",IF(C11="NO","NA",-C11),IF(C11="NO",D11,D11-C11))</f>
        <v>-201.25002156622941</v>
      </c>
      <c r="F11" s="3841">
        <f t="shared" ref="F11:F38" si="5">IF(E11="NA","NA",E11/C11*100)</f>
        <v>-5.3934221916341674E-2</v>
      </c>
      <c r="G11" s="3846">
        <f>IF(E11="NA","NA",E11/Table8s2!$G$35*100)</f>
        <v>-3.6864717625644562E-2</v>
      </c>
      <c r="H11" s="3847">
        <f>IF(E11="NA","NA",E11/Table8s2!$G$34*100)</f>
        <v>-3.2142419026789819E-2</v>
      </c>
      <c r="I11" s="3848">
        <f>SUM(I12,I18,I21)</f>
        <v>41413.636789354583</v>
      </c>
      <c r="J11" s="3841">
        <f>Summary2!D11</f>
        <v>41556.107975193387</v>
      </c>
      <c r="K11" s="3845">
        <f t="shared" si="0"/>
        <v>142.47118583880365</v>
      </c>
      <c r="L11" s="3841">
        <f t="shared" si="1"/>
        <v>0.34401998202540379</v>
      </c>
      <c r="M11" s="3846">
        <f>IF(K11="NA","NA",K11/Table8s2!$G$35*100)</f>
        <v>2.6097686821910687E-2</v>
      </c>
      <c r="N11" s="3847">
        <f>IF(K11="NA","NA",K11/Table8s2!$G$34*100)</f>
        <v>2.2754623919220032E-2</v>
      </c>
      <c r="O11" s="3848">
        <f>SUM(O12,O18,O21)</f>
        <v>3365.7785568051863</v>
      </c>
      <c r="P11" s="3841">
        <f>Summary2!E11</f>
        <v>3363.2283813217523</v>
      </c>
      <c r="Q11" s="3845">
        <f t="shared" si="2"/>
        <v>-2.5501754834340318</v>
      </c>
      <c r="R11" s="3841">
        <f t="shared" si="3"/>
        <v>-7.5767773797176696E-2</v>
      </c>
      <c r="S11" s="3846">
        <f>IF(Q11="NA","NA",Q11/Table8s2!$G$35*100)</f>
        <v>-4.6713783363098386E-4</v>
      </c>
      <c r="T11" s="3847">
        <f>IF(Q11="NA","NA",Q11/Table8s2!$G$34*100)</f>
        <v>-4.0729838606952802E-4</v>
      </c>
    </row>
    <row r="12" spans="2:20" ht="18" customHeight="1" x14ac:dyDescent="0.2">
      <c r="B12" s="606" t="s">
        <v>242</v>
      </c>
      <c r="C12" s="3841">
        <f>SUM(C13:C17)</f>
        <v>365635.60767060501</v>
      </c>
      <c r="D12" s="3841">
        <f>Summary2!C12</f>
        <v>365433.45730423921</v>
      </c>
      <c r="E12" s="3841">
        <f t="shared" si="4"/>
        <v>-202.15036636579316</v>
      </c>
      <c r="F12" s="3849">
        <f t="shared" si="5"/>
        <v>-5.5287385069975742E-2</v>
      </c>
      <c r="G12" s="3846">
        <f>IF(E12="NA","NA",E12/Table8s2!$G$35*100)</f>
        <v>-3.7029641616923299E-2</v>
      </c>
      <c r="H12" s="3847">
        <f>IF(E12="NA","NA",E12/Table8s2!$G$34*100)</f>
        <v>-3.2286216575684222E-2</v>
      </c>
      <c r="I12" s="3848">
        <f>SUM(I13:I17)</f>
        <v>2315.7021862116389</v>
      </c>
      <c r="J12" s="3841">
        <f>Summary2!D12</f>
        <v>2314.2238602219941</v>
      </c>
      <c r="K12" s="3841">
        <f t="shared" si="0"/>
        <v>-1.4783259896448726</v>
      </c>
      <c r="L12" s="3849">
        <f t="shared" si="1"/>
        <v>-6.383921034609949E-2</v>
      </c>
      <c r="M12" s="3846">
        <f>IF(K12="NA","NA",K12/Table8s2!$G$35*100)</f>
        <v>-2.7079783516433063E-4</v>
      </c>
      <c r="N12" s="3847">
        <f>IF(K12="NA","NA",K12/Table8s2!$G$34*100)</f>
        <v>-2.3610915938074506E-4</v>
      </c>
      <c r="O12" s="3850">
        <f>SUM(O13:O17)</f>
        <v>3341.805808441879</v>
      </c>
      <c r="P12" s="3849">
        <f>Summary2!E12</f>
        <v>3339.2556329584449</v>
      </c>
      <c r="Q12" s="3841">
        <f t="shared" si="2"/>
        <v>-2.5501754834340318</v>
      </c>
      <c r="R12" s="3849">
        <f t="shared" si="3"/>
        <v>-7.6311300824001324E-2</v>
      </c>
      <c r="S12" s="3846">
        <f>IF(Q12="NA","NA",Q12/Table8s2!$G$35*100)</f>
        <v>-4.6713783363098386E-4</v>
      </c>
      <c r="T12" s="3847">
        <f>IF(Q12="NA","NA",Q12/Table8s2!$G$34*100)</f>
        <v>-4.0729838606952802E-4</v>
      </c>
    </row>
    <row r="13" spans="2:20" ht="18" customHeight="1" x14ac:dyDescent="0.2">
      <c r="B13" s="1391" t="s">
        <v>1923</v>
      </c>
      <c r="C13" s="3849">
        <v>222727.89215060009</v>
      </c>
      <c r="D13" s="3841">
        <f>Summary2!C13</f>
        <v>222727.89215060015</v>
      </c>
      <c r="E13" s="3841">
        <f t="shared" si="4"/>
        <v>5.8207660913467407E-11</v>
      </c>
      <c r="F13" s="3849">
        <f t="shared" si="5"/>
        <v>2.6133979157899814E-14</v>
      </c>
      <c r="G13" s="3846">
        <f>IF(E13="NA","NA",E13/Table8s2!$G$35*100)</f>
        <v>1.0662403742988317E-14</v>
      </c>
      <c r="H13" s="3847">
        <f>IF(E13="NA","NA",E13/Table8s2!$G$34*100)</f>
        <v>9.2965705697291472E-15</v>
      </c>
      <c r="I13" s="3848">
        <v>363.33985106283137</v>
      </c>
      <c r="J13" s="3841">
        <f>Summary2!D13</f>
        <v>363.33985106283131</v>
      </c>
      <c r="K13" s="3841">
        <f t="shared" ref="K13" si="6">IF(J13="NO",IF(I13="NO","NA",-I13),IF(I13="NO",J13,J13-I13))</f>
        <v>-5.6843418860808015E-14</v>
      </c>
      <c r="L13" s="3849">
        <f t="shared" ref="L13" si="7">IF(K13="NA","NA",K13/I13*100)</f>
        <v>-1.5644697022506965E-14</v>
      </c>
      <c r="M13" s="3846">
        <f>IF(K13="NA","NA",K13/Table8s2!$G$35*100)</f>
        <v>-1.0412503655262028E-17</v>
      </c>
      <c r="N13" s="3847">
        <f>IF(K13="NA","NA",K13/Table8s2!$G$34*100)</f>
        <v>-9.0786821970011203E-18</v>
      </c>
      <c r="O13" s="3850">
        <v>996.72320823972007</v>
      </c>
      <c r="P13" s="3849">
        <f>Summary2!E13</f>
        <v>996.72320823972041</v>
      </c>
      <c r="Q13" s="3841">
        <f t="shared" ref="Q13" si="8">IF(P13="NO",IF(O13="NO","NA",-O13),IF(O13="NO",P13,P13-O13))</f>
        <v>3.4106051316484809E-13</v>
      </c>
      <c r="R13" s="3849">
        <f t="shared" ref="R13" si="9">IF(Q13="NA","NA",Q13/O13*100)</f>
        <v>3.4218177157446127E-14</v>
      </c>
      <c r="S13" s="3846">
        <f>IF(Q13="NA","NA",Q13/Table8s2!$G$35*100)</f>
        <v>6.2475021931572177E-17</v>
      </c>
      <c r="T13" s="3847">
        <f>IF(Q13="NA","NA",Q13/Table8s2!$G$34*100)</f>
        <v>5.4472093182006731E-17</v>
      </c>
    </row>
    <row r="14" spans="2:20" ht="18" customHeight="1" x14ac:dyDescent="0.2">
      <c r="B14" s="1391" t="s">
        <v>1976</v>
      </c>
      <c r="C14" s="3849">
        <v>40457.906147434813</v>
      </c>
      <c r="D14" s="3841">
        <f>Summary2!C14</f>
        <v>40457.906147434805</v>
      </c>
      <c r="E14" s="3841">
        <f t="shared" si="4"/>
        <v>-7.2759576141834259E-12</v>
      </c>
      <c r="F14" s="3849">
        <f t="shared" si="5"/>
        <v>-1.798401921164363E-14</v>
      </c>
      <c r="G14" s="3846">
        <f>IF(E14="NA","NA",E14/Table8s2!$G$35*100)</f>
        <v>-1.3328004678735396E-15</v>
      </c>
      <c r="H14" s="3847">
        <f>IF(E14="NA","NA",E14/Table8s2!$G$34*100)</f>
        <v>-1.1620713212161434E-15</v>
      </c>
      <c r="I14" s="3848">
        <v>67.123137050048541</v>
      </c>
      <c r="J14" s="3841">
        <f>Summary2!D14</f>
        <v>67.123137050048555</v>
      </c>
      <c r="K14" s="3841">
        <f t="shared" ref="K14:K20" si="10">IF(J14="NO",IF(I14="NO","NA",-I14),IF(I14="NO",J14,J14-I14))</f>
        <v>1.4210854715202004E-14</v>
      </c>
      <c r="L14" s="3849">
        <f t="shared" ref="L14:L20" si="11">IF(K14="NA","NA",K14/I14*100)</f>
        <v>2.1171320858567837E-14</v>
      </c>
      <c r="M14" s="3846">
        <f>IF(K14="NA","NA",K14/Table8s2!$G$35*100)</f>
        <v>2.6031259138155071E-18</v>
      </c>
      <c r="N14" s="3847">
        <f>IF(K14="NA","NA",K14/Table8s2!$G$34*100)</f>
        <v>2.2696705492502801E-18</v>
      </c>
      <c r="O14" s="3850">
        <v>363.45447620072514</v>
      </c>
      <c r="P14" s="3849">
        <f>Summary2!E14</f>
        <v>363.45447620072525</v>
      </c>
      <c r="Q14" s="3841">
        <f t="shared" ref="Q14:Q20" si="12">IF(P14="NO",IF(O14="NO","NA",-O14),IF(O14="NO",P14,P14-O14))</f>
        <v>1.1368683772161603E-13</v>
      </c>
      <c r="R14" s="3849">
        <f t="shared" ref="R14:R20" si="13">IF(Q14="NA","NA",Q14/O14*100)</f>
        <v>3.1279526093614588E-14</v>
      </c>
      <c r="S14" s="3846">
        <f>IF(Q14="NA","NA",Q14/Table8s2!$G$35*100)</f>
        <v>2.0825007310524057E-17</v>
      </c>
      <c r="T14" s="3847">
        <f>IF(Q14="NA","NA",Q14/Table8s2!$G$34*100)</f>
        <v>1.8157364394002241E-17</v>
      </c>
    </row>
    <row r="15" spans="2:20" ht="18" customHeight="1" x14ac:dyDescent="0.2">
      <c r="B15" s="1391" t="s">
        <v>1925</v>
      </c>
      <c r="C15" s="3849">
        <v>82931.239783305893</v>
      </c>
      <c r="D15" s="3841">
        <f>Summary2!C15</f>
        <v>82772.894979733159</v>
      </c>
      <c r="E15" s="3841">
        <f t="shared" si="4"/>
        <v>-158.34480357273424</v>
      </c>
      <c r="F15" s="3849">
        <f t="shared" si="5"/>
        <v>-0.1909350493088964</v>
      </c>
      <c r="G15" s="3846">
        <f>IF(E15="NA","NA",E15/Table8s2!$G$35*100)</f>
        <v>-2.9005395506385034E-2</v>
      </c>
      <c r="H15" s="3847">
        <f>IF(E15="NA","NA",E15/Table8s2!$G$34*100)</f>
        <v>-2.5289860778845263E-2</v>
      </c>
      <c r="I15" s="3848">
        <v>557.13086416350063</v>
      </c>
      <c r="J15" s="3841">
        <f>Summary2!D15</f>
        <v>555.7433443195315</v>
      </c>
      <c r="K15" s="3841">
        <f t="shared" si="10"/>
        <v>-1.3875198439691303</v>
      </c>
      <c r="L15" s="3849">
        <f t="shared" si="11"/>
        <v>-0.2490473842357325</v>
      </c>
      <c r="M15" s="3846">
        <f>IF(K15="NA","NA",K15/Table8s2!$G$35*100)</f>
        <v>-2.541640833119973E-4</v>
      </c>
      <c r="N15" s="3847">
        <f>IF(K15="NA","NA",K15/Table8s2!$G$34*100)</f>
        <v>-2.2160615877581393E-4</v>
      </c>
      <c r="O15" s="3850">
        <v>1803.4001057217934</v>
      </c>
      <c r="P15" s="3849">
        <f>Summary2!E15</f>
        <v>1801.1769402303833</v>
      </c>
      <c r="Q15" s="3841">
        <f t="shared" si="12"/>
        <v>-2.2231654914101</v>
      </c>
      <c r="R15" s="3849">
        <f t="shared" si="13"/>
        <v>-0.12327633143396649</v>
      </c>
      <c r="S15" s="3846">
        <f>IF(Q15="NA","NA",Q15/Table8s2!$G$35*100)</f>
        <v>-4.0723656791728406E-4</v>
      </c>
      <c r="T15" s="3847">
        <f>IF(Q15="NA","NA",Q15/Table8s2!$G$34*100)</f>
        <v>-3.5507035594173304E-4</v>
      </c>
    </row>
    <row r="16" spans="2:20" ht="18" customHeight="1" x14ac:dyDescent="0.2">
      <c r="B16" s="1391" t="s">
        <v>1926</v>
      </c>
      <c r="C16" s="3849">
        <v>18698.626608088587</v>
      </c>
      <c r="D16" s="3841">
        <f>Summary2!C16</f>
        <v>18698.623052534163</v>
      </c>
      <c r="E16" s="3841">
        <f t="shared" si="4"/>
        <v>-3.555554423655849E-3</v>
      </c>
      <c r="F16" s="3849">
        <f t="shared" si="5"/>
        <v>-1.9015056550291237E-5</v>
      </c>
      <c r="G16" s="3846">
        <f>IF(E16="NA","NA",E16/Table8s2!$G$35*100)</f>
        <v>-6.5130184240774814E-7</v>
      </c>
      <c r="H16" s="3847">
        <f>IF(E16="NA","NA",E16/Table8s2!$G$34*100)</f>
        <v>-5.6787134365644113E-7</v>
      </c>
      <c r="I16" s="3848">
        <v>1327.1185862310408</v>
      </c>
      <c r="J16" s="3841">
        <f>Summary2!D16</f>
        <v>1327.1528372047349</v>
      </c>
      <c r="K16" s="3841">
        <f t="shared" si="10"/>
        <v>3.4250973694042841E-2</v>
      </c>
      <c r="L16" s="3849">
        <f t="shared" si="11"/>
        <v>2.5808525364198328E-3</v>
      </c>
      <c r="M16" s="3846">
        <f>IF(K16="NA","NA",K16/Table8s2!$G$35*100)</f>
        <v>6.2740488860953633E-6</v>
      </c>
      <c r="N16" s="3847">
        <f>IF(K16="NA","NA",K16/Table8s2!$G$34*100)</f>
        <v>5.4703554314262854E-6</v>
      </c>
      <c r="O16" s="3850">
        <v>172.15118087921729</v>
      </c>
      <c r="P16" s="3849">
        <f>Summary2!E16</f>
        <v>172.1563215705938</v>
      </c>
      <c r="Q16" s="3841">
        <f t="shared" si="12"/>
        <v>5.140691376510631E-3</v>
      </c>
      <c r="R16" s="3849">
        <f t="shared" si="13"/>
        <v>2.9861493544545495E-3</v>
      </c>
      <c r="S16" s="3846">
        <f>IF(Q16="NA","NA",Q16/Table8s2!$G$35*100)</f>
        <v>9.4166517111792974E-7</v>
      </c>
      <c r="T16" s="3847">
        <f>IF(Q16="NA","NA",Q16/Table8s2!$G$34*100)</f>
        <v>8.2103969492908932E-7</v>
      </c>
    </row>
    <row r="17" spans="2:20" ht="18" customHeight="1" x14ac:dyDescent="0.2">
      <c r="B17" s="1391" t="s">
        <v>1927</v>
      </c>
      <c r="C17" s="3849">
        <v>819.9429811755258</v>
      </c>
      <c r="D17" s="3841">
        <f>Summary2!C17</f>
        <v>776.14097393694124</v>
      </c>
      <c r="E17" s="3841">
        <f t="shared" si="4"/>
        <v>-43.802007238584565</v>
      </c>
      <c r="F17" s="3849">
        <f t="shared" si="5"/>
        <v>-5.3420796621476097</v>
      </c>
      <c r="G17" s="3846">
        <f>IF(E17="NA","NA",E17/Table8s2!$G$35*100)</f>
        <v>-8.0235948086865728E-3</v>
      </c>
      <c r="H17" s="3847">
        <f>IF(E17="NA","NA",E17/Table8s2!$G$34*100)</f>
        <v>-6.9957879254871971E-3</v>
      </c>
      <c r="I17" s="3848">
        <v>0.98974770421789071</v>
      </c>
      <c r="J17" s="3841">
        <f>Summary2!D17</f>
        <v>0.86469058484777839</v>
      </c>
      <c r="K17" s="3841">
        <f t="shared" si="10"/>
        <v>-0.12505711937011232</v>
      </c>
      <c r="L17" s="3849">
        <f t="shared" si="11"/>
        <v>-12.635252280674274</v>
      </c>
      <c r="M17" s="3846">
        <f>IF(K17="NA","NA",K17/Table8s2!$G$35*100)</f>
        <v>-2.2907800738488597E-5</v>
      </c>
      <c r="N17" s="3847">
        <f>IF(K17="NA","NA",K17/Table8s2!$G$34*100)</f>
        <v>-1.9973356036409668E-5</v>
      </c>
      <c r="O17" s="3850">
        <v>6.0768374004228258</v>
      </c>
      <c r="P17" s="3849">
        <f>Summary2!E17</f>
        <v>5.744686717022458</v>
      </c>
      <c r="Q17" s="3841">
        <f t="shared" si="12"/>
        <v>-0.3321506834003678</v>
      </c>
      <c r="R17" s="3849">
        <f t="shared" si="13"/>
        <v>-5.4658478006546103</v>
      </c>
      <c r="S17" s="3846">
        <f>IF(Q17="NA","NA",Q17/Table8s2!$G$35*100)</f>
        <v>-6.0842930884804066E-5</v>
      </c>
      <c r="T17" s="3847">
        <f>IF(Q17="NA","NA",Q17/Table8s2!$G$34*100)</f>
        <v>-5.3049069822712119E-5</v>
      </c>
    </row>
    <row r="18" spans="2:20" ht="18" customHeight="1" x14ac:dyDescent="0.2">
      <c r="B18" s="606" t="s">
        <v>201</v>
      </c>
      <c r="C18" s="3849">
        <f>SUM(C19:C20)</f>
        <v>7504.143707271317</v>
      </c>
      <c r="D18" s="3841">
        <f>Summary2!C18</f>
        <v>7505.0440520709017</v>
      </c>
      <c r="E18" s="3841">
        <f t="shared" si="4"/>
        <v>0.90034479958467273</v>
      </c>
      <c r="F18" s="3849">
        <f t="shared" si="5"/>
        <v>1.1997968518543461E-2</v>
      </c>
      <c r="G18" s="3846">
        <f>IF(E18="NA","NA",E18/Table8s2!$G$35*100)</f>
        <v>1.6492399128257329E-4</v>
      </c>
      <c r="H18" s="3847">
        <f>IF(E18="NA","NA",E18/Table8s2!$G$34*100)</f>
        <v>1.4379754889774272E-4</v>
      </c>
      <c r="I18" s="3848">
        <f>SUM(I19:I20)</f>
        <v>39097.934603142945</v>
      </c>
      <c r="J18" s="3841">
        <f>Summary2!D18</f>
        <v>39241.884114971392</v>
      </c>
      <c r="K18" s="3841">
        <f t="shared" si="10"/>
        <v>143.9495118284467</v>
      </c>
      <c r="L18" s="3849">
        <f t="shared" si="11"/>
        <v>0.36817676762105772</v>
      </c>
      <c r="M18" s="3846">
        <f>IF(K18="NA","NA",K18/Table8s2!$G$35*100)</f>
        <v>2.6368484657074687E-2</v>
      </c>
      <c r="N18" s="3847">
        <f>IF(K18="NA","NA",K18/Table8s2!$G$34*100)</f>
        <v>2.2990733078600487E-2</v>
      </c>
      <c r="O18" s="3850">
        <f>SUM(O19:O20)</f>
        <v>23.972748363307467</v>
      </c>
      <c r="P18" s="3849">
        <f>Summary2!E18</f>
        <v>23.972748363307474</v>
      </c>
      <c r="Q18" s="3841">
        <f t="shared" si="12"/>
        <v>7.1054273576010019E-15</v>
      </c>
      <c r="R18" s="3849">
        <f t="shared" si="13"/>
        <v>2.9639602643460451E-14</v>
      </c>
      <c r="S18" s="3846">
        <f>IF(Q18="NA","NA",Q18/Table8s2!$G$35*100)</f>
        <v>1.3015629569077536E-18</v>
      </c>
      <c r="T18" s="3847">
        <f>IF(Q18="NA","NA",Q18/Table8s2!$G$34*100)</f>
        <v>1.13483527462514E-18</v>
      </c>
    </row>
    <row r="19" spans="2:20" ht="18" customHeight="1" x14ac:dyDescent="0.2">
      <c r="B19" s="1391" t="s">
        <v>1928</v>
      </c>
      <c r="C19" s="3849">
        <v>1284.9645005780501</v>
      </c>
      <c r="D19" s="3841">
        <f>Summary2!C19</f>
        <v>1284.9645005780499</v>
      </c>
      <c r="E19" s="3841">
        <f t="shared" si="4"/>
        <v>-2.2737367544323206E-13</v>
      </c>
      <c r="F19" s="3849">
        <f t="shared" si="5"/>
        <v>-1.7694938291364973E-14</v>
      </c>
      <c r="G19" s="3846">
        <f>IF(E19="NA","NA",E19/Table8s2!$G$35*100)</f>
        <v>-4.1650014621048114E-17</v>
      </c>
      <c r="H19" s="3847">
        <f>IF(E19="NA","NA",E19/Table8s2!$G$34*100)</f>
        <v>-3.6314728788004481E-17</v>
      </c>
      <c r="I19" s="3848">
        <v>33398.812275804718</v>
      </c>
      <c r="J19" s="3841">
        <f>Summary2!D19</f>
        <v>33398.812275804725</v>
      </c>
      <c r="K19" s="3841">
        <f t="shared" si="10"/>
        <v>7.2759576141834259E-12</v>
      </c>
      <c r="L19" s="3849">
        <f t="shared" si="11"/>
        <v>2.1785078924661004E-14</v>
      </c>
      <c r="M19" s="3846">
        <f>IF(K19="NA","NA",K19/Table8s2!$G$35*100)</f>
        <v>1.3328004678735396E-15</v>
      </c>
      <c r="N19" s="3847">
        <f>IF(K19="NA","NA",K19/Table8s2!$G$34*100)</f>
        <v>1.1620713212161434E-15</v>
      </c>
      <c r="O19" s="3850">
        <v>3.3766172936601849E-2</v>
      </c>
      <c r="P19" s="3849">
        <f>Summary2!E19</f>
        <v>3.3766172936601849E-2</v>
      </c>
      <c r="Q19" s="3841">
        <f t="shared" si="12"/>
        <v>0</v>
      </c>
      <c r="R19" s="3849">
        <f t="shared" si="13"/>
        <v>0</v>
      </c>
      <c r="S19" s="3846">
        <f>IF(Q19="NA","NA",Q19/Table8s2!$G$35*100)</f>
        <v>0</v>
      </c>
      <c r="T19" s="3847">
        <f>IF(Q19="NA","NA",Q19/Table8s2!$G$34*100)</f>
        <v>0</v>
      </c>
    </row>
    <row r="20" spans="2:20" ht="18" customHeight="1" x14ac:dyDescent="0.2">
      <c r="B20" s="1392" t="s">
        <v>1929</v>
      </c>
      <c r="C20" s="3851">
        <v>6219.1792066932667</v>
      </c>
      <c r="D20" s="3852">
        <f>Summary2!C20</f>
        <v>6220.0795514928514</v>
      </c>
      <c r="E20" s="3852">
        <f t="shared" si="4"/>
        <v>0.90034479958467273</v>
      </c>
      <c r="F20" s="3851">
        <f t="shared" si="5"/>
        <v>1.4476907155460237E-2</v>
      </c>
      <c r="G20" s="3853">
        <f>IF(E20="NA","NA",E20/Table8s2!$G$35*100)</f>
        <v>1.6492399128257329E-4</v>
      </c>
      <c r="H20" s="3854">
        <f>IF(E20="NA","NA",E20/Table8s2!$G$34*100)</f>
        <v>1.4379754889774272E-4</v>
      </c>
      <c r="I20" s="3855">
        <v>5699.1223273382238</v>
      </c>
      <c r="J20" s="3852">
        <f>Summary2!D20</f>
        <v>5843.0718391666742</v>
      </c>
      <c r="K20" s="3841">
        <f t="shared" si="10"/>
        <v>143.94951182845034</v>
      </c>
      <c r="L20" s="3849">
        <f t="shared" si="11"/>
        <v>2.5258189517697542</v>
      </c>
      <c r="M20" s="3846">
        <f>IF(K20="NA","NA",K20/Table8s2!$G$35*100)</f>
        <v>2.6368484657075354E-2</v>
      </c>
      <c r="N20" s="3847">
        <f>IF(K20="NA","NA",K20/Table8s2!$G$34*100)</f>
        <v>2.2990733078601066E-2</v>
      </c>
      <c r="O20" s="3856">
        <v>23.938982190370865</v>
      </c>
      <c r="P20" s="3851">
        <f>Summary2!E20</f>
        <v>23.938982190370869</v>
      </c>
      <c r="Q20" s="3841">
        <f t="shared" si="12"/>
        <v>3.5527136788005009E-15</v>
      </c>
      <c r="R20" s="3849">
        <f t="shared" si="13"/>
        <v>1.4840704799177018E-14</v>
      </c>
      <c r="S20" s="3846">
        <f>IF(Q20="NA","NA",Q20/Table8s2!$G$35*100)</f>
        <v>6.5078147845387678E-19</v>
      </c>
      <c r="T20" s="3847">
        <f>IF(Q20="NA","NA",Q20/Table8s2!$G$34*100)</f>
        <v>5.6741763731257002E-19</v>
      </c>
    </row>
    <row r="21" spans="2:20" ht="18" customHeight="1" thickBot="1" x14ac:dyDescent="0.25">
      <c r="B21" s="1406" t="s">
        <v>1977</v>
      </c>
      <c r="C21" s="3857" t="s">
        <v>199</v>
      </c>
      <c r="D21" s="3857" t="str">
        <f>Summary2!C21</f>
        <v>NO</v>
      </c>
      <c r="E21" s="3858" t="str">
        <f t="shared" si="4"/>
        <v>NA</v>
      </c>
      <c r="F21" s="3858" t="str">
        <f t="shared" si="5"/>
        <v>NA</v>
      </c>
      <c r="G21" s="3859" t="str">
        <f>IF(E21="NA","NA",E21/Table8s2!$G$35*100)</f>
        <v>NA</v>
      </c>
      <c r="H21" s="3860" t="str">
        <f>IF(E21="NA","NA",E21/Table8s2!$G$34*100)</f>
        <v>NA</v>
      </c>
      <c r="I21" s="3861"/>
      <c r="J21" s="3862"/>
      <c r="K21" s="3862"/>
      <c r="L21" s="3862"/>
      <c r="M21" s="3862"/>
      <c r="N21" s="3862"/>
      <c r="O21" s="3862"/>
      <c r="P21" s="3862"/>
      <c r="Q21" s="3862"/>
      <c r="R21" s="3862"/>
      <c r="S21" s="3862"/>
      <c r="T21" s="3862"/>
    </row>
    <row r="22" spans="2:20" ht="18" customHeight="1" x14ac:dyDescent="0.2">
      <c r="B22" s="1405" t="s">
        <v>1931</v>
      </c>
      <c r="C22" s="3841">
        <f>SUM(C23:C29)</f>
        <v>24691.051147405647</v>
      </c>
      <c r="D22" s="3841">
        <f>Summary2!C22</f>
        <v>24691.051147405644</v>
      </c>
      <c r="E22" s="3863">
        <f t="shared" si="4"/>
        <v>-3.637978807091713E-12</v>
      </c>
      <c r="F22" s="3863">
        <f t="shared" si="5"/>
        <v>-1.4733997290649834E-14</v>
      </c>
      <c r="G22" s="3864">
        <f>IF(E22="NA","NA",E22/Table8s2!$G$35*100)</f>
        <v>-6.6640023393676982E-16</v>
      </c>
      <c r="H22" s="3865">
        <f>IF(E22="NA","NA",E22/Table8s2!$G$34*100)</f>
        <v>-5.810356606080717E-16</v>
      </c>
      <c r="I22" s="3841">
        <f>SUM(I23:I29)</f>
        <v>100.01994552567666</v>
      </c>
      <c r="J22" s="3841">
        <f>Summary2!D22</f>
        <v>100.01994552567668</v>
      </c>
      <c r="K22" s="3863">
        <f t="shared" ref="K22" si="14">IF(J22="NO",IF(I22="NO","NA",-I22),IF(I22="NO",J22,J22-I22))</f>
        <v>1.4210854715202004E-14</v>
      </c>
      <c r="L22" s="3863">
        <f t="shared" ref="L22" si="15">IF(K22="NA","NA",K22/I22*100)</f>
        <v>1.4208020850755072E-14</v>
      </c>
      <c r="M22" s="3864">
        <f>IF(K22="NA","NA",K22/Table8s2!$G$35*100)</f>
        <v>2.6031259138155071E-18</v>
      </c>
      <c r="N22" s="3865">
        <f>IF(K22="NA","NA",K22/Table8s2!$G$34*100)</f>
        <v>2.2696705492502801E-18</v>
      </c>
      <c r="O22" s="3841">
        <f>SUM(O23:O29)</f>
        <v>2457.3973121056183</v>
      </c>
      <c r="P22" s="3841">
        <f>Summary2!E22</f>
        <v>2457.3973121056188</v>
      </c>
      <c r="Q22" s="3863">
        <f t="shared" ref="Q22" si="16">IF(P22="NO",IF(O22="NO","NA",-O22),IF(O22="NO",P22,P22-O22))</f>
        <v>4.5474735088646412E-13</v>
      </c>
      <c r="R22" s="3866">
        <f t="shared" ref="R22" si="17">IF(Q22="NA","NA",Q22/O22*100)</f>
        <v>1.850524327695363E-14</v>
      </c>
      <c r="S22" s="3867">
        <f>IF(Q22="NA","NA",Q22/Table8s2!$G$35*100)</f>
        <v>8.3300029242096227E-17</v>
      </c>
      <c r="T22" s="3868">
        <f>IF(Q22="NA","NA",Q22/Table8s2!$G$34*100)</f>
        <v>7.2629457576008962E-17</v>
      </c>
    </row>
    <row r="23" spans="2:20" ht="18" customHeight="1" x14ac:dyDescent="0.2">
      <c r="B23" s="1393" t="s">
        <v>1932</v>
      </c>
      <c r="C23" s="3841">
        <v>6985.4738057376544</v>
      </c>
      <c r="D23" s="3841">
        <f>Summary2!C23</f>
        <v>6985.4738057376535</v>
      </c>
      <c r="E23" s="3841">
        <f t="shared" si="4"/>
        <v>-9.0949470177292824E-13</v>
      </c>
      <c r="F23" s="3849">
        <f t="shared" si="5"/>
        <v>-1.301979975969414E-14</v>
      </c>
      <c r="G23" s="3846">
        <f>IF(E23="NA","NA",E23/Table8s2!$G$35*100)</f>
        <v>-1.6660005848419245E-16</v>
      </c>
      <c r="H23" s="3847">
        <f>IF(E23="NA","NA",E23/Table8s2!$G$34*100)</f>
        <v>-1.4525891515201792E-16</v>
      </c>
      <c r="I23" s="1950"/>
      <c r="J23" s="1950"/>
      <c r="K23" s="1950"/>
      <c r="L23" s="1950"/>
      <c r="M23" s="1950"/>
      <c r="N23" s="1950"/>
      <c r="O23" s="1950"/>
      <c r="P23" s="1950"/>
      <c r="Q23" s="1950"/>
      <c r="R23" s="1950"/>
      <c r="S23" s="1950"/>
      <c r="T23" s="1950"/>
    </row>
    <row r="24" spans="2:20" ht="18" customHeight="1" x14ac:dyDescent="0.2">
      <c r="B24" s="1393" t="s">
        <v>846</v>
      </c>
      <c r="C24" s="3841">
        <v>4015.7436099825827</v>
      </c>
      <c r="D24" s="3841">
        <f>Summary2!C24</f>
        <v>4015.7436099825823</v>
      </c>
      <c r="E24" s="3841">
        <f t="shared" si="4"/>
        <v>-4.5474735088646412E-13</v>
      </c>
      <c r="F24" s="3849">
        <f t="shared" si="5"/>
        <v>-1.1324113166887078E-14</v>
      </c>
      <c r="G24" s="3846">
        <f>IF(E24="NA","NA",E24/Table8s2!$G$35*100)</f>
        <v>-8.3300029242096227E-17</v>
      </c>
      <c r="H24" s="3847">
        <f>IF(E24="NA","NA",E24/Table8s2!$G$34*100)</f>
        <v>-7.2629457576008962E-17</v>
      </c>
      <c r="I24" s="3848">
        <v>16.0575464</v>
      </c>
      <c r="J24" s="3841">
        <f>Summary2!D24</f>
        <v>16.0575464</v>
      </c>
      <c r="K24" s="3841">
        <f t="shared" ref="K24" si="18">IF(J24="NO",IF(I24="NO","NA",-I24),IF(I24="NO",J24,J24-I24))</f>
        <v>0</v>
      </c>
      <c r="L24" s="3849">
        <f t="shared" ref="L24" si="19">IF(K24="NA","NA",K24/I24*100)</f>
        <v>0</v>
      </c>
      <c r="M24" s="3846">
        <f>IF(K24="NA","NA",K24/Table8s2!$G$35*100)</f>
        <v>0</v>
      </c>
      <c r="N24" s="3847">
        <f>IF(K24="NA","NA",K24/Table8s2!$G$34*100)</f>
        <v>0</v>
      </c>
      <c r="O24" s="3850">
        <v>2436.4347304207758</v>
      </c>
      <c r="P24" s="3849">
        <f>Summary2!E24</f>
        <v>2436.4347304207763</v>
      </c>
      <c r="Q24" s="3841">
        <f t="shared" ref="Q24" si="20">IF(P24="NO",IF(O24="NO","NA",-O24),IF(O24="NO",P24,P24-O24))</f>
        <v>4.5474735088646412E-13</v>
      </c>
      <c r="R24" s="3849">
        <f t="shared" ref="R24" si="21">IF(Q24="NA","NA",Q24/O24*100)</f>
        <v>1.8664458571723304E-14</v>
      </c>
      <c r="S24" s="3846">
        <f>IF(Q24="NA","NA",Q24/Table8s2!$G$35*100)</f>
        <v>8.3300029242096227E-17</v>
      </c>
      <c r="T24" s="3847">
        <f>IF(Q24="NA","NA",Q24/Table8s2!$G$34*100)</f>
        <v>7.2629457576008962E-17</v>
      </c>
    </row>
    <row r="25" spans="2:20" ht="18" customHeight="1" x14ac:dyDescent="0.2">
      <c r="B25" s="1393" t="s">
        <v>637</v>
      </c>
      <c r="C25" s="3841">
        <v>13315.672838033808</v>
      </c>
      <c r="D25" s="3841">
        <f>Summary2!C25</f>
        <v>13315.672838033806</v>
      </c>
      <c r="E25" s="3841">
        <f t="shared" si="4"/>
        <v>-1.8189894035458565E-12</v>
      </c>
      <c r="F25" s="3849">
        <f t="shared" si="5"/>
        <v>-1.3660514385350792E-14</v>
      </c>
      <c r="G25" s="3846">
        <f>IF(E25="NA","NA",E25/Table8s2!$G$35*100)</f>
        <v>-3.3320011696838491E-16</v>
      </c>
      <c r="H25" s="3847">
        <f>IF(E25="NA","NA",E25/Table8s2!$G$34*100)</f>
        <v>-2.9051783030403585E-16</v>
      </c>
      <c r="I25" s="3848">
        <v>83.962399125676669</v>
      </c>
      <c r="J25" s="3841">
        <f>Summary2!D25</f>
        <v>83.962399125676669</v>
      </c>
      <c r="K25" s="3841">
        <f t="shared" ref="K25:K26" si="22">IF(J25="NO",IF(I25="NO","NA",-I25),IF(I25="NO",J25,J25-I25))</f>
        <v>0</v>
      </c>
      <c r="L25" s="3849">
        <f t="shared" ref="L25:L26" si="23">IF(K25="NA","NA",K25/I25*100)</f>
        <v>0</v>
      </c>
      <c r="M25" s="3846">
        <f>IF(K25="NA","NA",K25/Table8s2!$G$35*100)</f>
        <v>0</v>
      </c>
      <c r="N25" s="3847">
        <f>IF(K25="NA","NA",K25/Table8s2!$G$34*100)</f>
        <v>0</v>
      </c>
      <c r="O25" s="3850">
        <v>20.962581684842672</v>
      </c>
      <c r="P25" s="3849">
        <f>Summary2!E25</f>
        <v>20.962581684842668</v>
      </c>
      <c r="Q25" s="3841">
        <f t="shared" ref="Q25:Q29" si="24">IF(P25="NO",IF(O25="NO","NA",-O25),IF(O25="NO",P25,P25-O25))</f>
        <v>-3.5527136788005009E-15</v>
      </c>
      <c r="R25" s="3849">
        <f t="shared" ref="R25:R29" si="25">IF(Q25="NA","NA",Q25/O25*100)</f>
        <v>-1.6947882337266438E-14</v>
      </c>
      <c r="S25" s="3846">
        <f>IF(Q25="NA","NA",Q25/Table8s2!$G$35*100)</f>
        <v>-6.5078147845387678E-19</v>
      </c>
      <c r="T25" s="3847">
        <f>IF(Q25="NA","NA",Q25/Table8s2!$G$34*100)</f>
        <v>-5.6741763731257002E-19</v>
      </c>
    </row>
    <row r="26" spans="2:20" ht="18" customHeight="1" x14ac:dyDescent="0.2">
      <c r="B26" s="1394" t="s">
        <v>1978</v>
      </c>
      <c r="C26" s="3841">
        <v>225.87504949999993</v>
      </c>
      <c r="D26" s="3841">
        <f>Summary2!C26</f>
        <v>225.87504949999993</v>
      </c>
      <c r="E26" s="3841">
        <f t="shared" si="4"/>
        <v>0</v>
      </c>
      <c r="F26" s="3849">
        <f t="shared" si="5"/>
        <v>0</v>
      </c>
      <c r="G26" s="3846">
        <f>IF(E26="NA","NA",E26/Table8s2!$G$35*100)</f>
        <v>0</v>
      </c>
      <c r="H26" s="3847">
        <f>IF(E26="NA","NA",E26/Table8s2!$G$34*100)</f>
        <v>0</v>
      </c>
      <c r="I26" s="3848" t="s">
        <v>199</v>
      </c>
      <c r="J26" s="3841" t="str">
        <f>Summary2!D26</f>
        <v>NO</v>
      </c>
      <c r="K26" s="3841" t="str">
        <f t="shared" si="22"/>
        <v>NA</v>
      </c>
      <c r="L26" s="3849" t="str">
        <f t="shared" si="23"/>
        <v>NA</v>
      </c>
      <c r="M26" s="3846" t="str">
        <f>IF(K26="NA","NA",K26/Table8s2!$G$35*100)</f>
        <v>NA</v>
      </c>
      <c r="N26" s="3847" t="str">
        <f>IF(K26="NA","NA",K26/Table8s2!$G$34*100)</f>
        <v>NA</v>
      </c>
      <c r="O26" s="3850" t="s">
        <v>199</v>
      </c>
      <c r="P26" s="3849" t="str">
        <f>Summary2!E26</f>
        <v>NO</v>
      </c>
      <c r="Q26" s="3841" t="str">
        <f t="shared" si="24"/>
        <v>NA</v>
      </c>
      <c r="R26" s="3849" t="str">
        <f t="shared" si="25"/>
        <v>NA</v>
      </c>
      <c r="S26" s="3846" t="str">
        <f>IF(Q26="NA","NA",Q26/Table8s2!$G$35*100)</f>
        <v>NA</v>
      </c>
      <c r="T26" s="3847" t="str">
        <f>IF(Q26="NA","NA",Q26/Table8s2!$G$34*100)</f>
        <v>NA</v>
      </c>
    </row>
    <row r="27" spans="2:20" ht="18" customHeight="1" x14ac:dyDescent="0.2">
      <c r="B27" s="1394" t="s">
        <v>2186</v>
      </c>
      <c r="C27" s="3869"/>
      <c r="D27" s="3869"/>
      <c r="E27" s="3870"/>
      <c r="F27" s="3870"/>
      <c r="G27" s="3871"/>
      <c r="H27" s="3872"/>
      <c r="I27" s="1950"/>
      <c r="J27" s="1950"/>
      <c r="K27" s="1950"/>
      <c r="L27" s="1950"/>
      <c r="M27" s="1950"/>
      <c r="N27" s="1950"/>
      <c r="O27" s="3850" t="s">
        <v>199</v>
      </c>
      <c r="P27" s="3849" t="str">
        <f>Summary2!E27</f>
        <v>NO</v>
      </c>
      <c r="Q27" s="3841" t="str">
        <f t="shared" si="24"/>
        <v>NA</v>
      </c>
      <c r="R27" s="3849" t="str">
        <f t="shared" si="25"/>
        <v>NA</v>
      </c>
      <c r="S27" s="3846" t="str">
        <f>IF(Q27="NA","NA",Q27/Table8s2!$G$35*100)</f>
        <v>NA</v>
      </c>
      <c r="T27" s="3847" t="str">
        <f>IF(Q27="NA","NA",Q27/Table8s2!$G$34*100)</f>
        <v>NA</v>
      </c>
    </row>
    <row r="28" spans="2:20" ht="18" customHeight="1" x14ac:dyDescent="0.2">
      <c r="B28" s="1394" t="s">
        <v>1981</v>
      </c>
      <c r="C28" s="3849" t="s">
        <v>199</v>
      </c>
      <c r="D28" s="3841" t="str">
        <f>Summary2!C29</f>
        <v>NO</v>
      </c>
      <c r="E28" s="3841" t="str">
        <f t="shared" si="4"/>
        <v>NA</v>
      </c>
      <c r="F28" s="3849" t="str">
        <f t="shared" si="5"/>
        <v>NA</v>
      </c>
      <c r="G28" s="3873" t="str">
        <f>IF(E28="NA","NA",E28/Table8s2!$G$35*100)</f>
        <v>NA</v>
      </c>
      <c r="H28" s="3874" t="str">
        <f>IF(E28="NA","NA",E28/Table8s2!$G$34*100)</f>
        <v>NA</v>
      </c>
      <c r="I28" s="3848" t="s">
        <v>199</v>
      </c>
      <c r="J28" s="3841" t="str">
        <f>Summary2!D29</f>
        <v>NO</v>
      </c>
      <c r="K28" s="3841" t="str">
        <f t="shared" ref="K28:K29" si="26">IF(J28="NO",IF(I28="NO","NA",-I28),IF(I28="NO",J28,J28-I28))</f>
        <v>NA</v>
      </c>
      <c r="L28" s="3849" t="str">
        <f t="shared" ref="L28:L29" si="27">IF(K28="NA","NA",K28/I28*100)</f>
        <v>NA</v>
      </c>
      <c r="M28" s="3873" t="str">
        <f>IF(K28="NA","NA",K28/Table8s2!$G$35*100)</f>
        <v>NA</v>
      </c>
      <c r="N28" s="3874" t="str">
        <f>IF(K28="NA","NA",K28/Table8s2!$G$34*100)</f>
        <v>NA</v>
      </c>
      <c r="O28" s="3850" t="s">
        <v>274</v>
      </c>
      <c r="P28" s="3849" t="str">
        <f>Summary2!E29</f>
        <v>IE</v>
      </c>
      <c r="Q28" s="3841" t="s">
        <v>205</v>
      </c>
      <c r="R28" s="3849" t="s">
        <v>205</v>
      </c>
      <c r="S28" s="3846" t="s">
        <v>205</v>
      </c>
      <c r="T28" s="3847" t="s">
        <v>205</v>
      </c>
    </row>
    <row r="29" spans="2:20" ht="18" customHeight="1" thickBot="1" x14ac:dyDescent="0.25">
      <c r="B29" s="1406" t="s">
        <v>1982</v>
      </c>
      <c r="C29" s="3857">
        <v>148.28584415160208</v>
      </c>
      <c r="D29" s="3857">
        <f>Summary2!C30</f>
        <v>148.28584415160208</v>
      </c>
      <c r="E29" s="3858">
        <f t="shared" si="4"/>
        <v>0</v>
      </c>
      <c r="F29" s="3858">
        <f t="shared" si="5"/>
        <v>0</v>
      </c>
      <c r="G29" s="3859">
        <f>IF(E29="NA","NA",E29/Table8s2!$G$35*100)</f>
        <v>0</v>
      </c>
      <c r="H29" s="3860">
        <f>IF(E29="NA","NA",E29/Table8s2!$G$34*100)</f>
        <v>0</v>
      </c>
      <c r="I29" s="3875" t="s">
        <v>199</v>
      </c>
      <c r="J29" s="3857" t="str">
        <f>Summary2!D30</f>
        <v>NO</v>
      </c>
      <c r="K29" s="3858" t="str">
        <f t="shared" si="26"/>
        <v>NA</v>
      </c>
      <c r="L29" s="3858" t="str">
        <f t="shared" si="27"/>
        <v>NA</v>
      </c>
      <c r="M29" s="3859" t="str">
        <f>IF(K29="NA","NA",K29/Table8s2!$G$35*100)</f>
        <v>NA</v>
      </c>
      <c r="N29" s="3860" t="str">
        <f>IF(K29="NA","NA",K29/Table8s2!$G$34*100)</f>
        <v>NA</v>
      </c>
      <c r="O29" s="3875" t="s">
        <v>199</v>
      </c>
      <c r="P29" s="3857" t="str">
        <f>Summary2!E30</f>
        <v>NO</v>
      </c>
      <c r="Q29" s="3858" t="str">
        <f t="shared" si="24"/>
        <v>NA</v>
      </c>
      <c r="R29" s="3858" t="str">
        <f t="shared" si="25"/>
        <v>NA</v>
      </c>
      <c r="S29" s="3859" t="str">
        <f>IF(Q29="NA","NA",Q29/Table8s2!$G$35*100)</f>
        <v>NA</v>
      </c>
      <c r="T29" s="3860" t="str">
        <f>IF(Q29="NA","NA",Q29/Table8s2!$G$34*100)</f>
        <v>NA</v>
      </c>
    </row>
    <row r="30" spans="2:20" ht="18" customHeight="1" x14ac:dyDescent="0.2">
      <c r="B30" s="1444" t="s">
        <v>1937</v>
      </c>
      <c r="C30" s="3876">
        <f>SUM(C31:C40)</f>
        <v>1815.7872546355406</v>
      </c>
      <c r="D30" s="3877">
        <f>Summary2!C31</f>
        <v>1815.7872546355406</v>
      </c>
      <c r="E30" s="3863">
        <f t="shared" si="4"/>
        <v>0</v>
      </c>
      <c r="F30" s="3878">
        <f t="shared" si="5"/>
        <v>0</v>
      </c>
      <c r="G30" s="3879">
        <f>IF(E30="NA","NA",E30/Table8s2!$G$35*100)</f>
        <v>0</v>
      </c>
      <c r="H30" s="3880">
        <f>IF(E30="NA","NA",E30/Table8s2!$G$34*100)</f>
        <v>0</v>
      </c>
      <c r="I30" s="3876">
        <f>SUM(I31:I40)</f>
        <v>67966.262340561691</v>
      </c>
      <c r="J30" s="3877">
        <f>Summary2!D31</f>
        <v>67984.722468861451</v>
      </c>
      <c r="K30" s="3863">
        <f t="shared" ref="K30" si="28">IF(J30="NO",IF(I30="NO","NA",-I30),IF(I30="NO",J30,J30-I30))</f>
        <v>18.460128299760981</v>
      </c>
      <c r="L30" s="3878">
        <f t="shared" ref="L30" si="29">IF(K30="NA","NA",K30/I30*100)</f>
        <v>2.7160723076490458E-2</v>
      </c>
      <c r="M30" s="3879">
        <f>IF(K30="NA","NA",K30/Table8s2!$G$35*100)</f>
        <v>3.381502331317285E-3</v>
      </c>
      <c r="N30" s="3880">
        <f>IF(K30="NA","NA",K30/Table8s2!$G$34*100)</f>
        <v>2.9483384621847198E-3</v>
      </c>
      <c r="O30" s="3876">
        <f>SUM(O31:O40)</f>
        <v>10506.232420914645</v>
      </c>
      <c r="P30" s="3877">
        <f>Summary2!E31</f>
        <v>9745.7935302945825</v>
      </c>
      <c r="Q30" s="3863">
        <f t="shared" ref="Q30" si="30">IF(P30="NO",IF(O30="NO","NA",-O30),IF(O30="NO",P30,P30-O30))</f>
        <v>-760.43889062006201</v>
      </c>
      <c r="R30" s="3882">
        <f t="shared" ref="R30" si="31">IF(Q30="NA","NA",Q30/O30*100)</f>
        <v>-7.2379789457756942</v>
      </c>
      <c r="S30" s="3883">
        <f>IF(Q30="NA","NA",Q30/Table8s2!$G$35*100)</f>
        <v>-0.13929620854744351</v>
      </c>
      <c r="T30" s="3884">
        <f>IF(Q30="NA","NA",Q30/Table8s2!$G$34*100)</f>
        <v>-0.12145263526609604</v>
      </c>
    </row>
    <row r="31" spans="2:20" ht="18" customHeight="1" x14ac:dyDescent="0.2">
      <c r="B31" s="606" t="s">
        <v>1938</v>
      </c>
      <c r="C31" s="3869"/>
      <c r="D31" s="3869"/>
      <c r="E31" s="3870"/>
      <c r="F31" s="3870"/>
      <c r="G31" s="3871"/>
      <c r="H31" s="3872"/>
      <c r="I31" s="3848">
        <v>60784.847687596375</v>
      </c>
      <c r="J31" s="3841">
        <f>Summary2!D32</f>
        <v>60784.847687596382</v>
      </c>
      <c r="K31" s="3885">
        <f t="shared" ref="K31:K33" si="32">IF(J31="NO",IF(I31="NO","NA",-I31),IF(I31="NO",J31,J31-I31))</f>
        <v>7.2759576141834259E-12</v>
      </c>
      <c r="L31" s="3885">
        <f t="shared" ref="L31:L33" si="33">IF(K31="NA","NA",K31/I31*100)</f>
        <v>1.1970018665800065E-14</v>
      </c>
      <c r="M31" s="3886">
        <f>IF(K31="NA","NA",K31/Table8s2!$G$35*100)</f>
        <v>1.3328004678735396E-15</v>
      </c>
      <c r="N31" s="3887">
        <f>IF(K31="NA","NA",K31/Table8s2!$G$34*100)</f>
        <v>1.1620713212161434E-15</v>
      </c>
      <c r="O31" s="3888"/>
      <c r="P31" s="3889"/>
      <c r="Q31" s="3870"/>
      <c r="R31" s="3890"/>
      <c r="S31" s="3891"/>
      <c r="T31" s="3892"/>
    </row>
    <row r="32" spans="2:20" ht="18" customHeight="1" x14ac:dyDescent="0.2">
      <c r="B32" s="606" t="s">
        <v>1939</v>
      </c>
      <c r="C32" s="3893"/>
      <c r="D32" s="3893"/>
      <c r="E32" s="3894"/>
      <c r="F32" s="3894"/>
      <c r="G32" s="3871"/>
      <c r="H32" s="3872"/>
      <c r="I32" s="3848">
        <v>6949.5463344184864</v>
      </c>
      <c r="J32" s="3849">
        <f>Summary2!D33</f>
        <v>6968.0064627182592</v>
      </c>
      <c r="K32" s="3895">
        <f t="shared" si="32"/>
        <v>18.460128299772805</v>
      </c>
      <c r="L32" s="3895">
        <f t="shared" si="33"/>
        <v>0.26563069604049894</v>
      </c>
      <c r="M32" s="3886">
        <f>IF(K32="NA","NA",K32/Table8s2!$G$35*100)</f>
        <v>3.3815023313194508E-3</v>
      </c>
      <c r="N32" s="3887">
        <f>IF(K32="NA","NA",K32/Table8s2!$G$34*100)</f>
        <v>2.9483384621866084E-3</v>
      </c>
      <c r="O32" s="3850">
        <v>471.50767434670001</v>
      </c>
      <c r="P32" s="3849">
        <f>Summary2!E33</f>
        <v>539.07358463612843</v>
      </c>
      <c r="Q32" s="3895">
        <f t="shared" ref="Q32" si="34">IF(P32="NO",IF(O32="NO","NA",-O32),IF(O32="NO",P32,P32-O32))</f>
        <v>67.565910289428416</v>
      </c>
      <c r="R32" s="3896">
        <f t="shared" ref="R32" si="35">IF(Q32="NA","NA",Q32/O32*100)</f>
        <v>14.329758340210416</v>
      </c>
      <c r="S32" s="3897">
        <f>IF(Q32="NA","NA",Q32/Table8s2!$G$35*100)</f>
        <v>1.2376635711910786E-2</v>
      </c>
      <c r="T32" s="3898">
        <f>IF(Q32="NA","NA",Q32/Table8s2!$G$34*100)</f>
        <v>1.0791212758874673E-2</v>
      </c>
    </row>
    <row r="33" spans="2:21" ht="18" customHeight="1" x14ac:dyDescent="0.2">
      <c r="B33" s="606" t="s">
        <v>1940</v>
      </c>
      <c r="C33" s="3893"/>
      <c r="D33" s="3893"/>
      <c r="E33" s="3894"/>
      <c r="F33" s="3894"/>
      <c r="G33" s="3899"/>
      <c r="H33" s="3900"/>
      <c r="I33" s="3850">
        <v>88.47180809599999</v>
      </c>
      <c r="J33" s="3849">
        <f>Summary2!D34</f>
        <v>88.47180809599999</v>
      </c>
      <c r="K33" s="3895">
        <f t="shared" si="32"/>
        <v>0</v>
      </c>
      <c r="L33" s="3895">
        <f t="shared" si="33"/>
        <v>0</v>
      </c>
      <c r="M33" s="3901">
        <f>IF(K33="NA","NA",K33/Table8s2!$G$35*100)</f>
        <v>0</v>
      </c>
      <c r="N33" s="3902">
        <f>IF(K33="NA","NA",K33/Table8s2!$G$34*100)</f>
        <v>0</v>
      </c>
      <c r="O33" s="3903"/>
      <c r="P33" s="3904"/>
      <c r="Q33" s="3894"/>
      <c r="R33" s="3905"/>
      <c r="S33" s="3906"/>
      <c r="T33" s="3907"/>
    </row>
    <row r="34" spans="2:21" ht="18" customHeight="1" x14ac:dyDescent="0.2">
      <c r="B34" s="606" t="s">
        <v>1941</v>
      </c>
      <c r="C34" s="3893"/>
      <c r="D34" s="3893"/>
      <c r="E34" s="3894"/>
      <c r="F34" s="3894"/>
      <c r="G34" s="3871"/>
      <c r="H34" s="3872"/>
      <c r="I34" s="3848" t="s">
        <v>221</v>
      </c>
      <c r="J34" s="3849" t="str">
        <f>Summary2!D35</f>
        <v>NE</v>
      </c>
      <c r="K34" s="3895" t="s">
        <v>205</v>
      </c>
      <c r="L34" s="3895" t="s">
        <v>205</v>
      </c>
      <c r="M34" s="3886" t="s">
        <v>205</v>
      </c>
      <c r="N34" s="3887" t="s">
        <v>205</v>
      </c>
      <c r="O34" s="3850">
        <v>9981.8270552660106</v>
      </c>
      <c r="P34" s="3849">
        <f>Summary2!E35</f>
        <v>9153.8222543565189</v>
      </c>
      <c r="Q34" s="3895">
        <f t="shared" ref="Q34" si="36">IF(P34="NO",IF(O34="NO","NA",-O34),IF(O34="NO",P34,P34-O34))</f>
        <v>-828.00480090949168</v>
      </c>
      <c r="R34" s="3896">
        <f t="shared" ref="R34" si="37">IF(Q34="NA","NA",Q34/O34*100)</f>
        <v>-8.295122689715102</v>
      </c>
      <c r="S34" s="3897">
        <f>IF(Q34="NA","NA",Q34/Table8s2!$G$35*100)</f>
        <v>-0.15167284425935454</v>
      </c>
      <c r="T34" s="3898">
        <f>IF(Q34="NA","NA",Q34/Table8s2!$G$34*100)</f>
        <v>-0.13224384802497091</v>
      </c>
    </row>
    <row r="35" spans="2:21" ht="18" customHeight="1" x14ac:dyDescent="0.2">
      <c r="B35" s="606" t="s">
        <v>1942</v>
      </c>
      <c r="C35" s="3893"/>
      <c r="D35" s="3893"/>
      <c r="E35" s="3894"/>
      <c r="F35" s="3894"/>
      <c r="G35" s="3871"/>
      <c r="H35" s="3872"/>
      <c r="I35" s="3848" t="s">
        <v>205</v>
      </c>
      <c r="J35" s="3849" t="str">
        <f>Summary2!D36</f>
        <v>IE</v>
      </c>
      <c r="K35" s="3895" t="s">
        <v>205</v>
      </c>
      <c r="L35" s="3895" t="s">
        <v>205</v>
      </c>
      <c r="M35" s="3886" t="s">
        <v>205</v>
      </c>
      <c r="N35" s="3887" t="s">
        <v>205</v>
      </c>
      <c r="O35" s="3850" t="s">
        <v>205</v>
      </c>
      <c r="P35" s="3849" t="str">
        <f>Summary2!E36</f>
        <v>IE</v>
      </c>
      <c r="Q35" s="3895" t="s">
        <v>205</v>
      </c>
      <c r="R35" s="3895" t="s">
        <v>205</v>
      </c>
      <c r="S35" s="3886" t="s">
        <v>205</v>
      </c>
      <c r="T35" s="3887" t="s">
        <v>205</v>
      </c>
    </row>
    <row r="36" spans="2:21" ht="18" customHeight="1" x14ac:dyDescent="0.2">
      <c r="B36" s="606" t="s">
        <v>1943</v>
      </c>
      <c r="C36" s="3893"/>
      <c r="D36" s="3893"/>
      <c r="E36" s="3894"/>
      <c r="F36" s="3894"/>
      <c r="G36" s="3871"/>
      <c r="H36" s="3872"/>
      <c r="I36" s="3848">
        <v>143.39651045081752</v>
      </c>
      <c r="J36" s="3849">
        <f>Summary2!D37</f>
        <v>143.39651045081752</v>
      </c>
      <c r="K36" s="3895">
        <f t="shared" ref="K36" si="38">IF(J36="NO",IF(I36="NO","NA",-I36),IF(I36="NO",J36,J36-I36))</f>
        <v>0</v>
      </c>
      <c r="L36" s="3895">
        <f t="shared" ref="L36" si="39">IF(K36="NA","NA",K36/I36*100)</f>
        <v>0</v>
      </c>
      <c r="M36" s="3886">
        <f>IF(K36="NA","NA",K36/Table8s2!$G$35*100)</f>
        <v>0</v>
      </c>
      <c r="N36" s="3887">
        <f>IF(K36="NA","NA",K36/Table8s2!$G$34*100)</f>
        <v>0</v>
      </c>
      <c r="O36" s="3850">
        <v>52.897691301933946</v>
      </c>
      <c r="P36" s="3849">
        <f>Summary2!E37</f>
        <v>52.897691301933953</v>
      </c>
      <c r="Q36" s="3895">
        <f t="shared" ref="Q36" si="40">IF(P36="NO",IF(O36="NO","NA",-O36),IF(O36="NO",P36,P36-O36))</f>
        <v>7.1054273576010019E-15</v>
      </c>
      <c r="R36" s="3896">
        <f t="shared" ref="R36" si="41">IF(Q36="NA","NA",Q36/O36*100)</f>
        <v>1.3432395975552201E-14</v>
      </c>
      <c r="S36" s="3897">
        <f>IF(Q36="NA","NA",Q36/Table8s2!$G$35*100)</f>
        <v>1.3015629569077536E-18</v>
      </c>
      <c r="T36" s="3898">
        <f>IF(Q36="NA","NA",Q36/Table8s2!$G$34*100)</f>
        <v>1.13483527462514E-18</v>
      </c>
    </row>
    <row r="37" spans="2:21" ht="18" customHeight="1" x14ac:dyDescent="0.2">
      <c r="B37" s="606" t="s">
        <v>955</v>
      </c>
      <c r="C37" s="3849">
        <v>1069.5072182802071</v>
      </c>
      <c r="D37" s="3849">
        <f>Summary2!C38</f>
        <v>1069.5072182802071</v>
      </c>
      <c r="E37" s="3908">
        <f t="shared" si="4"/>
        <v>0</v>
      </c>
      <c r="F37" s="3908">
        <f t="shared" si="5"/>
        <v>0</v>
      </c>
      <c r="G37" s="3909">
        <f>IF(E37="NA","NA",E37/Table8s2!$G$35*100)</f>
        <v>0</v>
      </c>
      <c r="H37" s="3910">
        <f>IF(E37="NA","NA",E37/Table8s2!$G$34*100)</f>
        <v>0</v>
      </c>
      <c r="I37" s="3911"/>
      <c r="J37" s="3912"/>
      <c r="K37" s="3912"/>
      <c r="L37" s="3912"/>
      <c r="M37" s="3913"/>
      <c r="N37" s="3914"/>
      <c r="O37" s="3915"/>
      <c r="P37" s="3912"/>
      <c r="Q37" s="3912"/>
      <c r="R37" s="3912"/>
      <c r="S37" s="3913"/>
      <c r="T37" s="3914"/>
    </row>
    <row r="38" spans="2:21" ht="18" customHeight="1" x14ac:dyDescent="0.2">
      <c r="B38" s="606" t="s">
        <v>956</v>
      </c>
      <c r="C38" s="3849">
        <v>746.28003635533344</v>
      </c>
      <c r="D38" s="3849">
        <f>Summary2!C39</f>
        <v>746.28003635533344</v>
      </c>
      <c r="E38" s="3916">
        <f t="shared" si="4"/>
        <v>0</v>
      </c>
      <c r="F38" s="3916">
        <f t="shared" si="5"/>
        <v>0</v>
      </c>
      <c r="G38" s="3917">
        <f>IF(E38="NA","NA",E38/Table8s2!$G$35*100)</f>
        <v>0</v>
      </c>
      <c r="H38" s="3918">
        <f>IF(E38="NA","NA",E38/Table8s2!$G$34*100)</f>
        <v>0</v>
      </c>
      <c r="I38" s="3911"/>
      <c r="J38" s="3912"/>
      <c r="K38" s="3893"/>
      <c r="L38" s="3893"/>
      <c r="M38" s="3919"/>
      <c r="N38" s="3872"/>
      <c r="O38" s="3915"/>
      <c r="P38" s="3912"/>
      <c r="Q38" s="3893"/>
      <c r="R38" s="3920"/>
      <c r="S38" s="3921"/>
      <c r="T38" s="3892"/>
    </row>
    <row r="39" spans="2:21" ht="18" customHeight="1" x14ac:dyDescent="0.2">
      <c r="B39" s="606" t="s">
        <v>957</v>
      </c>
      <c r="C39" s="3849" t="s">
        <v>221</v>
      </c>
      <c r="D39" s="3849" t="str">
        <f>Summary2!C40</f>
        <v>NE</v>
      </c>
      <c r="E39" s="3916" t="s">
        <v>205</v>
      </c>
      <c r="F39" s="3916" t="s">
        <v>205</v>
      </c>
      <c r="G39" s="3917" t="s">
        <v>205</v>
      </c>
      <c r="H39" s="3918" t="s">
        <v>205</v>
      </c>
      <c r="I39" s="3911"/>
      <c r="J39" s="3912"/>
      <c r="K39" s="3893"/>
      <c r="L39" s="3893"/>
      <c r="M39" s="3919"/>
      <c r="N39" s="3872"/>
      <c r="O39" s="3915"/>
      <c r="P39" s="3912"/>
      <c r="Q39" s="3893"/>
      <c r="R39" s="3920"/>
      <c r="S39" s="3921"/>
      <c r="T39" s="3892"/>
    </row>
    <row r="40" spans="2:21" ht="18" customHeight="1" thickBot="1" x14ac:dyDescent="0.25">
      <c r="B40" s="606" t="s">
        <v>1945</v>
      </c>
      <c r="C40" s="3857" t="s">
        <v>199</v>
      </c>
      <c r="D40" s="3857" t="str">
        <f>Summary2!C41</f>
        <v>NO</v>
      </c>
      <c r="E40" s="3922" t="s">
        <v>205</v>
      </c>
      <c r="F40" s="3922" t="s">
        <v>205</v>
      </c>
      <c r="G40" s="3923" t="s">
        <v>205</v>
      </c>
      <c r="H40" s="3924" t="s">
        <v>205</v>
      </c>
      <c r="I40" s="3875" t="s">
        <v>199</v>
      </c>
      <c r="J40" s="3857" t="str">
        <f>Summary2!D41</f>
        <v>NO</v>
      </c>
      <c r="K40" s="3925" t="s">
        <v>205</v>
      </c>
      <c r="L40" s="3925" t="s">
        <v>205</v>
      </c>
      <c r="M40" s="3926" t="s">
        <v>205</v>
      </c>
      <c r="N40" s="3927" t="s">
        <v>205</v>
      </c>
      <c r="O40" s="3875" t="s">
        <v>199</v>
      </c>
      <c r="P40" s="3857" t="str">
        <f>Summary2!E41</f>
        <v>NO</v>
      </c>
      <c r="Q40" s="3925" t="s">
        <v>205</v>
      </c>
      <c r="R40" s="3928" t="s">
        <v>205</v>
      </c>
      <c r="S40" s="3929" t="s">
        <v>205</v>
      </c>
      <c r="T40" s="3930" t="s">
        <v>205</v>
      </c>
    </row>
    <row r="41" spans="2:21" ht="18" customHeight="1" x14ac:dyDescent="0.2">
      <c r="B41" s="1407" t="s">
        <v>2187</v>
      </c>
      <c r="C41" s="3841">
        <f>SUM(C42:C49)</f>
        <v>69110.035361393704</v>
      </c>
      <c r="D41" s="3841">
        <f>Summary2!C42</f>
        <v>53745.012522106052</v>
      </c>
      <c r="E41" s="3931">
        <f t="shared" ref="E41" si="42">IF(D41="NO",IF(C41="NO","NA",-C41),IF(C41="NO",D41,D41-C41))</f>
        <v>-15365.022839287652</v>
      </c>
      <c r="F41" s="3931">
        <f t="shared" ref="F41" si="43">IF(E41="NA","NA",E41/C41*100)</f>
        <v>-22.232694222973688</v>
      </c>
      <c r="G41" s="3871"/>
      <c r="H41" s="3931">
        <f>IF(E41="NA","NA",E41/Table8s2!$G$34*100)</f>
        <v>-2.4540072026479365</v>
      </c>
      <c r="I41" s="3848">
        <f>SUM(I42:I49)</f>
        <v>20950.391955710471</v>
      </c>
      <c r="J41" s="3841">
        <f>Summary2!D42</f>
        <v>21571.150661210417</v>
      </c>
      <c r="K41" s="3931">
        <f t="shared" ref="K41:K46" si="44">IF(J41="NO",IF(I41="NO","NA",-I41),IF(I41="NO",J41,J41-I41))</f>
        <v>620.75870549994579</v>
      </c>
      <c r="L41" s="3931">
        <f t="shared" ref="L41:L46" si="45">IF(K41="NA","NA",K41/I41*100)</f>
        <v>2.9629932786567501</v>
      </c>
      <c r="M41" s="3891"/>
      <c r="N41" s="3932">
        <f>IF(K41="NA","NA",K41/Table8s2!$G$34*100)</f>
        <v>9.9143772862357871E-2</v>
      </c>
      <c r="O41" s="3848">
        <f>SUM(O42:O49)</f>
        <v>4723.1348644492373</v>
      </c>
      <c r="P41" s="3841">
        <f>Summary2!E42</f>
        <v>4888.5537106826368</v>
      </c>
      <c r="Q41" s="3931">
        <f t="shared" ref="Q41" si="46">IF(P41="NO",IF(O41="NO","NA",-O41),IF(O41="NO",P41,P41-O41))</f>
        <v>165.41884623339956</v>
      </c>
      <c r="R41" s="3931">
        <f t="shared" ref="R41" si="47">IF(Q41="NA","NA",Q41/O41*100)</f>
        <v>3.5023104565253398</v>
      </c>
      <c r="S41" s="3891"/>
      <c r="T41" s="3932">
        <f>IF(Q41="NA","NA",Q41/Table8s2!$G$34*100)</f>
        <v>2.6419683482181797E-2</v>
      </c>
      <c r="U41" s="721"/>
    </row>
    <row r="42" spans="2:21" ht="18" customHeight="1" x14ac:dyDescent="0.2">
      <c r="B42" s="606" t="s">
        <v>1252</v>
      </c>
      <c r="C42" s="3849">
        <v>-37521.021091248462</v>
      </c>
      <c r="D42" s="3849">
        <f>Summary2!C43</f>
        <v>-39411.955402476699</v>
      </c>
      <c r="E42" s="3933">
        <f t="shared" ref="E42:E50" si="48">IF(D42="NO",IF(C42="NO","NA",-C42),IF(C42="NO",D42,D42-C42))</f>
        <v>-1890.9343112282368</v>
      </c>
      <c r="F42" s="3933">
        <f t="shared" ref="F42:F50" si="49">IF(E42="NA","NA",E42/C42*100)</f>
        <v>5.0396664489210421</v>
      </c>
      <c r="G42" s="3891"/>
      <c r="H42" s="3933">
        <f>IF(E42="NA","NA",E42/Table8s2!$G$34*100)</f>
        <v>-0.30200842966682784</v>
      </c>
      <c r="I42" s="3850">
        <v>7622.0333285693405</v>
      </c>
      <c r="J42" s="3849">
        <f>Summary2!D43</f>
        <v>7949.2023125581545</v>
      </c>
      <c r="K42" s="3933">
        <f t="shared" si="44"/>
        <v>327.16898398881403</v>
      </c>
      <c r="L42" s="3933">
        <f t="shared" si="45"/>
        <v>4.2924108290434857</v>
      </c>
      <c r="M42" s="3891"/>
      <c r="N42" s="3934">
        <f>IF(K42="NA","NA",K42/Table8s2!$G$34*100)</f>
        <v>5.2253423349208621E-2</v>
      </c>
      <c r="O42" s="3850">
        <v>1310.4329090189422</v>
      </c>
      <c r="P42" s="3849">
        <f>Summary2!E43</f>
        <v>1434.0778077764189</v>
      </c>
      <c r="Q42" s="3933">
        <f t="shared" ref="Q42:Q46" si="50">IF(P42="NO",IF(O42="NO","NA",-O42),IF(O42="NO",P42,P42-O42))</f>
        <v>123.64489875747677</v>
      </c>
      <c r="R42" s="3933">
        <f t="shared" ref="R42:R46" si="51">IF(Q42="NA","NA",Q42/O42*100)</f>
        <v>9.4354238134971542</v>
      </c>
      <c r="S42" s="3891"/>
      <c r="T42" s="3934">
        <f>IF(Q42="NA","NA",Q42/Table8s2!$G$34*100)</f>
        <v>1.9747804822370846E-2</v>
      </c>
      <c r="U42" s="721"/>
    </row>
    <row r="43" spans="2:21" ht="18" customHeight="1" x14ac:dyDescent="0.2">
      <c r="B43" s="606" t="s">
        <v>1255</v>
      </c>
      <c r="C43" s="3849">
        <v>10366.324591842264</v>
      </c>
      <c r="D43" s="3849">
        <f>Summary2!C44</f>
        <v>9016.0798520951339</v>
      </c>
      <c r="E43" s="3933">
        <f t="shared" si="48"/>
        <v>-1350.2447397471296</v>
      </c>
      <c r="F43" s="3933">
        <f t="shared" si="49"/>
        <v>-13.02529867538297</v>
      </c>
      <c r="G43" s="3891"/>
      <c r="H43" s="3933">
        <f>IF(E43="NA","NA",E43/Table8s2!$G$34*100)</f>
        <v>-0.21565280776572959</v>
      </c>
      <c r="I43" s="3850">
        <v>99.429321600000023</v>
      </c>
      <c r="J43" s="3849">
        <f>Summary2!D44</f>
        <v>98.486701623260004</v>
      </c>
      <c r="K43" s="3933">
        <f t="shared" si="44"/>
        <v>-0.94261997674001918</v>
      </c>
      <c r="L43" s="3933">
        <f t="shared" si="45"/>
        <v>-0.94803018020392393</v>
      </c>
      <c r="M43" s="3891"/>
      <c r="N43" s="3934">
        <f>IF(K43="NA","NA",K43/Table8s2!$G$34*100)</f>
        <v>-1.5054948088753255E-4</v>
      </c>
      <c r="O43" s="3850">
        <v>55.631197375353103</v>
      </c>
      <c r="P43" s="3849">
        <f>Summary2!E44</f>
        <v>58.744892517180872</v>
      </c>
      <c r="Q43" s="3933">
        <f t="shared" si="50"/>
        <v>3.113695141827769</v>
      </c>
      <c r="R43" s="3933">
        <f t="shared" si="51"/>
        <v>5.5970306028452725</v>
      </c>
      <c r="S43" s="3891"/>
      <c r="T43" s="3934">
        <f>IF(Q43="NA","NA",Q43/Table8s2!$G$34*100)</f>
        <v>4.9730028941821509E-4</v>
      </c>
      <c r="U43" s="721"/>
    </row>
    <row r="44" spans="2:21" ht="18" customHeight="1" x14ac:dyDescent="0.2">
      <c r="B44" s="606" t="s">
        <v>1258</v>
      </c>
      <c r="C44" s="3849">
        <v>95844.326427410371</v>
      </c>
      <c r="D44" s="3849">
        <f>Summary2!C45</f>
        <v>84789.598346893748</v>
      </c>
      <c r="E44" s="3933">
        <f t="shared" si="48"/>
        <v>-11054.728080516623</v>
      </c>
      <c r="F44" s="3933">
        <f t="shared" si="49"/>
        <v>-11.534045355192875</v>
      </c>
      <c r="G44" s="3891"/>
      <c r="H44" s="3933">
        <f>IF(E44="NA","NA",E44/Table8s2!$G$34*100)</f>
        <v>-1.7655933620571114</v>
      </c>
      <c r="I44" s="3850">
        <v>10868.684259256715</v>
      </c>
      <c r="J44" s="3849">
        <f>Summary2!D45</f>
        <v>11361.177544775826</v>
      </c>
      <c r="K44" s="3933">
        <f t="shared" si="44"/>
        <v>492.49328551911094</v>
      </c>
      <c r="L44" s="3933">
        <f t="shared" si="45"/>
        <v>4.531305480694785</v>
      </c>
      <c r="M44" s="3891"/>
      <c r="N44" s="3934">
        <f>IF(K44="NA","NA",K44/Table8s2!$G$34*100)</f>
        <v>7.8658006731324642E-2</v>
      </c>
      <c r="O44" s="3850">
        <v>3211.0797014783493</v>
      </c>
      <c r="P44" s="3849">
        <f>Summary2!E45</f>
        <v>3236.6257078314256</v>
      </c>
      <c r="Q44" s="3933">
        <f t="shared" si="50"/>
        <v>25.546006353076336</v>
      </c>
      <c r="R44" s="3933">
        <f t="shared" si="51"/>
        <v>0.79555815264613983</v>
      </c>
      <c r="S44" s="3891"/>
      <c r="T44" s="3934">
        <f>IF(Q44="NA","NA",Q44/Table8s2!$G$34*100)</f>
        <v>4.0800514418399452E-3</v>
      </c>
      <c r="U44" s="721"/>
    </row>
    <row r="45" spans="2:21" ht="18" customHeight="1" x14ac:dyDescent="0.2">
      <c r="B45" s="606" t="s">
        <v>1984</v>
      </c>
      <c r="C45" s="3849">
        <v>1048.2472841848178</v>
      </c>
      <c r="D45" s="3849">
        <f>Summary2!C46</f>
        <v>1137.0405416596707</v>
      </c>
      <c r="E45" s="3933">
        <f t="shared" si="48"/>
        <v>88.793257474852908</v>
      </c>
      <c r="F45" s="3933">
        <f t="shared" si="49"/>
        <v>8.4706403550479088</v>
      </c>
      <c r="G45" s="3891"/>
      <c r="H45" s="3933">
        <f>IF(E45="NA","NA",E45/Table8s2!$G$34*100)</f>
        <v>1.4181514448042561E-2</v>
      </c>
      <c r="I45" s="3850">
        <v>2243.4323614844184</v>
      </c>
      <c r="J45" s="3849">
        <f>Summary2!D46</f>
        <v>2044.7297019998541</v>
      </c>
      <c r="K45" s="3933">
        <f t="shared" si="44"/>
        <v>-198.70265948456426</v>
      </c>
      <c r="L45" s="3933">
        <f t="shared" si="45"/>
        <v>-8.8570826959582636</v>
      </c>
      <c r="M45" s="3891"/>
      <c r="N45" s="3934">
        <f>IF(K45="NA","NA",K45/Table8s2!$G$34*100)</f>
        <v>-3.1735569979994105E-2</v>
      </c>
      <c r="O45" s="3850">
        <v>89.57925981932712</v>
      </c>
      <c r="P45" s="3849">
        <f>Summary2!E46</f>
        <v>102.12014515601199</v>
      </c>
      <c r="Q45" s="3933">
        <f t="shared" si="50"/>
        <v>12.540885336684866</v>
      </c>
      <c r="R45" s="3933">
        <f t="shared" si="51"/>
        <v>13.999764411961701</v>
      </c>
      <c r="S45" s="3891"/>
      <c r="T45" s="3934">
        <f>IF(Q45="NA","NA",Q45/Table8s2!$G$34*100)</f>
        <v>2.0029532832919208E-3</v>
      </c>
      <c r="U45" s="721"/>
    </row>
    <row r="46" spans="2:21" ht="18" customHeight="1" x14ac:dyDescent="0.2">
      <c r="B46" s="606" t="s">
        <v>1985</v>
      </c>
      <c r="C46" s="3849">
        <v>5748.0897985584879</v>
      </c>
      <c r="D46" s="3849">
        <f>Summary2!C47</f>
        <v>4685.7284849017178</v>
      </c>
      <c r="E46" s="3933">
        <f t="shared" si="48"/>
        <v>-1062.3613136567701</v>
      </c>
      <c r="F46" s="3933">
        <f t="shared" si="49"/>
        <v>-18.481988815191965</v>
      </c>
      <c r="G46" s="3891"/>
      <c r="H46" s="3933">
        <f>IF(E46="NA","NA",E46/Table8s2!$G$34*100)</f>
        <v>-0.16967383275618381</v>
      </c>
      <c r="I46" s="3850">
        <v>116.81268480000003</v>
      </c>
      <c r="J46" s="3849">
        <f>Summary2!D47</f>
        <v>117.5544002533204</v>
      </c>
      <c r="K46" s="3933">
        <f t="shared" si="44"/>
        <v>0.74171545332036715</v>
      </c>
      <c r="L46" s="3933">
        <f t="shared" si="45"/>
        <v>0.63496139532302487</v>
      </c>
      <c r="M46" s="3891"/>
      <c r="N46" s="3934">
        <f>IF(K46="NA","NA",K46/Table8s2!$G$34*100)</f>
        <v>1.1846224270551403E-4</v>
      </c>
      <c r="O46" s="3850">
        <v>28.961244635645507</v>
      </c>
      <c r="P46" s="3849">
        <f>Summary2!E47</f>
        <v>29.534605279980127</v>
      </c>
      <c r="Q46" s="3933">
        <f t="shared" si="50"/>
        <v>0.57336064433462042</v>
      </c>
      <c r="R46" s="3933">
        <f t="shared" si="51"/>
        <v>1.9797513937951687</v>
      </c>
      <c r="S46" s="3891"/>
      <c r="T46" s="3934">
        <f>IF(Q46="NA","NA",Q46/Table8s2!$G$34*100)</f>
        <v>9.1573645260995432E-5</v>
      </c>
      <c r="U46" s="721"/>
    </row>
    <row r="47" spans="2:21" ht="18" customHeight="1" x14ac:dyDescent="0.2">
      <c r="B47" s="606" t="s">
        <v>1986</v>
      </c>
      <c r="C47" s="3849" t="s">
        <v>199</v>
      </c>
      <c r="D47" s="3849" t="str">
        <f>Summary2!C48</f>
        <v>NO</v>
      </c>
      <c r="E47" s="3933" t="str">
        <f t="shared" si="48"/>
        <v>NA</v>
      </c>
      <c r="F47" s="3933" t="str">
        <f t="shared" si="49"/>
        <v>NA</v>
      </c>
      <c r="G47" s="3891"/>
      <c r="H47" s="3933" t="str">
        <f>IF(E47="NA","NA",E47/Table8s2!$G$34*100)</f>
        <v>NA</v>
      </c>
      <c r="I47" s="3850" t="s">
        <v>199</v>
      </c>
      <c r="J47" s="3849" t="str">
        <f>Summary2!D48</f>
        <v>NO</v>
      </c>
      <c r="K47" s="3933" t="s">
        <v>205</v>
      </c>
      <c r="L47" s="3933" t="s">
        <v>205</v>
      </c>
      <c r="M47" s="3891"/>
      <c r="N47" s="3933" t="s">
        <v>205</v>
      </c>
      <c r="O47" s="3850" t="s">
        <v>199</v>
      </c>
      <c r="P47" s="3849" t="str">
        <f>Summary2!E48</f>
        <v>NO</v>
      </c>
      <c r="Q47" s="3933" t="s">
        <v>205</v>
      </c>
      <c r="R47" s="3933" t="s">
        <v>205</v>
      </c>
      <c r="S47" s="3891"/>
      <c r="T47" s="3934" t="s">
        <v>205</v>
      </c>
      <c r="U47" s="721"/>
    </row>
    <row r="48" spans="2:21" ht="18" customHeight="1" x14ac:dyDescent="0.2">
      <c r="B48" s="606" t="s">
        <v>1987</v>
      </c>
      <c r="C48" s="3849">
        <v>-6376.5885717226647</v>
      </c>
      <c r="D48" s="3849">
        <f>Summary2!C49</f>
        <v>-6472.1362233364061</v>
      </c>
      <c r="E48" s="3933">
        <f t="shared" si="48"/>
        <v>-95.547651613741436</v>
      </c>
      <c r="F48" s="3933">
        <f t="shared" si="49"/>
        <v>1.4984133057831706</v>
      </c>
      <c r="G48" s="3891"/>
      <c r="H48" s="3933">
        <f>IF(E48="NA","NA",E48/Table8s2!$G$34*100)</f>
        <v>-1.5260284850125733E-2</v>
      </c>
      <c r="I48" s="3915"/>
      <c r="J48" s="3912"/>
      <c r="K48" s="3920"/>
      <c r="L48" s="3920"/>
      <c r="M48" s="3920"/>
      <c r="N48" s="3907"/>
      <c r="O48" s="3915"/>
      <c r="P48" s="3912"/>
      <c r="Q48" s="3920"/>
      <c r="R48" s="3920"/>
      <c r="S48" s="3920"/>
      <c r="T48" s="3907"/>
      <c r="U48" s="721"/>
    </row>
    <row r="49" spans="2:21" ht="18" customHeight="1" thickBot="1" x14ac:dyDescent="0.25">
      <c r="B49" s="1554" t="s">
        <v>1988</v>
      </c>
      <c r="C49" s="3857">
        <v>0.65692236888666677</v>
      </c>
      <c r="D49" s="3857">
        <f>Summary2!C50</f>
        <v>0.65692236888666677</v>
      </c>
      <c r="E49" s="3935">
        <f t="shared" si="48"/>
        <v>0</v>
      </c>
      <c r="F49" s="3935">
        <f t="shared" si="49"/>
        <v>0</v>
      </c>
      <c r="G49" s="3936"/>
      <c r="H49" s="3935">
        <f>IF(E49="NA","NA",E49/Table8s2!$G$34*100)</f>
        <v>0</v>
      </c>
      <c r="I49" s="3937" t="s">
        <v>199</v>
      </c>
      <c r="J49" s="3938" t="str">
        <f>Summary2!D50</f>
        <v>NO</v>
      </c>
      <c r="K49" s="3939" t="s">
        <v>205</v>
      </c>
      <c r="L49" s="3939" t="s">
        <v>205</v>
      </c>
      <c r="M49" s="3940"/>
      <c r="N49" s="3939" t="s">
        <v>205</v>
      </c>
      <c r="O49" s="3875">
        <v>27.450552121619634</v>
      </c>
      <c r="P49" s="3857">
        <f>Summary2!E50</f>
        <v>27.450552121619634</v>
      </c>
      <c r="Q49" s="3935">
        <f t="shared" ref="Q49:Q50" si="52">IF(P49="NO",IF(O49="NO","NA",-O49),IF(O49="NO",P49,P49-O49))</f>
        <v>0</v>
      </c>
      <c r="R49" s="3935">
        <f t="shared" ref="R49:R50" si="53">IF(Q49="NA","NA",Q49/O49*100)</f>
        <v>0</v>
      </c>
      <c r="S49" s="3936"/>
      <c r="T49" s="3941">
        <f>IF(Q49="NA","NA",Q49/Table8s2!$G$34*100)</f>
        <v>0</v>
      </c>
      <c r="U49" s="721"/>
    </row>
    <row r="50" spans="2:21" ht="18" customHeight="1" x14ac:dyDescent="0.2">
      <c r="B50" s="718" t="s">
        <v>1955</v>
      </c>
      <c r="C50" s="3841">
        <f>SUM(C51:C55)</f>
        <v>29.670531219562221</v>
      </c>
      <c r="D50" s="3841">
        <f>Summary2!C51</f>
        <v>29.670531219562221</v>
      </c>
      <c r="E50" s="3841">
        <f t="shared" si="48"/>
        <v>0</v>
      </c>
      <c r="F50" s="3841">
        <f t="shared" si="49"/>
        <v>0</v>
      </c>
      <c r="G50" s="3846">
        <f>IF(E50="NA","NA",E50/Table8s2!$G$35*100)</f>
        <v>0</v>
      </c>
      <c r="H50" s="3847">
        <f>IF(E50="NA","NA",E50/Table8s2!$G$34*100)</f>
        <v>0</v>
      </c>
      <c r="I50" s="3841">
        <f>SUM(I51:I55)</f>
        <v>15585.377419200111</v>
      </c>
      <c r="J50" s="3841">
        <f>Summary2!D51</f>
        <v>15564.164778419898</v>
      </c>
      <c r="K50" s="3841">
        <f t="shared" ref="K50" si="54">IF(J50="NO",IF(I50="NO","NA",-I50),IF(I50="NO",J50,J50-I50))</f>
        <v>-21.212640780213405</v>
      </c>
      <c r="L50" s="3841">
        <f t="shared" ref="L50" si="55">IF(K50="NA","NA",K50/I50*100)</f>
        <v>-0.13610604484996874</v>
      </c>
      <c r="M50" s="3846">
        <f>IF(K50="NA","NA",K50/Table8s2!$G$35*100)</f>
        <v>-3.8857039933257939E-3</v>
      </c>
      <c r="N50" s="3847">
        <f>IF(K50="NA","NA",K50/Table8s2!$G$34*100)</f>
        <v>-3.3879528723330193E-3</v>
      </c>
      <c r="O50" s="3841">
        <f>SUM(O51:O55)</f>
        <v>257.61239993721381</v>
      </c>
      <c r="P50" s="3841">
        <f>Summary2!E51</f>
        <v>257.61239993721381</v>
      </c>
      <c r="Q50" s="3841">
        <f t="shared" si="52"/>
        <v>0</v>
      </c>
      <c r="R50" s="3841">
        <f t="shared" si="53"/>
        <v>0</v>
      </c>
      <c r="S50" s="3846">
        <f>IF(Q50="NA","NA",Q50/Table8s2!$G$35*100)</f>
        <v>0</v>
      </c>
      <c r="T50" s="3847">
        <f>IF(Q50="NA","NA",Q50/Table8s2!$G$34*100)</f>
        <v>0</v>
      </c>
    </row>
    <row r="51" spans="2:21" ht="18" customHeight="1" x14ac:dyDescent="0.2">
      <c r="B51" s="606" t="s">
        <v>1989</v>
      </c>
      <c r="C51" s="3920"/>
      <c r="D51" s="3920"/>
      <c r="E51" s="3890"/>
      <c r="F51" s="3905"/>
      <c r="G51" s="3906"/>
      <c r="H51" s="3907"/>
      <c r="I51" s="3841">
        <v>12292.955411179842</v>
      </c>
      <c r="J51" s="3841">
        <f>Summary2!D52</f>
        <v>12271.742770399627</v>
      </c>
      <c r="K51" s="3841">
        <f t="shared" ref="K51:K52" si="56">IF(J51="NO",IF(I51="NO","NA",-I51),IF(I51="NO",J51,J51-I51))</f>
        <v>-21.212640780215224</v>
      </c>
      <c r="L51" s="3841">
        <f t="shared" ref="L51:L52" si="57">IF(K51="NA","NA",K51/I51*100)</f>
        <v>-0.17255932418760231</v>
      </c>
      <c r="M51" s="3846">
        <f>IF(K51="NA","NA",K51/Table8s2!$G$35*100)</f>
        <v>-3.885703993326127E-3</v>
      </c>
      <c r="N51" s="3847">
        <f>IF(K51="NA","NA",K51/Table8s2!$G$34*100)</f>
        <v>-3.3879528723333098E-3</v>
      </c>
      <c r="O51" s="3888"/>
      <c r="P51" s="3889"/>
      <c r="Q51" s="3942"/>
      <c r="R51" s="3943"/>
      <c r="S51" s="3944"/>
      <c r="T51" s="3945"/>
    </row>
    <row r="52" spans="2:21" ht="18" customHeight="1" x14ac:dyDescent="0.2">
      <c r="B52" s="1395" t="s">
        <v>1990</v>
      </c>
      <c r="C52" s="3920"/>
      <c r="D52" s="3920"/>
      <c r="E52" s="3890"/>
      <c r="F52" s="3905"/>
      <c r="G52" s="3906"/>
      <c r="H52" s="3907"/>
      <c r="I52" s="3851">
        <v>74.578748999999988</v>
      </c>
      <c r="J52" s="3849">
        <f>Summary2!D53</f>
        <v>74.578749000000002</v>
      </c>
      <c r="K52" s="3841">
        <f t="shared" si="56"/>
        <v>1.4210854715202004E-14</v>
      </c>
      <c r="L52" s="3841">
        <f t="shared" si="57"/>
        <v>1.905483117610622E-14</v>
      </c>
      <c r="M52" s="3846">
        <f>IF(K52="NA","NA",K52/Table8s2!$G$35*100)</f>
        <v>2.6031259138155071E-18</v>
      </c>
      <c r="N52" s="3847">
        <f>IF(K52="NA","NA",K52/Table8s2!$G$34*100)</f>
        <v>2.2696705492502801E-18</v>
      </c>
      <c r="O52" s="3841">
        <v>90.346827360000006</v>
      </c>
      <c r="P52" s="3841">
        <f>Summary2!E53</f>
        <v>90.346827360000006</v>
      </c>
      <c r="Q52" s="3841">
        <f t="shared" ref="Q52" si="58">IF(P52="NO",IF(O52="NO","NA",-O52),IF(O52="NO",P52,P52-O52))</f>
        <v>0</v>
      </c>
      <c r="R52" s="3841">
        <f t="shared" ref="R52" si="59">IF(Q52="NA","NA",Q52/O52*100)</f>
        <v>0</v>
      </c>
      <c r="S52" s="3846">
        <f>IF(Q52="NA","NA",Q52/Table8s2!$G$35*100)</f>
        <v>0</v>
      </c>
      <c r="T52" s="3847">
        <f>IF(Q52="NA","NA",Q52/Table8s2!$G$34*100)</f>
        <v>0</v>
      </c>
    </row>
    <row r="53" spans="2:21" ht="18" customHeight="1" x14ac:dyDescent="0.2">
      <c r="B53" s="1396" t="s">
        <v>1991</v>
      </c>
      <c r="C53" s="3841">
        <v>29.670531219562221</v>
      </c>
      <c r="D53" s="3841">
        <f>Summary2!C54</f>
        <v>29.670531219562221</v>
      </c>
      <c r="E53" s="3841">
        <f t="shared" ref="E53" si="60">IF(D53="NO",IF(C53="NO","NA",-C53),IF(C53="NO",D53,D53-C53))</f>
        <v>0</v>
      </c>
      <c r="F53" s="3841">
        <f t="shared" ref="F53" si="61">IF(E53="NA","NA",E53/C53*100)</f>
        <v>0</v>
      </c>
      <c r="G53" s="3846">
        <f>IF(E53="NA","NA",E53/Table8s2!$G$35*100)</f>
        <v>0</v>
      </c>
      <c r="H53" s="3847">
        <f>IF(E53="NA","NA",E53/Table8s2!$G$34*100)</f>
        <v>0</v>
      </c>
      <c r="I53" s="3851" t="s">
        <v>199</v>
      </c>
      <c r="J53" s="3849" t="str">
        <f>Summary2!D54</f>
        <v>NO,NE</v>
      </c>
      <c r="K53" s="3841" t="s">
        <v>205</v>
      </c>
      <c r="L53" s="3946" t="s">
        <v>205</v>
      </c>
      <c r="M53" s="3897" t="s">
        <v>205</v>
      </c>
      <c r="N53" s="3898" t="s">
        <v>205</v>
      </c>
      <c r="O53" s="3841" t="s">
        <v>199</v>
      </c>
      <c r="P53" s="3841" t="str">
        <f>Summary2!E54</f>
        <v>NO,NE</v>
      </c>
      <c r="Q53" s="3841" t="s">
        <v>205</v>
      </c>
      <c r="R53" s="3841" t="s">
        <v>205</v>
      </c>
      <c r="S53" s="3846" t="s">
        <v>205</v>
      </c>
      <c r="T53" s="3847" t="s">
        <v>205</v>
      </c>
    </row>
    <row r="54" spans="2:21" ht="18" customHeight="1" x14ac:dyDescent="0.2">
      <c r="B54" s="606" t="s">
        <v>1992</v>
      </c>
      <c r="C54" s="3947"/>
      <c r="D54" s="3948"/>
      <c r="E54" s="3949"/>
      <c r="F54" s="3948"/>
      <c r="G54" s="3950"/>
      <c r="H54" s="3951"/>
      <c r="I54" s="3849">
        <v>3217.8432590202683</v>
      </c>
      <c r="J54" s="3849">
        <f>Summary2!D55</f>
        <v>3217.8432590202683</v>
      </c>
      <c r="K54" s="3841">
        <f t="shared" ref="K54" si="62">IF(J54="NO",IF(I54="NO","NA",-I54),IF(I54="NO",J54,J54-I54))</f>
        <v>0</v>
      </c>
      <c r="L54" s="3841">
        <f t="shared" ref="L54" si="63">IF(K54="NA","NA",K54/I54*100)</f>
        <v>0</v>
      </c>
      <c r="M54" s="3846">
        <f>IF(K54="NA","NA",K54/Table8s2!$G$35*100)</f>
        <v>0</v>
      </c>
      <c r="N54" s="3847">
        <f>IF(K54="NA","NA",K54/Table8s2!$G$34*100)</f>
        <v>0</v>
      </c>
      <c r="O54" s="3841">
        <v>167.26557257721382</v>
      </c>
      <c r="P54" s="3841">
        <f>Summary2!E55</f>
        <v>167.26557257721382</v>
      </c>
      <c r="Q54" s="3841">
        <f t="shared" ref="Q54" si="64">IF(P54="NO",IF(O54="NO","NA",-O54),IF(O54="NO",P54,P54-O54))</f>
        <v>0</v>
      </c>
      <c r="R54" s="3841">
        <f t="shared" ref="R54" si="65">IF(Q54="NA","NA",Q54/O54*100)</f>
        <v>0</v>
      </c>
      <c r="S54" s="3846">
        <f>IF(Q54="NA","NA",Q54/Table8s2!$G$35*100)</f>
        <v>0</v>
      </c>
      <c r="T54" s="3847">
        <f>IF(Q54="NA","NA",Q54/Table8s2!$G$34*100)</f>
        <v>0</v>
      </c>
    </row>
    <row r="55" spans="2:21" ht="18" customHeight="1" thickBot="1" x14ac:dyDescent="0.25">
      <c r="B55" s="606" t="s">
        <v>1993</v>
      </c>
      <c r="C55" s="3857" t="s">
        <v>221</v>
      </c>
      <c r="D55" s="3857" t="str">
        <f>Summary2!C56</f>
        <v>NE</v>
      </c>
      <c r="E55" s="3858" t="s">
        <v>205</v>
      </c>
      <c r="F55" s="3858" t="s">
        <v>205</v>
      </c>
      <c r="G55" s="3859" t="s">
        <v>205</v>
      </c>
      <c r="H55" s="3860" t="s">
        <v>205</v>
      </c>
      <c r="I55" s="3857" t="s">
        <v>221</v>
      </c>
      <c r="J55" s="3857" t="str">
        <f>Summary2!D56</f>
        <v>NE</v>
      </c>
      <c r="K55" s="3858" t="s">
        <v>205</v>
      </c>
      <c r="L55" s="3858" t="s">
        <v>205</v>
      </c>
      <c r="M55" s="3859" t="s">
        <v>205</v>
      </c>
      <c r="N55" s="3860" t="s">
        <v>205</v>
      </c>
      <c r="O55" s="3875" t="s">
        <v>221</v>
      </c>
      <c r="P55" s="3857" t="str">
        <f>Summary2!E56</f>
        <v>NE</v>
      </c>
      <c r="Q55" s="3857" t="s">
        <v>205</v>
      </c>
      <c r="R55" s="3857" t="s">
        <v>205</v>
      </c>
      <c r="S55" s="3952" t="s">
        <v>205</v>
      </c>
      <c r="T55" s="3860" t="s">
        <v>205</v>
      </c>
    </row>
    <row r="56" spans="2:21" ht="18" customHeight="1" thickBot="1" x14ac:dyDescent="0.25">
      <c r="B56" s="2452" t="s">
        <v>2188</v>
      </c>
      <c r="C56" s="3877" t="s">
        <v>199</v>
      </c>
      <c r="D56" s="3877" t="str">
        <f>Summary2!C57</f>
        <v>NO</v>
      </c>
      <c r="E56" s="3877" t="s">
        <v>205</v>
      </c>
      <c r="F56" s="3877" t="s">
        <v>205</v>
      </c>
      <c r="G56" s="3953" t="s">
        <v>205</v>
      </c>
      <c r="H56" s="3954" t="s">
        <v>205</v>
      </c>
      <c r="I56" s="3877" t="s">
        <v>199</v>
      </c>
      <c r="J56" s="3877" t="str">
        <f>Summary2!D57</f>
        <v>NO</v>
      </c>
      <c r="K56" s="3877" t="s">
        <v>205</v>
      </c>
      <c r="L56" s="3877" t="s">
        <v>205</v>
      </c>
      <c r="M56" s="3953" t="s">
        <v>205</v>
      </c>
      <c r="N56" s="3954" t="s">
        <v>205</v>
      </c>
      <c r="O56" s="3881" t="s">
        <v>199</v>
      </c>
      <c r="P56" s="3877" t="str">
        <f>Summary2!E57</f>
        <v>NO</v>
      </c>
      <c r="Q56" s="3877" t="s">
        <v>205</v>
      </c>
      <c r="R56" s="3955" t="s">
        <v>205</v>
      </c>
      <c r="S56" s="3956" t="s">
        <v>205</v>
      </c>
      <c r="T56" s="3954" t="s">
        <v>205</v>
      </c>
    </row>
    <row r="57" spans="2:21" ht="18" customHeight="1" thickBot="1" x14ac:dyDescent="0.25">
      <c r="B57" s="2545"/>
      <c r="C57" s="3957"/>
      <c r="D57" s="3957"/>
      <c r="E57" s="3957"/>
      <c r="F57" s="3957"/>
      <c r="G57" s="3957"/>
      <c r="H57" s="3957"/>
      <c r="I57" s="3957"/>
      <c r="J57" s="3957"/>
      <c r="K57" s="3957"/>
      <c r="L57" s="3957"/>
      <c r="M57" s="3957"/>
      <c r="N57" s="3957"/>
      <c r="O57" s="3957"/>
      <c r="P57" s="3957"/>
      <c r="Q57" s="3957"/>
      <c r="R57" s="3958"/>
      <c r="S57" s="3958"/>
      <c r="T57" s="3957"/>
    </row>
    <row r="58" spans="2:21" ht="18" customHeight="1" x14ac:dyDescent="0.2">
      <c r="B58" s="2550" t="s">
        <v>2189</v>
      </c>
      <c r="C58" s="3959"/>
      <c r="D58" s="3960"/>
      <c r="E58" s="3961"/>
      <c r="F58" s="3961"/>
      <c r="G58" s="3961"/>
      <c r="H58" s="3962"/>
      <c r="I58" s="3963"/>
      <c r="J58" s="3964"/>
      <c r="K58" s="3961"/>
      <c r="L58" s="3961"/>
      <c r="M58" s="3961"/>
      <c r="N58" s="3962"/>
      <c r="O58" s="3965"/>
      <c r="P58" s="3964"/>
      <c r="Q58" s="3961"/>
      <c r="R58" s="3966"/>
      <c r="S58" s="3966"/>
      <c r="T58" s="3967"/>
    </row>
    <row r="59" spans="2:21" ht="18" customHeight="1" x14ac:dyDescent="0.2">
      <c r="B59" s="1408" t="s">
        <v>217</v>
      </c>
      <c r="C59" s="3849">
        <v>11925.5122242</v>
      </c>
      <c r="D59" s="3849">
        <f>Summary2!C60</f>
        <v>11913.955119279999</v>
      </c>
      <c r="E59" s="3863">
        <f t="shared" ref="E59" si="66">IF(D59="NO",IF(C59="NO","NA",-C59),IF(C59="NO",D59,D59-C59))</f>
        <v>-11.557104920000711</v>
      </c>
      <c r="F59" s="3863">
        <f t="shared" ref="F59" si="67">IF(E59="NA","NA",E59/C59*100)</f>
        <v>-9.6910763267244029E-2</v>
      </c>
      <c r="G59" s="3864">
        <f>IF(E59="NA","NA",E59/Table8s2!$G$35*100)</f>
        <v>-2.1170154722471171E-3</v>
      </c>
      <c r="H59" s="3865">
        <f>IF(E59="NA","NA",E59/Table8s2!$G$34*100)</f>
        <v>-1.8458299094044513E-3</v>
      </c>
      <c r="I59" s="3849">
        <v>7.2927227504000811</v>
      </c>
      <c r="J59" s="3849">
        <f>Summary2!D60</f>
        <v>7.2841871855999987</v>
      </c>
      <c r="K59" s="3863">
        <f t="shared" ref="K59:K61" si="68">IF(J59="NO",IF(I59="NO","NA",-I59),IF(I59="NO",J59,J59-I59))</f>
        <v>-8.5355648000824402E-3</v>
      </c>
      <c r="L59" s="3863">
        <f t="shared" ref="L59:L61" si="69">IF(K59="NA","NA",K59/I59*100)</f>
        <v>-0.11704222266799018</v>
      </c>
      <c r="M59" s="3864">
        <f>IF(K59="NA","NA",K59/Table8s2!$G$35*100)</f>
        <v>-1.5635336765759228E-6</v>
      </c>
      <c r="N59" s="3865">
        <f>IF(K59="NA","NA",K59/Table8s2!$G$34*100)</f>
        <v>-1.3632480548295502E-6</v>
      </c>
      <c r="O59" s="3850">
        <v>31.033000862368699</v>
      </c>
      <c r="P59" s="3849">
        <f>Summary2!E60</f>
        <v>31.003319434157891</v>
      </c>
      <c r="Q59" s="3863">
        <f t="shared" ref="Q59" si="70">IF(P59="NO",IF(O59="NO","NA",-O59),IF(O59="NO",P59,P59-O59))</f>
        <v>-2.9681428210807326E-2</v>
      </c>
      <c r="R59" s="3968">
        <f t="shared" ref="R59" si="71">IF(Q59="NA","NA",Q59/O59*100)</f>
        <v>-9.5644724602832978E-2</v>
      </c>
      <c r="S59" s="3969">
        <f>IF(Q59="NA","NA",Q59/Table8s2!$G$35*100)</f>
        <v>-5.4370054780697891E-6</v>
      </c>
      <c r="T59" s="3970">
        <f>IF(Q59="NA","NA",Q59/Table8s2!$G$34*100)</f>
        <v>-4.740535655303702E-6</v>
      </c>
    </row>
    <row r="60" spans="2:21" ht="18" customHeight="1" x14ac:dyDescent="0.2">
      <c r="B60" s="1409" t="s">
        <v>218</v>
      </c>
      <c r="C60" s="3849">
        <v>9357.8260147199999</v>
      </c>
      <c r="D60" s="3849">
        <f>Summary2!C61</f>
        <v>9349.5914995200001</v>
      </c>
      <c r="E60" s="3863">
        <f t="shared" ref="E60:E61" si="72">IF(D60="NO",IF(C60="NO","NA",-C60),IF(C60="NO",D60,D60-C60))</f>
        <v>-8.2345151999998052</v>
      </c>
      <c r="F60" s="3863">
        <f t="shared" ref="F60:F61" si="73">IF(E60="NA","NA",E60/C60*100)</f>
        <v>-8.7996027998883397E-2</v>
      </c>
      <c r="G60" s="3864">
        <f>IF(E60="NA","NA",E60/Table8s2!$G$35*100)</f>
        <v>-1.5083878017482411E-3</v>
      </c>
      <c r="H60" s="3865">
        <f>IF(E60="NA","NA",E60/Table8s2!$G$34*100)</f>
        <v>-1.3151662592680072E-3</v>
      </c>
      <c r="I60" s="3849">
        <v>0.42236760000008</v>
      </c>
      <c r="J60" s="3849">
        <f>Summary2!D61</f>
        <v>0.4223675999999999</v>
      </c>
      <c r="K60" s="3863">
        <f t="shared" si="68"/>
        <v>-8.0102591226705044E-14</v>
      </c>
      <c r="L60" s="3863">
        <f t="shared" si="69"/>
        <v>-1.8965136347269505E-11</v>
      </c>
      <c r="M60" s="3864">
        <f>IF(K60="NA","NA",K60/Table8s2!$G$35*100)</f>
        <v>-1.4673088647014753E-17</v>
      </c>
      <c r="N60" s="3865">
        <f>IF(K60="NA","NA",K60/Table8s2!$G$34*100)</f>
        <v>-1.2793494541281855E-17</v>
      </c>
      <c r="O60" s="3850">
        <v>12.4549996903687</v>
      </c>
      <c r="P60" s="3849">
        <f>Summary2!E61</f>
        <v>12.448399126157895</v>
      </c>
      <c r="Q60" s="3863">
        <f t="shared" ref="Q60:Q61" si="74">IF(P60="NO",IF(O60="NO","NA",-O60),IF(O60="NO",P60,P60-O60))</f>
        <v>-6.6005642108049045E-3</v>
      </c>
      <c r="R60" s="3968">
        <f t="shared" ref="R60:R61" si="75">IF(Q60="NA","NA",Q60/O60*100)</f>
        <v>-5.2995298072219477E-2</v>
      </c>
      <c r="S60" s="3969">
        <f>IF(Q60="NA","NA",Q60/Table8s2!$G$35*100)</f>
        <v>-1.209082781246716E-6</v>
      </c>
      <c r="T60" s="3970">
        <f>IF(Q60="NA","NA",Q60/Table8s2!$G$34*100)</f>
        <v>-1.0542016295243194E-6</v>
      </c>
    </row>
    <row r="61" spans="2:21" ht="18" customHeight="1" x14ac:dyDescent="0.2">
      <c r="B61" s="1410" t="s">
        <v>1963</v>
      </c>
      <c r="C61" s="3849">
        <v>2567.6862094799999</v>
      </c>
      <c r="D61" s="3849">
        <f>Summary2!C62</f>
        <v>2564.3636197599994</v>
      </c>
      <c r="E61" s="3863">
        <f t="shared" si="72"/>
        <v>-3.3225897200004511</v>
      </c>
      <c r="F61" s="3863">
        <f t="shared" si="73"/>
        <v>-0.12940014662747018</v>
      </c>
      <c r="G61" s="3864">
        <f>IF(E61="NA","NA",E61/Table8s2!$G$35*100)</f>
        <v>-6.0862767049879303E-4</v>
      </c>
      <c r="H61" s="3865">
        <f>IF(E61="NA","NA",E61/Table8s2!$G$34*100)</f>
        <v>-5.306636501363714E-4</v>
      </c>
      <c r="I61" s="3849">
        <v>6.8703551504</v>
      </c>
      <c r="J61" s="3849">
        <f>Summary2!D62</f>
        <v>6.8618195855999993</v>
      </c>
      <c r="K61" s="3863">
        <f t="shared" si="68"/>
        <v>-8.5355648000007278E-3</v>
      </c>
      <c r="L61" s="3863">
        <f t="shared" si="69"/>
        <v>-0.12423760654503833</v>
      </c>
      <c r="M61" s="3864">
        <f>IF(K61="NA","NA",K61/Table8s2!$G$35*100)</f>
        <v>-1.5635336765609549E-6</v>
      </c>
      <c r="N61" s="3865">
        <f>IF(K61="NA","NA",K61/Table8s2!$G$34*100)</f>
        <v>-1.3632480548164995E-6</v>
      </c>
      <c r="O61" s="3850">
        <v>18.578001171999997</v>
      </c>
      <c r="P61" s="3849">
        <f>Summary2!E62</f>
        <v>18.554920308</v>
      </c>
      <c r="Q61" s="3863">
        <f t="shared" si="74"/>
        <v>-2.3080863999997092E-2</v>
      </c>
      <c r="R61" s="3968">
        <f t="shared" si="75"/>
        <v>-0.12423760654501209</v>
      </c>
      <c r="S61" s="3969">
        <f>IF(Q61="NA","NA",Q61/Table8s2!$G$35*100)</f>
        <v>-4.2279226968220971E-6</v>
      </c>
      <c r="T61" s="3970">
        <f>IF(Q61="NA","NA",Q61/Table8s2!$G$34*100)</f>
        <v>-3.6863340257785311E-6</v>
      </c>
    </row>
    <row r="62" spans="2:21" ht="18" customHeight="1" x14ac:dyDescent="0.2">
      <c r="B62" s="1411" t="s">
        <v>220</v>
      </c>
      <c r="C62" s="3849" t="s">
        <v>199</v>
      </c>
      <c r="D62" s="3849" t="str">
        <f>Summary2!C63</f>
        <v>NE</v>
      </c>
      <c r="E62" s="3863" t="s">
        <v>205</v>
      </c>
      <c r="F62" s="3863" t="s">
        <v>205</v>
      </c>
      <c r="G62" s="3864" t="s">
        <v>205</v>
      </c>
      <c r="H62" s="3865" t="s">
        <v>205</v>
      </c>
      <c r="I62" s="3849" t="s">
        <v>199</v>
      </c>
      <c r="J62" s="3849" t="str">
        <f>Summary2!D63</f>
        <v>NE</v>
      </c>
      <c r="K62" s="3863" t="s">
        <v>205</v>
      </c>
      <c r="L62" s="3863" t="s">
        <v>205</v>
      </c>
      <c r="M62" s="3864" t="s">
        <v>205</v>
      </c>
      <c r="N62" s="3865" t="s">
        <v>205</v>
      </c>
      <c r="O62" s="3850" t="s">
        <v>199</v>
      </c>
      <c r="P62" s="3849" t="str">
        <f>Summary2!E63</f>
        <v>NE</v>
      </c>
      <c r="Q62" s="3863" t="s">
        <v>205</v>
      </c>
      <c r="R62" s="3968" t="s">
        <v>205</v>
      </c>
      <c r="S62" s="3969" t="s">
        <v>205</v>
      </c>
      <c r="T62" s="3970" t="s">
        <v>205</v>
      </c>
    </row>
    <row r="63" spans="2:21" ht="18" customHeight="1" x14ac:dyDescent="0.2">
      <c r="B63" s="1408" t="s">
        <v>2190</v>
      </c>
      <c r="C63" s="3849">
        <v>19274.567221454989</v>
      </c>
      <c r="D63" s="3849">
        <f>Summary2!C64</f>
        <v>19252.600125708159</v>
      </c>
      <c r="E63" s="3863">
        <f t="shared" ref="E63:E65" si="76">IF(D63="NO",IF(C63="NO","NA",-C63),IF(C63="NO",D63,D63-C63))</f>
        <v>-21.967095746829727</v>
      </c>
      <c r="F63" s="3863">
        <f t="shared" ref="F63:F65" si="77">IF(E63="NA","NA",E63/C63*100)</f>
        <v>-0.11396933323814201</v>
      </c>
      <c r="G63" s="3864">
        <f>IF(E63="NA","NA",E63/Table8s2!$G$35*100)</f>
        <v>-4.0239040744444081E-3</v>
      </c>
      <c r="H63" s="3865">
        <f>IF(E63="NA","NA",E63/Table8s2!$G$34*100)</f>
        <v>-3.508449791961145E-3</v>
      </c>
      <c r="I63" s="3971"/>
      <c r="J63" s="3971"/>
      <c r="K63" s="3972"/>
      <c r="L63" s="3972"/>
      <c r="M63" s="3973"/>
      <c r="N63" s="3974"/>
      <c r="O63" s="3975"/>
      <c r="P63" s="3971"/>
      <c r="Q63" s="3972"/>
      <c r="R63" s="3976"/>
      <c r="S63" s="3977"/>
      <c r="T63" s="3978"/>
    </row>
    <row r="64" spans="2:21" ht="18" customHeight="1" x14ac:dyDescent="0.2">
      <c r="B64" s="1412" t="s">
        <v>2191</v>
      </c>
      <c r="C64" s="3849" t="str">
        <f>D64</f>
        <v>NO</v>
      </c>
      <c r="D64" s="3851" t="str">
        <f>Summary2!C65</f>
        <v>NO</v>
      </c>
      <c r="E64" s="3863" t="str">
        <f t="shared" si="76"/>
        <v>NA</v>
      </c>
      <c r="F64" s="3863" t="str">
        <f t="shared" si="77"/>
        <v>NA</v>
      </c>
      <c r="G64" s="3864" t="str">
        <f>IF(E64="NA","NA",E64/Table8s2!$G$35*100)</f>
        <v>NA</v>
      </c>
      <c r="H64" s="3865" t="str">
        <f>IF(E64="NA","NA",E64/Table8s2!$G$34*100)</f>
        <v>NA</v>
      </c>
      <c r="I64" s="3971"/>
      <c r="J64" s="3971"/>
      <c r="K64" s="3971"/>
      <c r="L64" s="3971"/>
      <c r="M64" s="3980"/>
      <c r="N64" s="3978"/>
      <c r="O64" s="3981"/>
      <c r="P64" s="3982"/>
      <c r="Q64" s="3972"/>
      <c r="R64" s="3983"/>
      <c r="S64" s="3984"/>
      <c r="T64" s="3985"/>
    </row>
    <row r="65" spans="2:20" ht="18" customHeight="1" x14ac:dyDescent="0.2">
      <c r="B65" s="1413" t="s">
        <v>1965</v>
      </c>
      <c r="C65" s="3849">
        <v>263909.28414286114</v>
      </c>
      <c r="D65" s="3851">
        <f>Summary2!C66</f>
        <v>263961.04090265837</v>
      </c>
      <c r="E65" s="3979">
        <f t="shared" si="76"/>
        <v>51.756759797222912</v>
      </c>
      <c r="F65" s="3986">
        <f t="shared" si="77"/>
        <v>1.961157219812153E-2</v>
      </c>
      <c r="G65" s="3987">
        <f>IF(E65="NA","NA",E65/Table8s2!$G$35*100)</f>
        <v>9.480736053064381E-3</v>
      </c>
      <c r="H65" s="3988">
        <f>IF(E65="NA","NA",E65/Table8s2!$G$34*100)</f>
        <v>8.2662722116716783E-3</v>
      </c>
      <c r="I65" s="3982"/>
      <c r="J65" s="3982"/>
      <c r="K65" s="3982"/>
      <c r="L65" s="3982"/>
      <c r="M65" s="3989"/>
      <c r="N65" s="3985"/>
      <c r="O65" s="3981"/>
      <c r="P65" s="3982"/>
      <c r="Q65" s="3990"/>
      <c r="R65" s="3983"/>
      <c r="S65" s="3984"/>
      <c r="T65" s="3985"/>
    </row>
    <row r="66" spans="2:20" ht="18" customHeight="1" thickBot="1" x14ac:dyDescent="0.3">
      <c r="B66" s="723" t="s">
        <v>2192</v>
      </c>
      <c r="C66" s="3991"/>
      <c r="D66" s="3991"/>
      <c r="E66" s="3992"/>
      <c r="F66" s="3993"/>
      <c r="G66" s="3994"/>
      <c r="H66" s="3995"/>
      <c r="I66" s="3996"/>
      <c r="J66" s="3997"/>
      <c r="K66" s="3996"/>
      <c r="L66" s="3998"/>
      <c r="M66" s="3999"/>
      <c r="N66" s="4000"/>
      <c r="O66" s="3875" t="s">
        <v>2036</v>
      </c>
      <c r="P66" s="3857" t="str">
        <f>Summary2!E67</f>
        <v>IE,NE,NO</v>
      </c>
      <c r="Q66" s="4001" t="s">
        <v>205</v>
      </c>
      <c r="R66" s="4002" t="s">
        <v>205</v>
      </c>
      <c r="S66" s="4003" t="s">
        <v>205</v>
      </c>
      <c r="T66" s="4004" t="s">
        <v>205</v>
      </c>
    </row>
    <row r="67" spans="2:20" ht="18" customHeight="1" thickBot="1" x14ac:dyDescent="0.25">
      <c r="B67" s="535"/>
      <c r="C67" s="4005"/>
      <c r="D67" s="4005"/>
      <c r="E67" s="4005"/>
      <c r="F67" s="4006"/>
      <c r="G67" s="4006"/>
      <c r="H67" s="4005"/>
      <c r="I67" s="4007"/>
      <c r="J67" s="4008"/>
      <c r="K67" s="4007"/>
      <c r="L67" s="4009"/>
      <c r="M67" s="4009"/>
      <c r="N67" s="4009"/>
      <c r="O67" s="4008"/>
      <c r="P67" s="4008"/>
      <c r="Q67" s="4007"/>
      <c r="R67" s="4008"/>
      <c r="S67" s="4008"/>
      <c r="T67" s="4008"/>
    </row>
    <row r="68" spans="2:20" ht="18" customHeight="1" thickBot="1" x14ac:dyDescent="0.3">
      <c r="B68" s="970" t="s">
        <v>2193</v>
      </c>
      <c r="C68" s="4010" t="s">
        <v>2035</v>
      </c>
      <c r="D68" s="4010" t="str">
        <f>Summary2!C69</f>
        <v>NE,NO</v>
      </c>
      <c r="E68" s="4011" t="s">
        <v>205</v>
      </c>
      <c r="F68" s="4012" t="s">
        <v>205</v>
      </c>
      <c r="G68" s="4012" t="s">
        <v>205</v>
      </c>
      <c r="H68" s="4011" t="s">
        <v>205</v>
      </c>
      <c r="I68" s="4013"/>
      <c r="J68" s="4014"/>
      <c r="K68" s="4013"/>
      <c r="L68" s="4015"/>
      <c r="M68" s="4015"/>
      <c r="N68" s="4015"/>
      <c r="O68" s="4014"/>
      <c r="P68" s="4014"/>
      <c r="Q68" s="4013"/>
      <c r="R68" s="4014"/>
      <c r="S68" s="4014"/>
      <c r="T68" s="4016"/>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topLeftCell="M14" workbookViewId="0">
      <selection activeCell="Y36" sqref="Y36"/>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2460</v>
      </c>
    </row>
    <row r="2" spans="2:32" ht="15.75" customHeight="1" x14ac:dyDescent="0.2">
      <c r="B2" s="3" t="s">
        <v>872</v>
      </c>
      <c r="C2" s="3" t="s">
        <v>2173</v>
      </c>
      <c r="D2" s="703"/>
      <c r="E2" s="703"/>
      <c r="F2" s="703"/>
      <c r="G2" s="703"/>
      <c r="H2" s="703"/>
      <c r="I2" s="703"/>
      <c r="J2" s="703"/>
      <c r="K2" s="703"/>
      <c r="L2" s="2512"/>
      <c r="M2" s="722"/>
      <c r="N2" s="604"/>
      <c r="O2" s="604"/>
      <c r="P2" s="604"/>
      <c r="Q2" s="604"/>
      <c r="R2" s="604"/>
      <c r="S2" s="604"/>
      <c r="AF2" s="14" t="s">
        <v>2461</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1"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4"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4"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4020">
        <f>IF(SUM(C11:C30)=0,"NO",SUM(C11:C30))</f>
        <v>4706.3765189513424</v>
      </c>
      <c r="D10" s="4021">
        <f>IF(SUM(D11:D30)=0,"NO",SUM(D11:D30))</f>
        <v>4706.3765189513433</v>
      </c>
      <c r="E10" s="4021">
        <f>IF(D10="NO",IF(C10="NO","NA",-C10),IF(C10="NO",D10,D10-C10))</f>
        <v>9.0949470177292824E-13</v>
      </c>
      <c r="F10" s="4021">
        <f>IF(E10="NA","NA",E10/C10*100)</f>
        <v>1.9324733117094051E-14</v>
      </c>
      <c r="G10" s="4022">
        <f>IF(E10="NA","NA",E10/$G$35*100)</f>
        <v>1.6660005848419245E-16</v>
      </c>
      <c r="H10" s="4023">
        <f>IF(E10="NA","NA",E10/$G$34*100)</f>
        <v>1.4525891515201792E-16</v>
      </c>
      <c r="I10" s="4024">
        <f>IF(SUM(I11:I30)=0,"NO",SUM(I11:I30))</f>
        <v>524.05752254650565</v>
      </c>
      <c r="J10" s="4024">
        <f>IF(SUM(J11:J30)=0,"NO",SUM(J11:J30))</f>
        <v>524.05752254650565</v>
      </c>
      <c r="K10" s="4021">
        <f>IF(J10="NO",IF(I10="NO","NA",-I10),IF(I10="NO",J10,J10-I10))</f>
        <v>0</v>
      </c>
      <c r="L10" s="4021">
        <f>IF(K10="NA","NA",K10/I10*100)</f>
        <v>0</v>
      </c>
      <c r="M10" s="4022">
        <f>IF(K10="NA","NA",K10/$G$35*100)</f>
        <v>0</v>
      </c>
      <c r="N10" s="4023">
        <f>IF(K10="NA","NA",K10/$G$34*100)</f>
        <v>0</v>
      </c>
      <c r="O10" s="4020" t="s">
        <v>199</v>
      </c>
      <c r="P10" s="4021" t="s">
        <v>199</v>
      </c>
      <c r="Q10" s="4021" t="s">
        <v>205</v>
      </c>
      <c r="R10" s="4025" t="s">
        <v>205</v>
      </c>
      <c r="S10" s="4026" t="s">
        <v>205</v>
      </c>
      <c r="T10" s="4023" t="s">
        <v>205</v>
      </c>
      <c r="U10" s="4020">
        <f>IF(SUM(U11:U30)=0,"NO",SUM(U11:U30))</f>
        <v>180.50437484164183</v>
      </c>
      <c r="V10" s="4021">
        <f>IF(SUM(V11:V30)=0,"NO",SUM(V11:V30))</f>
        <v>180.50437484164183</v>
      </c>
      <c r="W10" s="4021">
        <f>IF(V10="NO",IF(U10="NO","NA",-U10),IF(U10="NO",V10,V10-U10))</f>
        <v>0</v>
      </c>
      <c r="X10" s="4025">
        <f>IF(W10="NA","NA",W10/U10*100)</f>
        <v>0</v>
      </c>
      <c r="Y10" s="4026">
        <f>IF(W10="NA","NA",W10/$G$35*100)</f>
        <v>0</v>
      </c>
      <c r="Z10" s="4023">
        <f>IF(W10="NA","NA",W10/$G$34*100)</f>
        <v>0</v>
      </c>
      <c r="AA10" s="4021" t="s">
        <v>199</v>
      </c>
      <c r="AB10" s="4021" t="s">
        <v>199</v>
      </c>
      <c r="AC10" s="4021" t="s">
        <v>205</v>
      </c>
      <c r="AD10" s="4025" t="s">
        <v>205</v>
      </c>
      <c r="AE10" s="4026" t="s">
        <v>205</v>
      </c>
      <c r="AF10" s="4023" t="s">
        <v>205</v>
      </c>
    </row>
    <row r="11" spans="2:32" ht="18" customHeight="1" x14ac:dyDescent="0.2">
      <c r="B11" s="1980" t="s">
        <v>2200</v>
      </c>
      <c r="C11" s="3850" t="s">
        <v>199</v>
      </c>
      <c r="D11" s="3849" t="str">
        <f>'Table2(I)'!F25</f>
        <v>NO</v>
      </c>
      <c r="E11" s="3849" t="str">
        <f>IF(D11="NO",IF(C11="NO","NA",-C11),IF(C11="NO",D11,D11-C11))</f>
        <v>NA</v>
      </c>
      <c r="F11" s="4018" t="str">
        <f>IF(E11="NA","NA",E11/C11*100)</f>
        <v>NA</v>
      </c>
      <c r="G11" s="3873" t="str">
        <f>IF(E11="NA","NA",E11/$G$35*100)</f>
        <v>NA</v>
      </c>
      <c r="H11" s="3874" t="str">
        <f>IF(E11="NA","NA",E11/$G$34*100)</f>
        <v>NA</v>
      </c>
      <c r="I11" s="4019" t="s">
        <v>199</v>
      </c>
      <c r="J11" s="3849" t="s">
        <v>199</v>
      </c>
      <c r="K11" s="3841" t="s">
        <v>205</v>
      </c>
      <c r="L11" s="4027" t="s">
        <v>205</v>
      </c>
      <c r="M11" s="4028" t="s">
        <v>205</v>
      </c>
      <c r="N11" s="3847" t="s">
        <v>205</v>
      </c>
      <c r="O11" s="3850" t="s">
        <v>199</v>
      </c>
      <c r="P11" s="3849" t="s">
        <v>199</v>
      </c>
      <c r="Q11" s="3849" t="s">
        <v>205</v>
      </c>
      <c r="R11" s="4029" t="s">
        <v>205</v>
      </c>
      <c r="S11" s="4030" t="s">
        <v>205</v>
      </c>
      <c r="T11" s="3874" t="s">
        <v>205</v>
      </c>
      <c r="U11" s="3850" t="s">
        <v>199</v>
      </c>
      <c r="V11" s="3849" t="s">
        <v>199</v>
      </c>
      <c r="W11" s="3849" t="s">
        <v>205</v>
      </c>
      <c r="X11" s="4029" t="s">
        <v>205</v>
      </c>
      <c r="Y11" s="4030" t="s">
        <v>205</v>
      </c>
      <c r="Z11" s="3874" t="s">
        <v>205</v>
      </c>
      <c r="AA11" s="3849" t="s">
        <v>199</v>
      </c>
      <c r="AB11" s="3849" t="s">
        <v>199</v>
      </c>
      <c r="AC11" s="3849" t="s">
        <v>205</v>
      </c>
      <c r="AD11" s="4029" t="s">
        <v>205</v>
      </c>
      <c r="AE11" s="4030" t="s">
        <v>205</v>
      </c>
      <c r="AF11" s="3874" t="s">
        <v>205</v>
      </c>
    </row>
    <row r="12" spans="2:32" ht="18" customHeight="1" x14ac:dyDescent="0.2">
      <c r="B12" s="1980" t="s">
        <v>712</v>
      </c>
      <c r="C12" s="3856" t="s">
        <v>199</v>
      </c>
      <c r="D12" s="3851" t="s">
        <v>199</v>
      </c>
      <c r="E12" s="3851" t="s">
        <v>205</v>
      </c>
      <c r="F12" s="3851" t="s">
        <v>205</v>
      </c>
      <c r="G12" s="4031" t="s">
        <v>205</v>
      </c>
      <c r="H12" s="4032" t="s">
        <v>205</v>
      </c>
      <c r="I12" s="4019" t="s">
        <v>199</v>
      </c>
      <c r="J12" s="3849" t="s">
        <v>199</v>
      </c>
      <c r="K12" s="3841" t="s">
        <v>205</v>
      </c>
      <c r="L12" s="4027" t="s">
        <v>205</v>
      </c>
      <c r="M12" s="4028" t="s">
        <v>205</v>
      </c>
      <c r="N12" s="3847" t="s">
        <v>205</v>
      </c>
      <c r="O12" s="3850" t="s">
        <v>199</v>
      </c>
      <c r="P12" s="3849" t="s">
        <v>199</v>
      </c>
      <c r="Q12" s="3849" t="s">
        <v>205</v>
      </c>
      <c r="R12" s="4033" t="s">
        <v>205</v>
      </c>
      <c r="S12" s="4034" t="s">
        <v>205</v>
      </c>
      <c r="T12" s="3874" t="s">
        <v>205</v>
      </c>
      <c r="U12" s="3850" t="s">
        <v>199</v>
      </c>
      <c r="V12" s="3849" t="s">
        <v>199</v>
      </c>
      <c r="W12" s="3849" t="s">
        <v>205</v>
      </c>
      <c r="X12" s="4029" t="s">
        <v>205</v>
      </c>
      <c r="Y12" s="4030" t="s">
        <v>205</v>
      </c>
      <c r="Z12" s="3874" t="s">
        <v>205</v>
      </c>
      <c r="AA12" s="3850" t="s">
        <v>199</v>
      </c>
      <c r="AB12" s="3849" t="s">
        <v>199</v>
      </c>
      <c r="AC12" s="3849" t="s">
        <v>205</v>
      </c>
      <c r="AD12" s="4033" t="s">
        <v>205</v>
      </c>
      <c r="AE12" s="4034" t="s">
        <v>205</v>
      </c>
      <c r="AF12" s="3874" t="s">
        <v>205</v>
      </c>
    </row>
    <row r="13" spans="2:32" ht="18" customHeight="1" x14ac:dyDescent="0.2">
      <c r="B13" s="1980" t="s">
        <v>714</v>
      </c>
      <c r="C13" s="4035"/>
      <c r="D13" s="4036"/>
      <c r="E13" s="4036"/>
      <c r="F13" s="4036"/>
      <c r="G13" s="4036"/>
      <c r="H13" s="4037"/>
      <c r="I13" s="4019">
        <v>524.05752254650565</v>
      </c>
      <c r="J13" s="3841">
        <f>'Table2(II)'!AH41</f>
        <v>524.05752254650565</v>
      </c>
      <c r="K13" s="3849">
        <f>IF(J13="NO",IF(I13="NO","NA",-I13),IF(I13="NO",J13,J13-I13))</f>
        <v>0</v>
      </c>
      <c r="L13" s="4018">
        <f>IF(K13="NA","NA",K13/I13*100)</f>
        <v>0</v>
      </c>
      <c r="M13" s="3873">
        <f>IF(K13="NA","NA",K13/$G$35*100)</f>
        <v>0</v>
      </c>
      <c r="N13" s="3874">
        <f>IF(K13="NA","NA",K13/$G$34*100)</f>
        <v>0</v>
      </c>
      <c r="O13" s="3903"/>
      <c r="P13" s="3904"/>
      <c r="Q13" s="3904"/>
      <c r="R13" s="4038"/>
      <c r="S13" s="4036"/>
      <c r="T13" s="4039"/>
      <c r="U13" s="3850" t="s">
        <v>199</v>
      </c>
      <c r="V13" s="3849" t="s">
        <v>199</v>
      </c>
      <c r="W13" s="3849" t="s">
        <v>205</v>
      </c>
      <c r="X13" s="4029" t="s">
        <v>205</v>
      </c>
      <c r="Y13" s="4030" t="s">
        <v>205</v>
      </c>
      <c r="Z13" s="3874" t="s">
        <v>205</v>
      </c>
      <c r="AA13" s="3904"/>
      <c r="AB13" s="3904"/>
      <c r="AC13" s="3904"/>
      <c r="AD13" s="4038"/>
      <c r="AE13" s="4036"/>
      <c r="AF13" s="4039"/>
    </row>
    <row r="14" spans="2:32" ht="18" customHeight="1" x14ac:dyDescent="0.2">
      <c r="B14" s="1980" t="s">
        <v>715</v>
      </c>
      <c r="C14" s="3850" t="s">
        <v>199</v>
      </c>
      <c r="D14" s="3849" t="s">
        <v>199</v>
      </c>
      <c r="E14" s="3849" t="s">
        <v>205</v>
      </c>
      <c r="F14" s="3849" t="s">
        <v>205</v>
      </c>
      <c r="G14" s="3873" t="s">
        <v>205</v>
      </c>
      <c r="H14" s="3874" t="s">
        <v>205</v>
      </c>
      <c r="I14" s="4019" t="s">
        <v>199</v>
      </c>
      <c r="J14" s="3841" t="s">
        <v>199</v>
      </c>
      <c r="K14" s="3841" t="s">
        <v>205</v>
      </c>
      <c r="L14" s="4027" t="s">
        <v>205</v>
      </c>
      <c r="M14" s="4028" t="s">
        <v>205</v>
      </c>
      <c r="N14" s="3847" t="s">
        <v>205</v>
      </c>
      <c r="O14" s="3850" t="s">
        <v>199</v>
      </c>
      <c r="P14" s="3849" t="s">
        <v>199</v>
      </c>
      <c r="Q14" s="3849" t="s">
        <v>205</v>
      </c>
      <c r="R14" s="4029" t="s">
        <v>205</v>
      </c>
      <c r="S14" s="4030" t="s">
        <v>205</v>
      </c>
      <c r="T14" s="3874" t="s">
        <v>205</v>
      </c>
      <c r="U14" s="3850" t="s">
        <v>199</v>
      </c>
      <c r="V14" s="3849" t="str">
        <f>IFERROR('Table2(I)'!I31*23500,'Table2(I)'!I31)</f>
        <v>NO</v>
      </c>
      <c r="W14" s="3849" t="str">
        <f>IF(V14="NO",IF(U14="NO","NA",-U14),IF(U14="NO",V14,V14-U14))</f>
        <v>NA</v>
      </c>
      <c r="X14" s="4018" t="str">
        <f>IF(W14="NA","NA",W14/U14*100)</f>
        <v>NA</v>
      </c>
      <c r="Y14" s="3873" t="str">
        <f>IF(W14="NA","NA",W14/$G$35*100)</f>
        <v>NA</v>
      </c>
      <c r="Z14" s="3874" t="str">
        <f>IF(W14="NA","NA",W14/$G$34*100)</f>
        <v>NA</v>
      </c>
      <c r="AA14" s="3904"/>
      <c r="AB14" s="3904"/>
      <c r="AC14" s="3904"/>
      <c r="AD14" s="4038"/>
      <c r="AE14" s="4036"/>
      <c r="AF14" s="4039"/>
    </row>
    <row r="15" spans="2:32" ht="18" customHeight="1" x14ac:dyDescent="0.2">
      <c r="B15" s="1980" t="s">
        <v>716</v>
      </c>
      <c r="C15" s="3850" t="s">
        <v>199</v>
      </c>
      <c r="D15" s="3849" t="s">
        <v>199</v>
      </c>
      <c r="E15" s="3849" t="s">
        <v>205</v>
      </c>
      <c r="F15" s="3849" t="s">
        <v>205</v>
      </c>
      <c r="G15" s="3873" t="s">
        <v>205</v>
      </c>
      <c r="H15" s="3874" t="s">
        <v>205</v>
      </c>
      <c r="I15" s="4019" t="s">
        <v>199</v>
      </c>
      <c r="J15" s="3841" t="s">
        <v>199</v>
      </c>
      <c r="K15" s="3841" t="s">
        <v>205</v>
      </c>
      <c r="L15" s="4027" t="s">
        <v>205</v>
      </c>
      <c r="M15" s="4028" t="s">
        <v>205</v>
      </c>
      <c r="N15" s="3847" t="s">
        <v>205</v>
      </c>
      <c r="O15" s="3850" t="s">
        <v>199</v>
      </c>
      <c r="P15" s="3849" t="s">
        <v>199</v>
      </c>
      <c r="Q15" s="3849" t="s">
        <v>205</v>
      </c>
      <c r="R15" s="4029" t="s">
        <v>205</v>
      </c>
      <c r="S15" s="4030" t="s">
        <v>205</v>
      </c>
      <c r="T15" s="3874" t="s">
        <v>205</v>
      </c>
      <c r="U15" s="3850" t="s">
        <v>199</v>
      </c>
      <c r="V15" s="3849" t="s">
        <v>199</v>
      </c>
      <c r="W15" s="3849" t="s">
        <v>205</v>
      </c>
      <c r="X15" s="4029" t="s">
        <v>205</v>
      </c>
      <c r="Y15" s="4030" t="s">
        <v>205</v>
      </c>
      <c r="Z15" s="3874" t="s">
        <v>205</v>
      </c>
      <c r="AA15" s="3849" t="s">
        <v>199</v>
      </c>
      <c r="AB15" s="3849" t="s">
        <v>199</v>
      </c>
      <c r="AC15" s="3849" t="s">
        <v>205</v>
      </c>
      <c r="AD15" s="4029" t="s">
        <v>205</v>
      </c>
      <c r="AE15" s="4030" t="s">
        <v>205</v>
      </c>
      <c r="AF15" s="3874" t="s">
        <v>205</v>
      </c>
    </row>
    <row r="16" spans="2:32" ht="18" customHeight="1" x14ac:dyDescent="0.2">
      <c r="B16" s="1981" t="s">
        <v>650</v>
      </c>
      <c r="C16" s="3850" t="s">
        <v>199</v>
      </c>
      <c r="D16" s="3849" t="s">
        <v>199</v>
      </c>
      <c r="E16" s="3849" t="s">
        <v>205</v>
      </c>
      <c r="F16" s="3849" t="s">
        <v>205</v>
      </c>
      <c r="G16" s="3873" t="s">
        <v>205</v>
      </c>
      <c r="H16" s="3874" t="s">
        <v>205</v>
      </c>
      <c r="I16" s="4019" t="s">
        <v>199</v>
      </c>
      <c r="J16" s="3841" t="s">
        <v>199</v>
      </c>
      <c r="K16" s="3841" t="s">
        <v>205</v>
      </c>
      <c r="L16" s="4027" t="s">
        <v>205</v>
      </c>
      <c r="M16" s="4028" t="s">
        <v>205</v>
      </c>
      <c r="N16" s="3847" t="s">
        <v>205</v>
      </c>
      <c r="O16" s="3850" t="s">
        <v>199</v>
      </c>
      <c r="P16" s="3849" t="s">
        <v>199</v>
      </c>
      <c r="Q16" s="3849" t="s">
        <v>205</v>
      </c>
      <c r="R16" s="4029" t="s">
        <v>205</v>
      </c>
      <c r="S16" s="4030" t="s">
        <v>205</v>
      </c>
      <c r="T16" s="3874" t="s">
        <v>205</v>
      </c>
      <c r="U16" s="3850" t="s">
        <v>199</v>
      </c>
      <c r="V16" s="3849" t="s">
        <v>199</v>
      </c>
      <c r="W16" s="3849" t="s">
        <v>205</v>
      </c>
      <c r="X16" s="4029" t="s">
        <v>205</v>
      </c>
      <c r="Y16" s="4030" t="s">
        <v>205</v>
      </c>
      <c r="Z16" s="3874" t="s">
        <v>205</v>
      </c>
      <c r="AA16" s="3849" t="s">
        <v>199</v>
      </c>
      <c r="AB16" s="3849" t="s">
        <v>199</v>
      </c>
      <c r="AC16" s="3849" t="s">
        <v>205</v>
      </c>
      <c r="AD16" s="4029" t="s">
        <v>205</v>
      </c>
      <c r="AE16" s="4030" t="s">
        <v>205</v>
      </c>
      <c r="AF16" s="3874" t="s">
        <v>205</v>
      </c>
    </row>
    <row r="17" spans="2:32" ht="18" customHeight="1" x14ac:dyDescent="0.2">
      <c r="B17" s="1980" t="s">
        <v>651</v>
      </c>
      <c r="C17" s="3850" t="s">
        <v>199</v>
      </c>
      <c r="D17" s="3849" t="s">
        <v>199</v>
      </c>
      <c r="E17" s="3849" t="s">
        <v>205</v>
      </c>
      <c r="F17" s="3849" t="s">
        <v>205</v>
      </c>
      <c r="G17" s="3873" t="s">
        <v>205</v>
      </c>
      <c r="H17" s="3874" t="s">
        <v>205</v>
      </c>
      <c r="I17" s="4019" t="s">
        <v>199</v>
      </c>
      <c r="J17" s="3841" t="s">
        <v>199</v>
      </c>
      <c r="K17" s="3841" t="s">
        <v>205</v>
      </c>
      <c r="L17" s="4027" t="s">
        <v>205</v>
      </c>
      <c r="M17" s="4028" t="s">
        <v>205</v>
      </c>
      <c r="N17" s="3847" t="s">
        <v>205</v>
      </c>
      <c r="O17" s="3850" t="s">
        <v>199</v>
      </c>
      <c r="P17" s="3849" t="s">
        <v>199</v>
      </c>
      <c r="Q17" s="3849" t="s">
        <v>205</v>
      </c>
      <c r="R17" s="4029" t="s">
        <v>205</v>
      </c>
      <c r="S17" s="4030" t="s">
        <v>205</v>
      </c>
      <c r="T17" s="3874" t="s">
        <v>205</v>
      </c>
      <c r="U17" s="3850" t="s">
        <v>199</v>
      </c>
      <c r="V17" s="3849" t="s">
        <v>199</v>
      </c>
      <c r="W17" s="3849" t="s">
        <v>205</v>
      </c>
      <c r="X17" s="4029" t="s">
        <v>205</v>
      </c>
      <c r="Y17" s="4030" t="s">
        <v>205</v>
      </c>
      <c r="Z17" s="3874" t="s">
        <v>205</v>
      </c>
      <c r="AA17" s="3849" t="s">
        <v>199</v>
      </c>
      <c r="AB17" s="3849" t="s">
        <v>199</v>
      </c>
      <c r="AC17" s="3849" t="s">
        <v>205</v>
      </c>
      <c r="AD17" s="4029" t="s">
        <v>205</v>
      </c>
      <c r="AE17" s="4030" t="s">
        <v>205</v>
      </c>
      <c r="AF17" s="3874" t="s">
        <v>205</v>
      </c>
    </row>
    <row r="18" spans="2:32" ht="18" customHeight="1" x14ac:dyDescent="0.2">
      <c r="B18" s="1980" t="s">
        <v>652</v>
      </c>
      <c r="C18" s="3850" t="s">
        <v>199</v>
      </c>
      <c r="D18" s="3849" t="s">
        <v>199</v>
      </c>
      <c r="E18" s="3849" t="s">
        <v>205</v>
      </c>
      <c r="F18" s="3849" t="s">
        <v>205</v>
      </c>
      <c r="G18" s="3873" t="s">
        <v>205</v>
      </c>
      <c r="H18" s="3874" t="s">
        <v>205</v>
      </c>
      <c r="I18" s="4019" t="s">
        <v>199</v>
      </c>
      <c r="J18" s="3841" t="s">
        <v>199</v>
      </c>
      <c r="K18" s="3841" t="s">
        <v>205</v>
      </c>
      <c r="L18" s="4027" t="s">
        <v>205</v>
      </c>
      <c r="M18" s="4028" t="s">
        <v>205</v>
      </c>
      <c r="N18" s="3847" t="s">
        <v>205</v>
      </c>
      <c r="O18" s="3850" t="s">
        <v>199</v>
      </c>
      <c r="P18" s="3849" t="s">
        <v>199</v>
      </c>
      <c r="Q18" s="3849" t="s">
        <v>205</v>
      </c>
      <c r="R18" s="4029" t="s">
        <v>205</v>
      </c>
      <c r="S18" s="4030" t="s">
        <v>205</v>
      </c>
      <c r="T18" s="3874" t="s">
        <v>205</v>
      </c>
      <c r="U18" s="3850" t="s">
        <v>199</v>
      </c>
      <c r="V18" s="3849" t="s">
        <v>199</v>
      </c>
      <c r="W18" s="3849" t="s">
        <v>205</v>
      </c>
      <c r="X18" s="4029" t="s">
        <v>205</v>
      </c>
      <c r="Y18" s="4030" t="s">
        <v>205</v>
      </c>
      <c r="Z18" s="3874" t="s">
        <v>205</v>
      </c>
      <c r="AA18" s="3849" t="s">
        <v>199</v>
      </c>
      <c r="AB18" s="3849" t="s">
        <v>199</v>
      </c>
      <c r="AC18" s="3849" t="s">
        <v>205</v>
      </c>
      <c r="AD18" s="4029" t="s">
        <v>205</v>
      </c>
      <c r="AE18" s="4030" t="s">
        <v>205</v>
      </c>
      <c r="AF18" s="3874" t="s">
        <v>205</v>
      </c>
    </row>
    <row r="19" spans="2:32" ht="18" customHeight="1" x14ac:dyDescent="0.2">
      <c r="B19" s="1980" t="s">
        <v>653</v>
      </c>
      <c r="C19" s="3850" t="s">
        <v>199</v>
      </c>
      <c r="D19" s="3849" t="s">
        <v>199</v>
      </c>
      <c r="E19" s="3849" t="s">
        <v>205</v>
      </c>
      <c r="F19" s="3849" t="s">
        <v>205</v>
      </c>
      <c r="G19" s="3873" t="s">
        <v>205</v>
      </c>
      <c r="H19" s="3874" t="s">
        <v>205</v>
      </c>
      <c r="I19" s="4019" t="s">
        <v>199</v>
      </c>
      <c r="J19" s="3841" t="s">
        <v>199</v>
      </c>
      <c r="K19" s="3841" t="s">
        <v>205</v>
      </c>
      <c r="L19" s="4027" t="s">
        <v>205</v>
      </c>
      <c r="M19" s="4028" t="s">
        <v>205</v>
      </c>
      <c r="N19" s="3847" t="s">
        <v>205</v>
      </c>
      <c r="O19" s="3850" t="s">
        <v>199</v>
      </c>
      <c r="P19" s="3849" t="s">
        <v>199</v>
      </c>
      <c r="Q19" s="3849" t="s">
        <v>205</v>
      </c>
      <c r="R19" s="4029" t="s">
        <v>205</v>
      </c>
      <c r="S19" s="4030" t="s">
        <v>205</v>
      </c>
      <c r="T19" s="3874" t="s">
        <v>205</v>
      </c>
      <c r="U19" s="3850" t="s">
        <v>199</v>
      </c>
      <c r="V19" s="3849" t="s">
        <v>199</v>
      </c>
      <c r="W19" s="3849" t="s">
        <v>205</v>
      </c>
      <c r="X19" s="4029" t="s">
        <v>205</v>
      </c>
      <c r="Y19" s="4030" t="s">
        <v>205</v>
      </c>
      <c r="Z19" s="3874" t="s">
        <v>205</v>
      </c>
      <c r="AA19" s="3849" t="s">
        <v>199</v>
      </c>
      <c r="AB19" s="3849" t="s">
        <v>199</v>
      </c>
      <c r="AC19" s="3849" t="s">
        <v>205</v>
      </c>
      <c r="AD19" s="4029" t="s">
        <v>205</v>
      </c>
      <c r="AE19" s="4030" t="s">
        <v>205</v>
      </c>
      <c r="AF19" s="3874" t="s">
        <v>205</v>
      </c>
    </row>
    <row r="20" spans="2:32" ht="18" customHeight="1" x14ac:dyDescent="0.2">
      <c r="B20" s="1980" t="s">
        <v>2201</v>
      </c>
      <c r="C20" s="3850" t="s">
        <v>199</v>
      </c>
      <c r="D20" s="3849" t="s">
        <v>199</v>
      </c>
      <c r="E20" s="3849" t="s">
        <v>205</v>
      </c>
      <c r="F20" s="3849" t="s">
        <v>205</v>
      </c>
      <c r="G20" s="3873" t="s">
        <v>205</v>
      </c>
      <c r="H20" s="3874" t="s">
        <v>205</v>
      </c>
      <c r="I20" s="4019" t="s">
        <v>199</v>
      </c>
      <c r="J20" s="3841" t="s">
        <v>199</v>
      </c>
      <c r="K20" s="3841" t="s">
        <v>205</v>
      </c>
      <c r="L20" s="4027" t="s">
        <v>205</v>
      </c>
      <c r="M20" s="4028" t="s">
        <v>205</v>
      </c>
      <c r="N20" s="3847" t="s">
        <v>205</v>
      </c>
      <c r="O20" s="3850" t="s">
        <v>199</v>
      </c>
      <c r="P20" s="3849" t="s">
        <v>199</v>
      </c>
      <c r="Q20" s="3849" t="s">
        <v>205</v>
      </c>
      <c r="R20" s="4029" t="s">
        <v>205</v>
      </c>
      <c r="S20" s="4030" t="s">
        <v>205</v>
      </c>
      <c r="T20" s="3874" t="s">
        <v>205</v>
      </c>
      <c r="U20" s="3850" t="s">
        <v>199</v>
      </c>
      <c r="V20" s="3849" t="s">
        <v>199</v>
      </c>
      <c r="W20" s="3849" t="s">
        <v>205</v>
      </c>
      <c r="X20" s="4029" t="s">
        <v>205</v>
      </c>
      <c r="Y20" s="4030" t="s">
        <v>205</v>
      </c>
      <c r="Z20" s="3874" t="s">
        <v>205</v>
      </c>
      <c r="AA20" s="3849" t="s">
        <v>199</v>
      </c>
      <c r="AB20" s="3849" t="s">
        <v>199</v>
      </c>
      <c r="AC20" s="3849" t="s">
        <v>205</v>
      </c>
      <c r="AD20" s="4029" t="s">
        <v>205</v>
      </c>
      <c r="AE20" s="4030" t="s">
        <v>205</v>
      </c>
      <c r="AF20" s="3874" t="s">
        <v>205</v>
      </c>
    </row>
    <row r="21" spans="2:32" ht="18" customHeight="1" x14ac:dyDescent="0.2">
      <c r="B21" s="1980" t="s">
        <v>656</v>
      </c>
      <c r="C21" s="3850">
        <v>4406.781992165339</v>
      </c>
      <c r="D21" s="3849">
        <f>'Table2(I)'!F46</f>
        <v>4406.7819921653399</v>
      </c>
      <c r="E21" s="3849">
        <f>IF(D21="NO",IF(C21="NO","NA",-C21),IF(C21="NO",D21,D21-C21))</f>
        <v>9.0949470177292824E-13</v>
      </c>
      <c r="F21" s="4018">
        <f>IF(E21="NA","NA",E21/C21*100)</f>
        <v>2.0638522699554608E-14</v>
      </c>
      <c r="G21" s="3873">
        <f>IF(E21="NA","NA",E21/$G$35*100)</f>
        <v>1.6660005848419245E-16</v>
      </c>
      <c r="H21" s="3874">
        <f>IF(E21="NA","NA",E21/$G$34*100)</f>
        <v>1.4525891515201792E-16</v>
      </c>
      <c r="I21" s="4019" t="s">
        <v>199</v>
      </c>
      <c r="J21" s="3841" t="s">
        <v>199</v>
      </c>
      <c r="K21" s="3841" t="s">
        <v>205</v>
      </c>
      <c r="L21" s="4027" t="s">
        <v>205</v>
      </c>
      <c r="M21" s="4028" t="s">
        <v>205</v>
      </c>
      <c r="N21" s="3847" t="s">
        <v>205</v>
      </c>
      <c r="O21" s="3850" t="s">
        <v>199</v>
      </c>
      <c r="P21" s="3849" t="s">
        <v>199</v>
      </c>
      <c r="Q21" s="3849" t="s">
        <v>205</v>
      </c>
      <c r="R21" s="4029" t="s">
        <v>205</v>
      </c>
      <c r="S21" s="4030" t="s">
        <v>205</v>
      </c>
      <c r="T21" s="3874" t="s">
        <v>205</v>
      </c>
      <c r="U21" s="3850" t="s">
        <v>199</v>
      </c>
      <c r="V21" s="3849" t="s">
        <v>199</v>
      </c>
      <c r="W21" s="3849" t="s">
        <v>205</v>
      </c>
      <c r="X21" s="4029" t="s">
        <v>205</v>
      </c>
      <c r="Y21" s="4030" t="s">
        <v>205</v>
      </c>
      <c r="Z21" s="3874" t="s">
        <v>205</v>
      </c>
      <c r="AA21" s="3849" t="s">
        <v>199</v>
      </c>
      <c r="AB21" s="3849" t="s">
        <v>199</v>
      </c>
      <c r="AC21" s="3849" t="s">
        <v>205</v>
      </c>
      <c r="AD21" s="4029" t="s">
        <v>205</v>
      </c>
      <c r="AE21" s="4030" t="s">
        <v>205</v>
      </c>
      <c r="AF21" s="3874" t="s">
        <v>205</v>
      </c>
    </row>
    <row r="22" spans="2:32" ht="18" customHeight="1" x14ac:dyDescent="0.2">
      <c r="B22" s="1980" t="s">
        <v>657</v>
      </c>
      <c r="C22" s="3850">
        <v>56.73504502368182</v>
      </c>
      <c r="D22" s="3849">
        <f>'Table2(I)'!F47</f>
        <v>56.735045023681835</v>
      </c>
      <c r="E22" s="3849">
        <f t="shared" ref="E22:E25" si="0">IF(D22="NO",IF(C22="NO","NA",-C22),IF(C22="NO",D22,D22-C22))</f>
        <v>1.4210854715202004E-14</v>
      </c>
      <c r="F22" s="4018">
        <f t="shared" ref="F22:F25" si="1">IF(E22="NA","NA",E22/C22*100)</f>
        <v>2.5047754362881423E-14</v>
      </c>
      <c r="G22" s="3873">
        <f t="shared" ref="G22:G25" si="2">IF(E22="NA","NA",E22/$G$35*100)</f>
        <v>2.6031259138155071E-18</v>
      </c>
      <c r="H22" s="3874">
        <f t="shared" ref="H22:H25" si="3">IF(E22="NA","NA",E22/$G$34*100)</f>
        <v>2.2696705492502801E-18</v>
      </c>
      <c r="I22" s="4019" t="s">
        <v>199</v>
      </c>
      <c r="J22" s="3841" t="s">
        <v>199</v>
      </c>
      <c r="K22" s="3841" t="s">
        <v>205</v>
      </c>
      <c r="L22" s="4027" t="s">
        <v>205</v>
      </c>
      <c r="M22" s="4028" t="s">
        <v>205</v>
      </c>
      <c r="N22" s="3847" t="s">
        <v>205</v>
      </c>
      <c r="O22" s="3850" t="s">
        <v>199</v>
      </c>
      <c r="P22" s="3849" t="s">
        <v>199</v>
      </c>
      <c r="Q22" s="3849" t="s">
        <v>205</v>
      </c>
      <c r="R22" s="4029" t="s">
        <v>205</v>
      </c>
      <c r="S22" s="4030" t="s">
        <v>205</v>
      </c>
      <c r="T22" s="3874" t="s">
        <v>205</v>
      </c>
      <c r="U22" s="3850" t="s">
        <v>199</v>
      </c>
      <c r="V22" s="3849" t="s">
        <v>199</v>
      </c>
      <c r="W22" s="3849" t="s">
        <v>205</v>
      </c>
      <c r="X22" s="4029" t="s">
        <v>205</v>
      </c>
      <c r="Y22" s="4030" t="s">
        <v>205</v>
      </c>
      <c r="Z22" s="3874" t="s">
        <v>205</v>
      </c>
      <c r="AA22" s="3849" t="s">
        <v>199</v>
      </c>
      <c r="AB22" s="3849" t="s">
        <v>199</v>
      </c>
      <c r="AC22" s="3849" t="s">
        <v>205</v>
      </c>
      <c r="AD22" s="4029" t="s">
        <v>205</v>
      </c>
      <c r="AE22" s="4030" t="s">
        <v>205</v>
      </c>
      <c r="AF22" s="3874" t="s">
        <v>205</v>
      </c>
    </row>
    <row r="23" spans="2:32" ht="18" customHeight="1" x14ac:dyDescent="0.2">
      <c r="B23" s="1980" t="s">
        <v>658</v>
      </c>
      <c r="C23" s="3850">
        <v>29.579953809806788</v>
      </c>
      <c r="D23" s="3849">
        <f>'Table2(I)'!F48</f>
        <v>29.579953809806781</v>
      </c>
      <c r="E23" s="3849">
        <f t="shared" si="0"/>
        <v>-7.1054273576010019E-15</v>
      </c>
      <c r="F23" s="4018">
        <f t="shared" si="1"/>
        <v>-2.4021090104763124E-14</v>
      </c>
      <c r="G23" s="3873">
        <f t="shared" si="2"/>
        <v>-1.3015629569077536E-18</v>
      </c>
      <c r="H23" s="3874">
        <f t="shared" si="3"/>
        <v>-1.13483527462514E-18</v>
      </c>
      <c r="I23" s="4019" t="s">
        <v>199</v>
      </c>
      <c r="J23" s="3841" t="s">
        <v>199</v>
      </c>
      <c r="K23" s="3841" t="s">
        <v>205</v>
      </c>
      <c r="L23" s="4027" t="s">
        <v>205</v>
      </c>
      <c r="M23" s="4028" t="s">
        <v>205</v>
      </c>
      <c r="N23" s="3847" t="s">
        <v>205</v>
      </c>
      <c r="O23" s="3850" t="s">
        <v>199</v>
      </c>
      <c r="P23" s="3849" t="s">
        <v>199</v>
      </c>
      <c r="Q23" s="3849" t="s">
        <v>205</v>
      </c>
      <c r="R23" s="4029" t="s">
        <v>205</v>
      </c>
      <c r="S23" s="4030" t="s">
        <v>205</v>
      </c>
      <c r="T23" s="3874" t="s">
        <v>205</v>
      </c>
      <c r="U23" s="3850" t="s">
        <v>199</v>
      </c>
      <c r="V23" s="3849" t="s">
        <v>199</v>
      </c>
      <c r="W23" s="3849" t="s">
        <v>205</v>
      </c>
      <c r="X23" s="4029" t="s">
        <v>205</v>
      </c>
      <c r="Y23" s="4030" t="s">
        <v>205</v>
      </c>
      <c r="Z23" s="3874" t="s">
        <v>205</v>
      </c>
      <c r="AA23" s="3849" t="s">
        <v>199</v>
      </c>
      <c r="AB23" s="3849" t="s">
        <v>199</v>
      </c>
      <c r="AC23" s="3849" t="s">
        <v>205</v>
      </c>
      <c r="AD23" s="4029" t="s">
        <v>205</v>
      </c>
      <c r="AE23" s="4030" t="s">
        <v>205</v>
      </c>
      <c r="AF23" s="3874" t="s">
        <v>205</v>
      </c>
    </row>
    <row r="24" spans="2:32" ht="18" customHeight="1" x14ac:dyDescent="0.2">
      <c r="B24" s="1980" t="s">
        <v>659</v>
      </c>
      <c r="C24" s="3850">
        <v>138.57963104965549</v>
      </c>
      <c r="D24" s="3849">
        <f>'Table2(I)'!F49</f>
        <v>138.57963104965546</v>
      </c>
      <c r="E24" s="3849">
        <f t="shared" si="0"/>
        <v>-2.8421709430404007E-14</v>
      </c>
      <c r="F24" s="4018">
        <f t="shared" si="1"/>
        <v>-2.0509297950302677E-14</v>
      </c>
      <c r="G24" s="3873">
        <f t="shared" si="2"/>
        <v>-5.2062518276310142E-18</v>
      </c>
      <c r="H24" s="3874">
        <f t="shared" si="3"/>
        <v>-4.5393410985005601E-18</v>
      </c>
      <c r="I24" s="4019" t="s">
        <v>199</v>
      </c>
      <c r="J24" s="3841" t="s">
        <v>199</v>
      </c>
      <c r="K24" s="3841" t="s">
        <v>205</v>
      </c>
      <c r="L24" s="4027" t="s">
        <v>205</v>
      </c>
      <c r="M24" s="4028" t="s">
        <v>205</v>
      </c>
      <c r="N24" s="3847" t="s">
        <v>205</v>
      </c>
      <c r="O24" s="3850" t="s">
        <v>199</v>
      </c>
      <c r="P24" s="3849" t="s">
        <v>199</v>
      </c>
      <c r="Q24" s="3849" t="s">
        <v>205</v>
      </c>
      <c r="R24" s="4029" t="s">
        <v>205</v>
      </c>
      <c r="S24" s="4030" t="s">
        <v>205</v>
      </c>
      <c r="T24" s="3874" t="s">
        <v>205</v>
      </c>
      <c r="U24" s="3850" t="s">
        <v>199</v>
      </c>
      <c r="V24" s="3849" t="s">
        <v>199</v>
      </c>
      <c r="W24" s="3849" t="s">
        <v>205</v>
      </c>
      <c r="X24" s="4029" t="s">
        <v>205</v>
      </c>
      <c r="Y24" s="4030" t="s">
        <v>205</v>
      </c>
      <c r="Z24" s="3874" t="s">
        <v>205</v>
      </c>
      <c r="AA24" s="3849" t="s">
        <v>199</v>
      </c>
      <c r="AB24" s="3849" t="s">
        <v>199</v>
      </c>
      <c r="AC24" s="3849" t="s">
        <v>205</v>
      </c>
      <c r="AD24" s="4029" t="s">
        <v>205</v>
      </c>
      <c r="AE24" s="4030" t="s">
        <v>205</v>
      </c>
      <c r="AF24" s="3874" t="s">
        <v>205</v>
      </c>
    </row>
    <row r="25" spans="2:32" ht="18" customHeight="1" x14ac:dyDescent="0.2">
      <c r="B25" s="1980" t="s">
        <v>660</v>
      </c>
      <c r="C25" s="3850">
        <v>74.69989690285945</v>
      </c>
      <c r="D25" s="3849">
        <f>'Table2(I)'!F50</f>
        <v>74.69989690285945</v>
      </c>
      <c r="E25" s="3849">
        <f t="shared" si="0"/>
        <v>0</v>
      </c>
      <c r="F25" s="4018">
        <f t="shared" si="1"/>
        <v>0</v>
      </c>
      <c r="G25" s="3873">
        <f t="shared" si="2"/>
        <v>0</v>
      </c>
      <c r="H25" s="3874">
        <f t="shared" si="3"/>
        <v>0</v>
      </c>
      <c r="I25" s="4019" t="s">
        <v>199</v>
      </c>
      <c r="J25" s="3841" t="s">
        <v>199</v>
      </c>
      <c r="K25" s="3841" t="s">
        <v>205</v>
      </c>
      <c r="L25" s="4027" t="s">
        <v>205</v>
      </c>
      <c r="M25" s="4028" t="s">
        <v>205</v>
      </c>
      <c r="N25" s="3847" t="s">
        <v>205</v>
      </c>
      <c r="O25" s="3850" t="s">
        <v>199</v>
      </c>
      <c r="P25" s="3849" t="s">
        <v>199</v>
      </c>
      <c r="Q25" s="3849" t="s">
        <v>205</v>
      </c>
      <c r="R25" s="4029" t="s">
        <v>205</v>
      </c>
      <c r="S25" s="4030" t="s">
        <v>205</v>
      </c>
      <c r="T25" s="3874" t="s">
        <v>205</v>
      </c>
      <c r="U25" s="3850" t="s">
        <v>199</v>
      </c>
      <c r="V25" s="3849" t="s">
        <v>199</v>
      </c>
      <c r="W25" s="3849" t="s">
        <v>205</v>
      </c>
      <c r="X25" s="4029" t="s">
        <v>205</v>
      </c>
      <c r="Y25" s="4030" t="s">
        <v>205</v>
      </c>
      <c r="Z25" s="3874" t="s">
        <v>205</v>
      </c>
      <c r="AA25" s="3849" t="s">
        <v>199</v>
      </c>
      <c r="AB25" s="3849" t="s">
        <v>199</v>
      </c>
      <c r="AC25" s="3849" t="s">
        <v>205</v>
      </c>
      <c r="AD25" s="4029" t="s">
        <v>205</v>
      </c>
      <c r="AE25" s="4030" t="s">
        <v>205</v>
      </c>
      <c r="AF25" s="3874" t="s">
        <v>205</v>
      </c>
    </row>
    <row r="26" spans="2:32" ht="18" customHeight="1" x14ac:dyDescent="0.2">
      <c r="B26" s="1980" t="s">
        <v>661</v>
      </c>
      <c r="C26" s="3850" t="s">
        <v>199</v>
      </c>
      <c r="D26" s="3849" t="s">
        <v>199</v>
      </c>
      <c r="E26" s="3849" t="s">
        <v>205</v>
      </c>
      <c r="F26" s="3849" t="s">
        <v>205</v>
      </c>
      <c r="G26" s="3873" t="s">
        <v>205</v>
      </c>
      <c r="H26" s="3874" t="s">
        <v>205</v>
      </c>
      <c r="I26" s="4019" t="s">
        <v>199</v>
      </c>
      <c r="J26" s="3841" t="s">
        <v>199</v>
      </c>
      <c r="K26" s="3841" t="s">
        <v>205</v>
      </c>
      <c r="L26" s="4027" t="s">
        <v>205</v>
      </c>
      <c r="M26" s="4028" t="s">
        <v>205</v>
      </c>
      <c r="N26" s="3847" t="s">
        <v>205</v>
      </c>
      <c r="O26" s="3850" t="s">
        <v>199</v>
      </c>
      <c r="P26" s="3849" t="s">
        <v>199</v>
      </c>
      <c r="Q26" s="3849" t="s">
        <v>205</v>
      </c>
      <c r="R26" s="4029" t="s">
        <v>205</v>
      </c>
      <c r="S26" s="4030" t="s">
        <v>205</v>
      </c>
      <c r="T26" s="3874" t="s">
        <v>205</v>
      </c>
      <c r="U26" s="3850" t="s">
        <v>199</v>
      </c>
      <c r="V26" s="3849" t="s">
        <v>199</v>
      </c>
      <c r="W26" s="3849" t="s">
        <v>205</v>
      </c>
      <c r="X26" s="4029" t="s">
        <v>205</v>
      </c>
      <c r="Y26" s="4030" t="s">
        <v>205</v>
      </c>
      <c r="Z26" s="3874" t="s">
        <v>205</v>
      </c>
      <c r="AA26" s="3849" t="s">
        <v>199</v>
      </c>
      <c r="AB26" s="3849" t="s">
        <v>199</v>
      </c>
      <c r="AC26" s="3849" t="s">
        <v>205</v>
      </c>
      <c r="AD26" s="4029" t="s">
        <v>205</v>
      </c>
      <c r="AE26" s="4030" t="s">
        <v>205</v>
      </c>
      <c r="AF26" s="3874" t="s">
        <v>205</v>
      </c>
    </row>
    <row r="27" spans="2:32" ht="18" customHeight="1" x14ac:dyDescent="0.2">
      <c r="B27" s="1980" t="s">
        <v>663</v>
      </c>
      <c r="C27" s="3856" t="s">
        <v>199</v>
      </c>
      <c r="D27" s="3851" t="s">
        <v>199</v>
      </c>
      <c r="E27" s="3851" t="s">
        <v>205</v>
      </c>
      <c r="F27" s="3851" t="s">
        <v>205</v>
      </c>
      <c r="G27" s="4031" t="s">
        <v>205</v>
      </c>
      <c r="H27" s="4032" t="s">
        <v>205</v>
      </c>
      <c r="I27" s="4019" t="s">
        <v>199</v>
      </c>
      <c r="J27" s="3841" t="s">
        <v>199</v>
      </c>
      <c r="K27" s="3841" t="s">
        <v>205</v>
      </c>
      <c r="L27" s="4027" t="s">
        <v>205</v>
      </c>
      <c r="M27" s="4028" t="s">
        <v>205</v>
      </c>
      <c r="N27" s="3847" t="s">
        <v>205</v>
      </c>
      <c r="O27" s="3850" t="s">
        <v>199</v>
      </c>
      <c r="P27" s="3849" t="s">
        <v>199</v>
      </c>
      <c r="Q27" s="3849" t="s">
        <v>205</v>
      </c>
      <c r="R27" s="4029" t="s">
        <v>205</v>
      </c>
      <c r="S27" s="4030" t="s">
        <v>205</v>
      </c>
      <c r="T27" s="3874" t="s">
        <v>205</v>
      </c>
      <c r="U27" s="3850">
        <v>163.50792958063354</v>
      </c>
      <c r="V27" s="3849">
        <f>IFERROR('Table2(I)'!I53*23500,'Table2(I)'!I53)</f>
        <v>163.50792958063357</v>
      </c>
      <c r="W27" s="3849">
        <f>IF(V27="NO",IF(U27="NO","NA",-U27),IF(U27="NO",V27,V27-U27))</f>
        <v>2.8421709430404007E-14</v>
      </c>
      <c r="X27" s="4018">
        <f>IF(W27="NA","NA",W27/U27*100)</f>
        <v>1.7382465488554734E-14</v>
      </c>
      <c r="Y27" s="3873">
        <f>IF(W27="NA","NA",W27/$G$35*100)</f>
        <v>5.2062518276310142E-18</v>
      </c>
      <c r="Z27" s="3874">
        <f>IF(W27="NA","NA",W27/$G$34*100)</f>
        <v>4.5393410985005601E-18</v>
      </c>
      <c r="AA27" s="3849" t="s">
        <v>199</v>
      </c>
      <c r="AB27" s="3849" t="s">
        <v>199</v>
      </c>
      <c r="AC27" s="3849" t="s">
        <v>205</v>
      </c>
      <c r="AD27" s="4029" t="s">
        <v>205</v>
      </c>
      <c r="AE27" s="4030" t="s">
        <v>205</v>
      </c>
      <c r="AF27" s="3874" t="s">
        <v>205</v>
      </c>
    </row>
    <row r="28" spans="2:32" ht="18" customHeight="1" x14ac:dyDescent="0.2">
      <c r="B28" s="1980" t="s">
        <v>664</v>
      </c>
      <c r="C28" s="4035"/>
      <c r="D28" s="4036"/>
      <c r="E28" s="4036"/>
      <c r="F28" s="4036"/>
      <c r="G28" s="4036"/>
      <c r="H28" s="4037"/>
      <c r="I28" s="4019" t="s">
        <v>199</v>
      </c>
      <c r="J28" s="3841" t="s">
        <v>199</v>
      </c>
      <c r="K28" s="3841" t="s">
        <v>205</v>
      </c>
      <c r="L28" s="4027" t="s">
        <v>205</v>
      </c>
      <c r="M28" s="4028" t="s">
        <v>205</v>
      </c>
      <c r="N28" s="3847" t="s">
        <v>205</v>
      </c>
      <c r="O28" s="3903"/>
      <c r="P28" s="3904"/>
      <c r="Q28" s="3904"/>
      <c r="R28" s="4038"/>
      <c r="S28" s="4036"/>
      <c r="T28" s="4040"/>
      <c r="U28" s="3850">
        <v>16.99644526100829</v>
      </c>
      <c r="V28" s="3849">
        <f>IFERROR('Table2(I)'!I54*23500,'Table2(I)'!I54)</f>
        <v>16.996445261008269</v>
      </c>
      <c r="W28" s="3849">
        <f>IF(V28="NO",IF(U28="NO","NA",-U28),IF(U28="NO",V28,V28-U28))</f>
        <v>-2.1316282072803006E-14</v>
      </c>
      <c r="X28" s="4018">
        <f>IF(W28="NA","NA",W28/U28*100)</f>
        <v>-1.2541611934411305E-13</v>
      </c>
      <c r="Y28" s="3873">
        <f>IF(W28="NA","NA",W28/$G$35*100)</f>
        <v>-3.904688870723261E-18</v>
      </c>
      <c r="Z28" s="3874">
        <f>IF(W28="NA","NA",W28/$G$34*100)</f>
        <v>-3.4045058238754207E-18</v>
      </c>
      <c r="AA28" s="3904"/>
      <c r="AB28" s="3904"/>
      <c r="AC28" s="3904"/>
      <c r="AD28" s="4038"/>
      <c r="AE28" s="4036"/>
      <c r="AF28" s="4039"/>
    </row>
    <row r="29" spans="2:32" ht="18" customHeight="1" x14ac:dyDescent="0.2">
      <c r="B29" s="1980" t="s">
        <v>666</v>
      </c>
      <c r="C29" s="3850" t="s">
        <v>199</v>
      </c>
      <c r="D29" s="3849" t="s">
        <v>199</v>
      </c>
      <c r="E29" s="3849" t="s">
        <v>205</v>
      </c>
      <c r="F29" s="3849" t="s">
        <v>205</v>
      </c>
      <c r="G29" s="3873" t="s">
        <v>205</v>
      </c>
      <c r="H29" s="3874" t="s">
        <v>205</v>
      </c>
      <c r="I29" s="4019" t="s">
        <v>199</v>
      </c>
      <c r="J29" s="3841" t="s">
        <v>199</v>
      </c>
      <c r="K29" s="3841" t="s">
        <v>205</v>
      </c>
      <c r="L29" s="4027" t="s">
        <v>205</v>
      </c>
      <c r="M29" s="4028" t="s">
        <v>205</v>
      </c>
      <c r="N29" s="3847" t="s">
        <v>205</v>
      </c>
      <c r="O29" s="3850" t="s">
        <v>199</v>
      </c>
      <c r="P29" s="3849" t="s">
        <v>199</v>
      </c>
      <c r="Q29" s="3849" t="s">
        <v>205</v>
      </c>
      <c r="R29" s="4033" t="s">
        <v>205</v>
      </c>
      <c r="S29" s="4034" t="s">
        <v>205</v>
      </c>
      <c r="T29" s="3874" t="s">
        <v>205</v>
      </c>
      <c r="U29" s="3850" t="s">
        <v>199</v>
      </c>
      <c r="V29" s="3849" t="s">
        <v>199</v>
      </c>
      <c r="W29" s="3849" t="s">
        <v>205</v>
      </c>
      <c r="X29" s="4033" t="s">
        <v>205</v>
      </c>
      <c r="Y29" s="4034" t="s">
        <v>205</v>
      </c>
      <c r="Z29" s="3874" t="s">
        <v>205</v>
      </c>
      <c r="AA29" s="3849" t="s">
        <v>199</v>
      </c>
      <c r="AB29" s="3849" t="s">
        <v>199</v>
      </c>
      <c r="AC29" s="3849" t="s">
        <v>205</v>
      </c>
      <c r="AD29" s="4029" t="s">
        <v>205</v>
      </c>
      <c r="AE29" s="4030" t="s">
        <v>205</v>
      </c>
      <c r="AF29" s="3874" t="s">
        <v>205</v>
      </c>
    </row>
    <row r="30" spans="2:32" ht="18" customHeight="1" thickBot="1" x14ac:dyDescent="0.25">
      <c r="B30" s="1982" t="s">
        <v>2202</v>
      </c>
      <c r="C30" s="3875" t="s">
        <v>199</v>
      </c>
      <c r="D30" s="3857" t="s">
        <v>199</v>
      </c>
      <c r="E30" s="3857" t="s">
        <v>205</v>
      </c>
      <c r="F30" s="3857" t="s">
        <v>205</v>
      </c>
      <c r="G30" s="3952" t="s">
        <v>205</v>
      </c>
      <c r="H30" s="3860" t="s">
        <v>205</v>
      </c>
      <c r="I30" s="4041" t="s">
        <v>199</v>
      </c>
      <c r="J30" s="3938" t="s">
        <v>199</v>
      </c>
      <c r="K30" s="3938" t="s">
        <v>205</v>
      </c>
      <c r="L30" s="4042" t="s">
        <v>205</v>
      </c>
      <c r="M30" s="4043" t="s">
        <v>205</v>
      </c>
      <c r="N30" s="4044" t="s">
        <v>205</v>
      </c>
      <c r="O30" s="3875" t="s">
        <v>199</v>
      </c>
      <c r="P30" s="3857" t="s">
        <v>199</v>
      </c>
      <c r="Q30" s="3857" t="s">
        <v>205</v>
      </c>
      <c r="R30" s="4045" t="s">
        <v>205</v>
      </c>
      <c r="S30" s="4046" t="s">
        <v>205</v>
      </c>
      <c r="T30" s="3860" t="s">
        <v>205</v>
      </c>
      <c r="U30" s="3875" t="s">
        <v>199</v>
      </c>
      <c r="V30" s="3857" t="s">
        <v>199</v>
      </c>
      <c r="W30" s="3857" t="s">
        <v>205</v>
      </c>
      <c r="X30" s="4045" t="s">
        <v>205</v>
      </c>
      <c r="Y30" s="4046" t="s">
        <v>205</v>
      </c>
      <c r="Z30" s="3860" t="s">
        <v>205</v>
      </c>
      <c r="AA30" s="3857" t="s">
        <v>199</v>
      </c>
      <c r="AB30" s="3857" t="s">
        <v>199</v>
      </c>
      <c r="AC30" s="3857" t="s">
        <v>205</v>
      </c>
      <c r="AD30" s="4045" t="s">
        <v>205</v>
      </c>
      <c r="AE30" s="4046" t="s">
        <v>205</v>
      </c>
      <c r="AF30" s="3860"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1"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90" t="s">
        <v>2205</v>
      </c>
      <c r="C34" s="742"/>
      <c r="D34" s="971"/>
      <c r="E34" s="4548">
        <f>SUM(Table8s1!C10,Table8s1!I10,Table8s1!O10,C10,I10,O10,U10,AA10)</f>
        <v>641523.0780934348</v>
      </c>
      <c r="F34" s="4549"/>
      <c r="G34" s="4548">
        <f>SUM(Table8s1!D10,Table8s1!J10,Table8s1!P10,D10,J10,P10,V10,AB10)</f>
        <v>626119.71239156916</v>
      </c>
      <c r="H34" s="4549"/>
      <c r="I34" s="3841">
        <f>G34-E34</f>
        <v>-15403.365701865638</v>
      </c>
      <c r="J34" s="4047">
        <f>IF(I34="NA","NA",I34/E34*100)</f>
        <v>-2.4010618211340811</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1" t="s">
        <v>2206</v>
      </c>
      <c r="C35" s="743"/>
      <c r="D35" s="744"/>
      <c r="E35" s="4550">
        <f>E34-SUM(Table8s1!C41,Table8s1!I41,Table8s1!O41)</f>
        <v>546739.51591188135</v>
      </c>
      <c r="F35" s="4551"/>
      <c r="G35" s="4552">
        <f>G34-SUM(Table8s1!D41,Table8s1!J41,Table8s1!P41)</f>
        <v>545914.99549757002</v>
      </c>
      <c r="H35" s="4553"/>
      <c r="I35" s="3857">
        <f>G35-E35</f>
        <v>-824.52041431132238</v>
      </c>
      <c r="J35" s="4048">
        <f>IF(I35="NA","NA",I35/E35*100)</f>
        <v>-0.15080680841883967</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zoomScale="90" zoomScaleNormal="90" workbookViewId="0">
      <selection activeCell="E18" sqref="E18:F18"/>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2460</v>
      </c>
    </row>
    <row r="2" spans="2:7" ht="15.75" x14ac:dyDescent="0.2">
      <c r="B2" s="3" t="s">
        <v>162</v>
      </c>
      <c r="F2" s="14" t="s">
        <v>2461</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5" t="s">
        <v>62</v>
      </c>
    </row>
    <row r="8" spans="2:7" ht="18" customHeight="1" x14ac:dyDescent="0.2">
      <c r="B8" s="2448" t="s">
        <v>2209</v>
      </c>
      <c r="C8" s="671"/>
      <c r="D8" s="2447"/>
      <c r="E8" s="671"/>
      <c r="F8" s="755"/>
      <c r="G8" s="19"/>
    </row>
    <row r="9" spans="2:7" ht="18" customHeight="1" thickBot="1" x14ac:dyDescent="0.25">
      <c r="B9" s="756" t="s">
        <v>99</v>
      </c>
      <c r="C9" s="652" t="s">
        <v>2210</v>
      </c>
      <c r="D9" s="652" t="s">
        <v>2211</v>
      </c>
      <c r="E9" s="4560" t="s">
        <v>2212</v>
      </c>
      <c r="F9" s="4561"/>
      <c r="G9" s="19"/>
    </row>
    <row r="10" spans="2:7" ht="14.25" thickTop="1" x14ac:dyDescent="0.2">
      <c r="B10" s="980" t="s">
        <v>2213</v>
      </c>
      <c r="C10" s="4123" t="s">
        <v>2214</v>
      </c>
      <c r="D10" s="4123" t="s">
        <v>2215</v>
      </c>
      <c r="E10" s="4562" t="s">
        <v>2216</v>
      </c>
      <c r="F10" s="4563"/>
    </row>
    <row r="11" spans="2:7" x14ac:dyDescent="0.2">
      <c r="B11" s="4122"/>
      <c r="C11" s="4124" t="s">
        <v>2214</v>
      </c>
      <c r="D11" s="4124" t="s">
        <v>2217</v>
      </c>
      <c r="E11" s="4564" t="s">
        <v>2218</v>
      </c>
      <c r="F11" s="4565"/>
    </row>
    <row r="12" spans="2:7" x14ac:dyDescent="0.2">
      <c r="B12" s="4122"/>
      <c r="C12" s="4124" t="s">
        <v>2214</v>
      </c>
      <c r="D12" s="4124" t="s">
        <v>2219</v>
      </c>
      <c r="E12" s="4556" t="s">
        <v>2218</v>
      </c>
      <c r="F12" s="4557"/>
    </row>
    <row r="13" spans="2:7" ht="55.5" customHeight="1" x14ac:dyDescent="0.2">
      <c r="B13" s="4122"/>
      <c r="C13" s="4124" t="s">
        <v>111</v>
      </c>
      <c r="D13" s="4124" t="s">
        <v>2220</v>
      </c>
      <c r="E13" s="4554" t="s">
        <v>2221</v>
      </c>
      <c r="F13" s="4568"/>
    </row>
    <row r="14" spans="2:7" ht="12.75" customHeight="1" x14ac:dyDescent="0.2">
      <c r="B14" s="4122"/>
      <c r="C14" s="4124" t="s">
        <v>111</v>
      </c>
      <c r="D14" s="4124" t="s">
        <v>814</v>
      </c>
      <c r="E14" s="4566" t="s">
        <v>2222</v>
      </c>
      <c r="F14" s="4567"/>
    </row>
    <row r="15" spans="2:7" ht="15.75" customHeight="1" x14ac:dyDescent="0.2">
      <c r="B15" s="4122"/>
      <c r="C15" s="4124" t="s">
        <v>111</v>
      </c>
      <c r="D15" s="4124" t="s">
        <v>2223</v>
      </c>
      <c r="E15" s="4554" t="s">
        <v>2224</v>
      </c>
      <c r="F15" s="4555"/>
    </row>
    <row r="16" spans="2:7" ht="48" customHeight="1" x14ac:dyDescent="0.2">
      <c r="B16" s="4122"/>
      <c r="C16" s="4124" t="s">
        <v>2225</v>
      </c>
      <c r="D16" s="4124" t="s">
        <v>2226</v>
      </c>
      <c r="E16" s="4554" t="s">
        <v>2227</v>
      </c>
      <c r="F16" s="4555"/>
    </row>
    <row r="17" spans="2:7" ht="17.25" customHeight="1" x14ac:dyDescent="0.2">
      <c r="B17" s="4122"/>
      <c r="C17" s="4124" t="s">
        <v>2225</v>
      </c>
      <c r="D17" s="4124" t="s">
        <v>2228</v>
      </c>
      <c r="E17" s="4556" t="s">
        <v>2229</v>
      </c>
      <c r="F17" s="4557"/>
    </row>
    <row r="18" spans="2:7" ht="54" customHeight="1" x14ac:dyDescent="0.2">
      <c r="B18" s="4122"/>
      <c r="C18" s="4124" t="s">
        <v>117</v>
      </c>
      <c r="D18" s="4124" t="s">
        <v>2230</v>
      </c>
      <c r="E18" s="4554" t="s">
        <v>2231</v>
      </c>
      <c r="F18" s="4555"/>
    </row>
    <row r="19" spans="2:7" ht="18.75" customHeight="1" x14ac:dyDescent="0.2">
      <c r="B19" s="4122"/>
      <c r="C19" s="4124" t="s">
        <v>117</v>
      </c>
      <c r="D19" s="4123" t="s">
        <v>2232</v>
      </c>
      <c r="E19" s="4554" t="s">
        <v>2233</v>
      </c>
      <c r="F19" s="4555"/>
    </row>
    <row r="20" spans="2:7" ht="16.5" customHeight="1" x14ac:dyDescent="0.2">
      <c r="B20" s="875"/>
      <c r="C20" s="4123" t="s">
        <v>2234</v>
      </c>
      <c r="D20" s="4123" t="s">
        <v>2235</v>
      </c>
      <c r="E20" s="4556" t="s">
        <v>2459</v>
      </c>
      <c r="F20" s="4557"/>
    </row>
    <row r="21" spans="2:7" ht="13.5" x14ac:dyDescent="0.2">
      <c r="B21" s="874" t="s">
        <v>2236</v>
      </c>
      <c r="C21" s="4124" t="s">
        <v>2214</v>
      </c>
      <c r="D21" s="4123" t="s">
        <v>2237</v>
      </c>
      <c r="E21" s="4556" t="s">
        <v>2218</v>
      </c>
      <c r="F21" s="4557"/>
    </row>
    <row r="22" spans="2:7" x14ac:dyDescent="0.2">
      <c r="B22" s="4122"/>
      <c r="C22" s="4123" t="s">
        <v>2214</v>
      </c>
      <c r="D22" s="4123" t="s">
        <v>2215</v>
      </c>
      <c r="E22" s="4556" t="s">
        <v>2238</v>
      </c>
      <c r="F22" s="4557"/>
    </row>
    <row r="23" spans="2:7" x14ac:dyDescent="0.2">
      <c r="B23" s="4122"/>
      <c r="C23" s="4123" t="s">
        <v>2214</v>
      </c>
      <c r="D23" s="4123" t="s">
        <v>2239</v>
      </c>
      <c r="E23" s="4556" t="s">
        <v>2218</v>
      </c>
      <c r="F23" s="4557"/>
      <c r="G23" s="4194"/>
    </row>
    <row r="24" spans="2:7" x14ac:dyDescent="0.2">
      <c r="B24" s="4122"/>
      <c r="C24" s="4123" t="s">
        <v>2214</v>
      </c>
      <c r="D24" s="4123" t="s">
        <v>2240</v>
      </c>
      <c r="E24" s="4556" t="s">
        <v>2218</v>
      </c>
      <c r="F24" s="4557"/>
    </row>
    <row r="25" spans="2:7" x14ac:dyDescent="0.2">
      <c r="B25" s="4122"/>
      <c r="C25" s="4123" t="s">
        <v>2214</v>
      </c>
      <c r="D25" s="4123" t="s">
        <v>2241</v>
      </c>
      <c r="E25" s="4554" t="s">
        <v>2242</v>
      </c>
      <c r="F25" s="4555"/>
    </row>
    <row r="26" spans="2:7" ht="48" customHeight="1" x14ac:dyDescent="0.2">
      <c r="B26" s="4122"/>
      <c r="C26" s="4124" t="s">
        <v>2225</v>
      </c>
      <c r="D26" s="4124" t="s">
        <v>2226</v>
      </c>
      <c r="E26" s="4554" t="s">
        <v>2227</v>
      </c>
      <c r="F26" s="4555"/>
    </row>
    <row r="27" spans="2:7" x14ac:dyDescent="0.2">
      <c r="B27" s="4122"/>
      <c r="C27" s="4124" t="s">
        <v>2225</v>
      </c>
      <c r="D27" s="4123" t="s">
        <v>2243</v>
      </c>
      <c r="E27" s="4556" t="s">
        <v>2244</v>
      </c>
      <c r="F27" s="4557"/>
    </row>
    <row r="28" spans="2:7" x14ac:dyDescent="0.2">
      <c r="B28" s="4122"/>
      <c r="C28" s="4124" t="s">
        <v>2225</v>
      </c>
      <c r="D28" s="4123" t="s">
        <v>2132</v>
      </c>
      <c r="E28" s="4556" t="s">
        <v>2245</v>
      </c>
      <c r="F28" s="4557"/>
    </row>
    <row r="29" spans="2:7" x14ac:dyDescent="0.2">
      <c r="B29" s="4122"/>
      <c r="C29" s="4124" t="s">
        <v>2225</v>
      </c>
      <c r="D29" s="4123" t="s">
        <v>2246</v>
      </c>
      <c r="E29" s="4556" t="s">
        <v>2247</v>
      </c>
      <c r="F29" s="4557"/>
    </row>
    <row r="30" spans="2:7" ht="48.75" customHeight="1" x14ac:dyDescent="0.2">
      <c r="B30" s="4122"/>
      <c r="C30" s="4124" t="s">
        <v>117</v>
      </c>
      <c r="D30" s="4124" t="s">
        <v>2230</v>
      </c>
      <c r="E30" s="4554" t="s">
        <v>2231</v>
      </c>
      <c r="F30" s="4555"/>
    </row>
    <row r="31" spans="2:7" ht="27" customHeight="1" x14ac:dyDescent="0.2">
      <c r="B31" s="4122"/>
      <c r="C31" s="4124" t="s">
        <v>117</v>
      </c>
      <c r="D31" s="4123" t="s">
        <v>2232</v>
      </c>
      <c r="E31" s="4554" t="s">
        <v>2248</v>
      </c>
      <c r="F31" s="4555"/>
    </row>
    <row r="32" spans="2:7" x14ac:dyDescent="0.2">
      <c r="B32" s="4122"/>
      <c r="C32" s="4123" t="s">
        <v>2234</v>
      </c>
      <c r="D32" s="4123" t="s">
        <v>2249</v>
      </c>
      <c r="E32" s="4556" t="s">
        <v>2250</v>
      </c>
      <c r="F32" s="4557"/>
    </row>
    <row r="33" spans="2:7" x14ac:dyDescent="0.2">
      <c r="B33" s="4122"/>
      <c r="C33" s="4123" t="s">
        <v>2234</v>
      </c>
      <c r="D33" s="4123" t="s">
        <v>2251</v>
      </c>
      <c r="E33" s="4556" t="s">
        <v>2252</v>
      </c>
      <c r="F33" s="4557"/>
    </row>
    <row r="34" spans="2:7" x14ac:dyDescent="0.2">
      <c r="B34" s="4122"/>
      <c r="C34" s="4123" t="s">
        <v>2234</v>
      </c>
      <c r="D34" s="4123" t="s">
        <v>2253</v>
      </c>
      <c r="E34" s="4556" t="s">
        <v>2259</v>
      </c>
      <c r="F34" s="4557"/>
    </row>
    <row r="35" spans="2:7" x14ac:dyDescent="0.2">
      <c r="B35" s="4122"/>
      <c r="C35" s="4123" t="s">
        <v>2234</v>
      </c>
      <c r="D35" s="4123" t="s">
        <v>2235</v>
      </c>
      <c r="E35" s="4556" t="s">
        <v>2260</v>
      </c>
      <c r="F35" s="4557"/>
    </row>
    <row r="36" spans="2:7" ht="13.5" x14ac:dyDescent="0.2">
      <c r="B36" s="874" t="s">
        <v>2254</v>
      </c>
      <c r="C36" s="4124" t="s">
        <v>2214</v>
      </c>
      <c r="D36" s="4123" t="s">
        <v>2237</v>
      </c>
      <c r="E36" s="4556" t="s">
        <v>2218</v>
      </c>
      <c r="F36" s="4557"/>
    </row>
    <row r="37" spans="2:7" x14ac:dyDescent="0.2">
      <c r="B37" s="4122"/>
      <c r="C37" s="4123" t="s">
        <v>2214</v>
      </c>
      <c r="D37" s="4123" t="s">
        <v>2215</v>
      </c>
      <c r="E37" s="4556" t="s">
        <v>2255</v>
      </c>
      <c r="F37" s="4557"/>
    </row>
    <row r="38" spans="2:7" x14ac:dyDescent="0.2">
      <c r="B38" s="4122"/>
      <c r="C38" s="4123" t="s">
        <v>2214</v>
      </c>
      <c r="D38" s="4123" t="s">
        <v>2239</v>
      </c>
      <c r="E38" s="4556" t="s">
        <v>2218</v>
      </c>
      <c r="F38" s="4557"/>
      <c r="G38" s="4194"/>
    </row>
    <row r="39" spans="2:7" ht="15" customHeight="1" x14ac:dyDescent="0.2">
      <c r="B39" s="4122"/>
      <c r="C39" s="4123" t="s">
        <v>2214</v>
      </c>
      <c r="D39" s="4123" t="s">
        <v>2240</v>
      </c>
      <c r="E39" s="4556" t="s">
        <v>2218</v>
      </c>
      <c r="F39" s="4557"/>
    </row>
    <row r="40" spans="2:7" ht="42.75" customHeight="1" x14ac:dyDescent="0.2">
      <c r="B40" s="4122"/>
      <c r="C40" s="4124" t="s">
        <v>2225</v>
      </c>
      <c r="D40" s="4124" t="s">
        <v>2226</v>
      </c>
      <c r="E40" s="4554" t="s">
        <v>2227</v>
      </c>
      <c r="F40" s="4555"/>
    </row>
    <row r="41" spans="2:7" x14ac:dyDescent="0.2">
      <c r="B41" s="4122"/>
      <c r="C41" s="4123" t="s">
        <v>2225</v>
      </c>
      <c r="D41" s="4123" t="s">
        <v>2256</v>
      </c>
      <c r="E41" s="4556" t="s">
        <v>2257</v>
      </c>
      <c r="F41" s="4557"/>
    </row>
    <row r="42" spans="2:7" x14ac:dyDescent="0.2">
      <c r="B42" s="4122"/>
      <c r="C42" s="4124" t="s">
        <v>2225</v>
      </c>
      <c r="D42" s="4123" t="s">
        <v>2246</v>
      </c>
      <c r="E42" s="4556" t="s">
        <v>2247</v>
      </c>
      <c r="F42" s="4557"/>
    </row>
    <row r="43" spans="2:7" ht="44.25" customHeight="1" x14ac:dyDescent="0.2">
      <c r="B43" s="4122"/>
      <c r="C43" s="4124" t="s">
        <v>117</v>
      </c>
      <c r="D43" s="4124" t="s">
        <v>2230</v>
      </c>
      <c r="E43" s="4554" t="s">
        <v>2231</v>
      </c>
      <c r="F43" s="4555"/>
    </row>
    <row r="44" spans="2:7" ht="12.75" customHeight="1" x14ac:dyDescent="0.2">
      <c r="B44" s="4122"/>
      <c r="C44" s="4124" t="s">
        <v>117</v>
      </c>
      <c r="D44" s="4123" t="s">
        <v>2232</v>
      </c>
      <c r="E44" s="4554" t="s">
        <v>2258</v>
      </c>
      <c r="F44" s="4555"/>
    </row>
    <row r="45" spans="2:7" x14ac:dyDescent="0.2">
      <c r="B45" s="4122"/>
      <c r="C45" s="4123" t="s">
        <v>2234</v>
      </c>
      <c r="D45" s="4123" t="s">
        <v>2249</v>
      </c>
      <c r="E45" s="4556" t="s">
        <v>2250</v>
      </c>
      <c r="F45" s="4557"/>
    </row>
    <row r="46" spans="2:7" x14ac:dyDescent="0.2">
      <c r="B46" s="4122"/>
      <c r="C46" s="4123" t="s">
        <v>2234</v>
      </c>
      <c r="D46" s="4123" t="s">
        <v>2251</v>
      </c>
      <c r="E46" s="4556" t="s">
        <v>2252</v>
      </c>
      <c r="F46" s="4557"/>
    </row>
    <row r="47" spans="2:7" x14ac:dyDescent="0.2">
      <c r="B47" s="4122"/>
      <c r="C47" s="4123" t="s">
        <v>2234</v>
      </c>
      <c r="D47" s="4123" t="s">
        <v>2253</v>
      </c>
      <c r="E47" s="4556" t="s">
        <v>2259</v>
      </c>
      <c r="F47" s="4557"/>
    </row>
    <row r="48" spans="2:7" x14ac:dyDescent="0.2">
      <c r="B48" s="875"/>
      <c r="C48" s="4123" t="s">
        <v>2234</v>
      </c>
      <c r="D48" s="4123" t="s">
        <v>2235</v>
      </c>
      <c r="E48" s="4556" t="s">
        <v>2260</v>
      </c>
      <c r="F48" s="4557"/>
    </row>
    <row r="49" spans="2:6" ht="18" customHeight="1" x14ac:dyDescent="0.2">
      <c r="B49" s="874" t="s">
        <v>2004</v>
      </c>
      <c r="C49" s="4123"/>
      <c r="D49" s="4123"/>
      <c r="E49" s="4556"/>
      <c r="F49" s="4557"/>
    </row>
    <row r="50" spans="2:6" ht="18" customHeight="1" x14ac:dyDescent="0.2">
      <c r="B50" s="875"/>
      <c r="C50" s="4123"/>
      <c r="D50" s="4123"/>
      <c r="E50" s="4556"/>
      <c r="F50" s="4557"/>
    </row>
    <row r="51" spans="2:6" ht="18" customHeight="1" x14ac:dyDescent="0.2">
      <c r="B51" s="874" t="s">
        <v>1971</v>
      </c>
      <c r="C51" s="4123"/>
      <c r="D51" s="4123"/>
      <c r="E51" s="4556"/>
      <c r="F51" s="4557"/>
    </row>
    <row r="52" spans="2:6" ht="18" customHeight="1" x14ac:dyDescent="0.2">
      <c r="B52" s="875"/>
      <c r="C52" s="4123"/>
      <c r="D52" s="4123"/>
      <c r="E52" s="4556"/>
      <c r="F52" s="4557"/>
    </row>
    <row r="53" spans="2:6" ht="18" customHeight="1" x14ac:dyDescent="0.2">
      <c r="B53" s="2578" t="s">
        <v>2261</v>
      </c>
      <c r="C53" s="4123"/>
      <c r="D53" s="4123"/>
      <c r="E53" s="4556"/>
      <c r="F53" s="4557"/>
    </row>
    <row r="54" spans="2:6" ht="18" customHeight="1" x14ac:dyDescent="0.2">
      <c r="B54" s="2579" t="s">
        <v>2262</v>
      </c>
      <c r="C54" s="4123"/>
      <c r="D54" s="4123"/>
      <c r="E54" s="4556"/>
      <c r="F54" s="4557"/>
    </row>
    <row r="55" spans="2:6" ht="18" customHeight="1" x14ac:dyDescent="0.2">
      <c r="B55" s="2578" t="s">
        <v>905</v>
      </c>
      <c r="C55" s="4123"/>
      <c r="D55" s="4123"/>
      <c r="E55" s="4556"/>
      <c r="F55" s="4557"/>
    </row>
    <row r="56" spans="2:6" ht="18" customHeight="1" x14ac:dyDescent="0.2">
      <c r="B56" s="2579"/>
      <c r="C56" s="4123"/>
      <c r="D56" s="4123"/>
      <c r="E56" s="4556"/>
      <c r="F56" s="4557"/>
    </row>
    <row r="57" spans="2:6" ht="18" customHeight="1" x14ac:dyDescent="0.2">
      <c r="B57" s="2580" t="s">
        <v>2263</v>
      </c>
      <c r="C57" s="4123"/>
      <c r="D57" s="4123"/>
      <c r="E57" s="4556"/>
      <c r="F57" s="4557"/>
    </row>
    <row r="58" spans="2:6" ht="18" customHeight="1" thickBot="1" x14ac:dyDescent="0.25">
      <c r="B58" s="2581"/>
      <c r="C58" s="4125"/>
      <c r="D58" s="4125"/>
      <c r="E58" s="4558"/>
      <c r="F58" s="4559"/>
    </row>
    <row r="59" spans="2:6" ht="18" customHeight="1" thickBot="1" x14ac:dyDescent="0.25">
      <c r="B59" s="2582"/>
      <c r="C59" s="2548"/>
      <c r="D59" s="2548"/>
      <c r="E59" s="2548"/>
      <c r="F59" s="2549"/>
    </row>
    <row r="60" spans="2:6" ht="18" customHeight="1" x14ac:dyDescent="0.2">
      <c r="B60" s="2583" t="s">
        <v>2264</v>
      </c>
      <c r="C60" s="2546"/>
      <c r="D60" s="2546"/>
      <c r="E60" s="2546"/>
      <c r="F60" s="2547"/>
    </row>
    <row r="61" spans="2:6" ht="18" customHeight="1" thickBot="1" x14ac:dyDescent="0.25">
      <c r="B61" s="2584" t="s">
        <v>99</v>
      </c>
      <c r="C61" s="652" t="s">
        <v>2265</v>
      </c>
      <c r="D61" s="652" t="s">
        <v>2266</v>
      </c>
      <c r="E61" s="652" t="s">
        <v>2267</v>
      </c>
      <c r="F61" s="757" t="s">
        <v>2212</v>
      </c>
    </row>
    <row r="62" spans="2:6" ht="26.25" thickTop="1" x14ac:dyDescent="0.2">
      <c r="B62" s="2585" t="s">
        <v>2052</v>
      </c>
      <c r="C62" s="4123" t="s">
        <v>2214</v>
      </c>
      <c r="D62" s="4124" t="s">
        <v>2268</v>
      </c>
      <c r="E62" s="4124" t="s">
        <v>2269</v>
      </c>
      <c r="F62" s="4132" t="s">
        <v>2270</v>
      </c>
    </row>
    <row r="63" spans="2:6" ht="25.5" x14ac:dyDescent="0.2">
      <c r="B63" s="4130"/>
      <c r="C63" s="4123" t="s">
        <v>2214</v>
      </c>
      <c r="D63" s="4124" t="s">
        <v>2271</v>
      </c>
      <c r="E63" s="4124" t="s">
        <v>2269</v>
      </c>
      <c r="F63" s="4132" t="s">
        <v>2272</v>
      </c>
    </row>
    <row r="64" spans="2:6" ht="25.5" x14ac:dyDescent="0.2">
      <c r="B64" s="4130"/>
      <c r="C64" s="4123" t="s">
        <v>2214</v>
      </c>
      <c r="D64" s="4124" t="s">
        <v>2273</v>
      </c>
      <c r="E64" s="4124" t="s">
        <v>2274</v>
      </c>
      <c r="F64" s="4132" t="s">
        <v>2275</v>
      </c>
    </row>
    <row r="65" spans="2:6" ht="25.5" x14ac:dyDescent="0.2">
      <c r="B65" s="4130"/>
      <c r="C65" s="4123" t="s">
        <v>2214</v>
      </c>
      <c r="D65" s="4123" t="s">
        <v>2276</v>
      </c>
      <c r="E65" s="4123" t="s">
        <v>2277</v>
      </c>
      <c r="F65" s="4132" t="s">
        <v>2278</v>
      </c>
    </row>
    <row r="66" spans="2:6" ht="25.5" x14ac:dyDescent="0.2">
      <c r="B66" s="4130"/>
      <c r="C66" s="4123" t="s">
        <v>2214</v>
      </c>
      <c r="D66" s="4123" t="s">
        <v>2279</v>
      </c>
      <c r="E66" s="4123" t="s">
        <v>2280</v>
      </c>
      <c r="F66" s="4132" t="s">
        <v>2281</v>
      </c>
    </row>
    <row r="67" spans="2:6" x14ac:dyDescent="0.2">
      <c r="B67" s="4130"/>
      <c r="C67" s="4123" t="s">
        <v>2214</v>
      </c>
      <c r="D67" s="4123" t="s">
        <v>2282</v>
      </c>
      <c r="E67" s="4123" t="s">
        <v>2280</v>
      </c>
      <c r="F67" s="4132" t="s">
        <v>2283</v>
      </c>
    </row>
    <row r="68" spans="2:6" ht="25.5" x14ac:dyDescent="0.2">
      <c r="B68" s="4130"/>
      <c r="C68" s="4123" t="s">
        <v>2214</v>
      </c>
      <c r="D68" s="4123" t="s">
        <v>2284</v>
      </c>
      <c r="E68" s="4123" t="s">
        <v>2285</v>
      </c>
      <c r="F68" s="4132" t="s">
        <v>2286</v>
      </c>
    </row>
    <row r="69" spans="2:6" ht="25.5" x14ac:dyDescent="0.2">
      <c r="B69" s="4130"/>
      <c r="C69" s="4123" t="s">
        <v>111</v>
      </c>
      <c r="D69" s="4123" t="s">
        <v>2287</v>
      </c>
      <c r="E69" s="4124" t="s">
        <v>2288</v>
      </c>
      <c r="F69" s="4132" t="s">
        <v>2289</v>
      </c>
    </row>
    <row r="70" spans="2:6" ht="25.5" x14ac:dyDescent="0.2">
      <c r="B70" s="4130"/>
      <c r="C70" s="4123" t="s">
        <v>111</v>
      </c>
      <c r="D70" s="4123" t="s">
        <v>2290</v>
      </c>
      <c r="E70" s="4124" t="s">
        <v>2291</v>
      </c>
      <c r="F70" s="4132" t="s">
        <v>2292</v>
      </c>
    </row>
    <row r="71" spans="2:6" ht="25.5" x14ac:dyDescent="0.2">
      <c r="B71" s="4130"/>
      <c r="C71" s="4123" t="s">
        <v>111</v>
      </c>
      <c r="D71" s="4123" t="s">
        <v>2106</v>
      </c>
      <c r="E71" s="4124" t="s">
        <v>2291</v>
      </c>
      <c r="F71" s="4132" t="s">
        <v>2293</v>
      </c>
    </row>
    <row r="72" spans="2:6" ht="25.5" x14ac:dyDescent="0.2">
      <c r="B72" s="4130"/>
      <c r="C72" s="4123" t="s">
        <v>111</v>
      </c>
      <c r="D72" s="4123" t="s">
        <v>2294</v>
      </c>
      <c r="E72" s="4124" t="s">
        <v>2295</v>
      </c>
      <c r="F72" s="4132" t="s">
        <v>2296</v>
      </c>
    </row>
    <row r="73" spans="2:6" ht="12.75" customHeight="1" x14ac:dyDescent="0.2">
      <c r="B73" s="4130"/>
      <c r="C73" s="4123" t="s">
        <v>111</v>
      </c>
      <c r="D73" s="4123" t="s">
        <v>2297</v>
      </c>
      <c r="E73" s="4123" t="s">
        <v>2298</v>
      </c>
      <c r="F73" s="4132" t="s">
        <v>2299</v>
      </c>
    </row>
    <row r="74" spans="2:6" ht="63.75" x14ac:dyDescent="0.2">
      <c r="B74" s="4130"/>
      <c r="C74" s="4123" t="s">
        <v>111</v>
      </c>
      <c r="D74" s="4123" t="s">
        <v>2300</v>
      </c>
      <c r="E74" s="4123" t="s">
        <v>2298</v>
      </c>
      <c r="F74" s="4132" t="s">
        <v>2301</v>
      </c>
    </row>
    <row r="75" spans="2:6" ht="63.75" x14ac:dyDescent="0.2">
      <c r="B75" s="4130"/>
      <c r="C75" s="4123" t="s">
        <v>111</v>
      </c>
      <c r="D75" s="4123" t="s">
        <v>2302</v>
      </c>
      <c r="E75" s="4123" t="s">
        <v>2298</v>
      </c>
      <c r="F75" s="4132" t="s">
        <v>2301</v>
      </c>
    </row>
    <row r="76" spans="2:6" ht="63.75" x14ac:dyDescent="0.2">
      <c r="B76" s="4130"/>
      <c r="C76" s="4123" t="s">
        <v>111</v>
      </c>
      <c r="D76" s="4123" t="s">
        <v>2303</v>
      </c>
      <c r="E76" s="4123" t="s">
        <v>2298</v>
      </c>
      <c r="F76" s="4132" t="s">
        <v>2301</v>
      </c>
    </row>
    <row r="77" spans="2:6" ht="63.75" x14ac:dyDescent="0.2">
      <c r="B77" s="4130"/>
      <c r="C77" s="4123" t="s">
        <v>111</v>
      </c>
      <c r="D77" s="4123" t="s">
        <v>2304</v>
      </c>
      <c r="E77" s="4123" t="s">
        <v>2298</v>
      </c>
      <c r="F77" s="4132" t="s">
        <v>2301</v>
      </c>
    </row>
    <row r="78" spans="2:6" ht="63.75" x14ac:dyDescent="0.2">
      <c r="B78" s="4130"/>
      <c r="C78" s="4123" t="s">
        <v>111</v>
      </c>
      <c r="D78" s="4123" t="s">
        <v>2305</v>
      </c>
      <c r="E78" s="4123" t="s">
        <v>2298</v>
      </c>
      <c r="F78" s="4132" t="s">
        <v>2301</v>
      </c>
    </row>
    <row r="79" spans="2:6" x14ac:dyDescent="0.2">
      <c r="B79" s="4130"/>
      <c r="C79" s="4123" t="s">
        <v>111</v>
      </c>
      <c r="D79" s="4123" t="s">
        <v>2306</v>
      </c>
      <c r="E79" s="4123" t="s">
        <v>2285</v>
      </c>
      <c r="F79" s="4132" t="s">
        <v>2307</v>
      </c>
    </row>
    <row r="80" spans="2:6" x14ac:dyDescent="0.2">
      <c r="B80" s="4130"/>
      <c r="C80" s="4123" t="s">
        <v>111</v>
      </c>
      <c r="D80" s="4123" t="s">
        <v>2308</v>
      </c>
      <c r="E80" s="4123" t="s">
        <v>2285</v>
      </c>
      <c r="F80" s="4132" t="s">
        <v>2309</v>
      </c>
    </row>
    <row r="81" spans="2:6" ht="25.5" x14ac:dyDescent="0.2">
      <c r="B81" s="4130"/>
      <c r="C81" s="4123" t="s">
        <v>117</v>
      </c>
      <c r="D81" s="4123" t="s">
        <v>2310</v>
      </c>
      <c r="E81" s="4124" t="s">
        <v>2311</v>
      </c>
      <c r="F81" s="4132" t="s">
        <v>2312</v>
      </c>
    </row>
    <row r="82" spans="2:6" ht="38.25" x14ac:dyDescent="0.2">
      <c r="B82" s="4130"/>
      <c r="C82" s="4123" t="s">
        <v>117</v>
      </c>
      <c r="D82" s="4123" t="s">
        <v>2313</v>
      </c>
      <c r="E82" s="4123" t="s">
        <v>2314</v>
      </c>
      <c r="F82" s="4132" t="s">
        <v>2315</v>
      </c>
    </row>
    <row r="83" spans="2:6" ht="38.25" x14ac:dyDescent="0.2">
      <c r="B83" s="4130"/>
      <c r="C83" s="4123" t="s">
        <v>117</v>
      </c>
      <c r="D83" s="4123" t="s">
        <v>1377</v>
      </c>
      <c r="E83" s="4123" t="s">
        <v>1256</v>
      </c>
      <c r="F83" s="4132" t="s">
        <v>2316</v>
      </c>
    </row>
    <row r="84" spans="2:6" ht="38.25" x14ac:dyDescent="0.2">
      <c r="B84" s="4130"/>
      <c r="C84" s="4123" t="s">
        <v>117</v>
      </c>
      <c r="D84" s="4123" t="s">
        <v>1397</v>
      </c>
      <c r="E84" s="4123" t="s">
        <v>1256</v>
      </c>
      <c r="F84" s="4132" t="s">
        <v>2316</v>
      </c>
    </row>
    <row r="85" spans="2:6" ht="25.5" x14ac:dyDescent="0.2">
      <c r="B85" s="4130"/>
      <c r="C85" s="4123" t="s">
        <v>117</v>
      </c>
      <c r="D85" s="4123" t="s">
        <v>1443</v>
      </c>
      <c r="E85" s="4123" t="s">
        <v>1265</v>
      </c>
      <c r="F85" s="4132" t="s">
        <v>2317</v>
      </c>
    </row>
    <row r="86" spans="2:6" ht="25.5" x14ac:dyDescent="0.2">
      <c r="B86" s="4130"/>
      <c r="C86" s="4123" t="s">
        <v>117</v>
      </c>
      <c r="D86" s="4123" t="s">
        <v>1444</v>
      </c>
      <c r="E86" s="4123" t="s">
        <v>1265</v>
      </c>
      <c r="F86" s="4132" t="s">
        <v>2317</v>
      </c>
    </row>
    <row r="87" spans="2:6" ht="25.5" x14ac:dyDescent="0.2">
      <c r="B87" s="4130"/>
      <c r="C87" s="4123" t="s">
        <v>117</v>
      </c>
      <c r="D87" s="4123" t="s">
        <v>1445</v>
      </c>
      <c r="E87" s="4123" t="s">
        <v>1265</v>
      </c>
      <c r="F87" s="4132" t="s">
        <v>2317</v>
      </c>
    </row>
    <row r="88" spans="2:6" x14ac:dyDescent="0.2">
      <c r="B88" s="4130"/>
      <c r="C88" s="4123" t="s">
        <v>117</v>
      </c>
      <c r="D88" s="4123" t="s">
        <v>2318</v>
      </c>
      <c r="E88" s="4123" t="s">
        <v>1424</v>
      </c>
      <c r="F88" s="4132" t="s">
        <v>2319</v>
      </c>
    </row>
    <row r="89" spans="2:6" ht="25.5" x14ac:dyDescent="0.2">
      <c r="B89" s="4130"/>
      <c r="C89" s="4123" t="s">
        <v>117</v>
      </c>
      <c r="D89" s="4123" t="s">
        <v>2160</v>
      </c>
      <c r="E89" s="4123" t="s">
        <v>2320</v>
      </c>
      <c r="F89" s="4132" t="s">
        <v>2321</v>
      </c>
    </row>
    <row r="90" spans="2:6" ht="25.5" x14ac:dyDescent="0.2">
      <c r="B90" s="4130"/>
      <c r="C90" s="4123" t="s">
        <v>117</v>
      </c>
      <c r="D90" s="4123" t="s">
        <v>2322</v>
      </c>
      <c r="E90" s="4124" t="s">
        <v>2323</v>
      </c>
      <c r="F90" s="4132" t="s">
        <v>2324</v>
      </c>
    </row>
    <row r="91" spans="2:6" ht="25.5" x14ac:dyDescent="0.2">
      <c r="B91" s="4130"/>
      <c r="C91" s="4123" t="s">
        <v>117</v>
      </c>
      <c r="D91" s="4123" t="s">
        <v>2325</v>
      </c>
      <c r="E91" s="4124" t="s">
        <v>2323</v>
      </c>
      <c r="F91" s="4132" t="s">
        <v>2326</v>
      </c>
    </row>
    <row r="92" spans="2:6" ht="25.5" x14ac:dyDescent="0.2">
      <c r="B92" s="4130"/>
      <c r="C92" s="4123" t="s">
        <v>117</v>
      </c>
      <c r="D92" s="4123" t="s">
        <v>2327</v>
      </c>
      <c r="E92" s="4124" t="s">
        <v>2328</v>
      </c>
      <c r="F92" s="4132" t="s">
        <v>2329</v>
      </c>
    </row>
    <row r="93" spans="2:6" ht="38.25" x14ac:dyDescent="0.2">
      <c r="B93" s="4130"/>
      <c r="C93" s="4123" t="s">
        <v>117</v>
      </c>
      <c r="D93" s="4123" t="s">
        <v>2330</v>
      </c>
      <c r="E93" s="4124" t="s">
        <v>2331</v>
      </c>
      <c r="F93" s="4132" t="s">
        <v>2332</v>
      </c>
    </row>
    <row r="94" spans="2:6" ht="38.25" x14ac:dyDescent="0.2">
      <c r="B94" s="4130"/>
      <c r="C94" s="4123" t="s">
        <v>117</v>
      </c>
      <c r="D94" s="4124" t="s">
        <v>2333</v>
      </c>
      <c r="E94" s="4124" t="s">
        <v>2334</v>
      </c>
      <c r="F94" s="4132" t="s">
        <v>2335</v>
      </c>
    </row>
    <row r="95" spans="2:6" ht="25.5" x14ac:dyDescent="0.2">
      <c r="B95" s="2578" t="s">
        <v>2054</v>
      </c>
      <c r="C95" s="4123" t="s">
        <v>2214</v>
      </c>
      <c r="D95" s="4124" t="s">
        <v>2268</v>
      </c>
      <c r="E95" s="4124" t="s">
        <v>2269</v>
      </c>
      <c r="F95" s="4132" t="s">
        <v>2270</v>
      </c>
    </row>
    <row r="96" spans="2:6" ht="25.5" x14ac:dyDescent="0.2">
      <c r="B96" s="4130"/>
      <c r="C96" s="4123" t="s">
        <v>2214</v>
      </c>
      <c r="D96" s="4124" t="s">
        <v>2271</v>
      </c>
      <c r="E96" s="4124" t="s">
        <v>2269</v>
      </c>
      <c r="F96" s="4132" t="s">
        <v>2272</v>
      </c>
    </row>
    <row r="97" spans="2:6" ht="25.5" x14ac:dyDescent="0.2">
      <c r="B97" s="4130"/>
      <c r="C97" s="4123" t="s">
        <v>2214</v>
      </c>
      <c r="D97" s="4124" t="s">
        <v>2273</v>
      </c>
      <c r="E97" s="4124" t="s">
        <v>2274</v>
      </c>
      <c r="F97" s="4132" t="s">
        <v>2275</v>
      </c>
    </row>
    <row r="98" spans="2:6" ht="25.5" x14ac:dyDescent="0.2">
      <c r="B98" s="4130"/>
      <c r="C98" s="4123" t="s">
        <v>2214</v>
      </c>
      <c r="D98" s="4124" t="s">
        <v>2276</v>
      </c>
      <c r="E98" s="4124" t="s">
        <v>2277</v>
      </c>
      <c r="F98" s="4132" t="s">
        <v>2278</v>
      </c>
    </row>
    <row r="99" spans="2:6" ht="25.5" x14ac:dyDescent="0.2">
      <c r="B99" s="4130"/>
      <c r="C99" s="4123" t="s">
        <v>2214</v>
      </c>
      <c r="D99" s="4124" t="s">
        <v>2279</v>
      </c>
      <c r="E99" s="4124" t="s">
        <v>2280</v>
      </c>
      <c r="F99" s="4132" t="s">
        <v>2281</v>
      </c>
    </row>
    <row r="100" spans="2:6" x14ac:dyDescent="0.2">
      <c r="B100" s="4130"/>
      <c r="C100" s="4123" t="s">
        <v>2214</v>
      </c>
      <c r="D100" s="4124" t="s">
        <v>2282</v>
      </c>
      <c r="E100" s="4124" t="s">
        <v>2280</v>
      </c>
      <c r="F100" s="4132" t="s">
        <v>2283</v>
      </c>
    </row>
    <row r="101" spans="2:6" x14ac:dyDescent="0.2">
      <c r="B101" s="4130"/>
      <c r="C101" s="4123" t="s">
        <v>2214</v>
      </c>
      <c r="D101" s="4124" t="s">
        <v>494</v>
      </c>
      <c r="E101" s="4124" t="s">
        <v>493</v>
      </c>
      <c r="F101" s="4132" t="s">
        <v>2336</v>
      </c>
    </row>
    <row r="102" spans="2:6" ht="25.5" x14ac:dyDescent="0.2">
      <c r="B102" s="4130"/>
      <c r="C102" s="4123" t="s">
        <v>2214</v>
      </c>
      <c r="D102" s="4124" t="s">
        <v>2284</v>
      </c>
      <c r="E102" s="4124" t="s">
        <v>2285</v>
      </c>
      <c r="F102" s="4132" t="s">
        <v>2337</v>
      </c>
    </row>
    <row r="103" spans="2:6" ht="25.5" x14ac:dyDescent="0.2">
      <c r="B103" s="4130"/>
      <c r="C103" s="4123" t="s">
        <v>111</v>
      </c>
      <c r="D103" s="4124" t="s">
        <v>2338</v>
      </c>
      <c r="E103" s="4124" t="s">
        <v>2339</v>
      </c>
      <c r="F103" s="4132" t="s">
        <v>2340</v>
      </c>
    </row>
    <row r="104" spans="2:6" ht="25.5" x14ac:dyDescent="0.2">
      <c r="B104" s="4130"/>
      <c r="C104" s="4123" t="s">
        <v>111</v>
      </c>
      <c r="D104" s="4124" t="s">
        <v>2341</v>
      </c>
      <c r="E104" s="4124" t="s">
        <v>2339</v>
      </c>
      <c r="F104" s="4132" t="s">
        <v>2342</v>
      </c>
    </row>
    <row r="105" spans="2:6" ht="25.5" x14ac:dyDescent="0.2">
      <c r="B105" s="4130"/>
      <c r="C105" s="4123" t="s">
        <v>111</v>
      </c>
      <c r="D105" s="4124" t="s">
        <v>2343</v>
      </c>
      <c r="E105" s="4124" t="s">
        <v>2339</v>
      </c>
      <c r="F105" s="4132" t="s">
        <v>2344</v>
      </c>
    </row>
    <row r="106" spans="2:6" ht="25.5" x14ac:dyDescent="0.2">
      <c r="B106" s="4130"/>
      <c r="C106" s="4123" t="s">
        <v>111</v>
      </c>
      <c r="D106" s="4124" t="s">
        <v>2297</v>
      </c>
      <c r="E106" s="4124" t="s">
        <v>2298</v>
      </c>
      <c r="F106" s="4132" t="s">
        <v>2299</v>
      </c>
    </row>
    <row r="107" spans="2:6" ht="25.5" x14ac:dyDescent="0.2">
      <c r="B107" s="4130"/>
      <c r="C107" s="4123" t="s">
        <v>111</v>
      </c>
      <c r="D107" s="4124" t="s">
        <v>2300</v>
      </c>
      <c r="E107" s="4124" t="s">
        <v>2298</v>
      </c>
      <c r="F107" s="4132" t="s">
        <v>2299</v>
      </c>
    </row>
    <row r="108" spans="2:6" ht="25.5" x14ac:dyDescent="0.2">
      <c r="B108" s="4130"/>
      <c r="C108" s="4123" t="s">
        <v>111</v>
      </c>
      <c r="D108" s="4124" t="s">
        <v>2302</v>
      </c>
      <c r="E108" s="4124" t="s">
        <v>2298</v>
      </c>
      <c r="F108" s="4132" t="s">
        <v>2299</v>
      </c>
    </row>
    <row r="109" spans="2:6" ht="25.5" x14ac:dyDescent="0.2">
      <c r="B109" s="4130"/>
      <c r="C109" s="4123" t="s">
        <v>111</v>
      </c>
      <c r="D109" s="4124" t="s">
        <v>2303</v>
      </c>
      <c r="E109" s="4124" t="s">
        <v>2298</v>
      </c>
      <c r="F109" s="4132" t="s">
        <v>2299</v>
      </c>
    </row>
    <row r="110" spans="2:6" ht="25.5" x14ac:dyDescent="0.2">
      <c r="B110" s="4130"/>
      <c r="C110" s="4123" t="s">
        <v>111</v>
      </c>
      <c r="D110" s="4124" t="s">
        <v>2304</v>
      </c>
      <c r="E110" s="4124" t="s">
        <v>2298</v>
      </c>
      <c r="F110" s="4132" t="s">
        <v>2299</v>
      </c>
    </row>
    <row r="111" spans="2:6" ht="25.5" x14ac:dyDescent="0.2">
      <c r="B111" s="4130"/>
      <c r="C111" s="4123" t="s">
        <v>111</v>
      </c>
      <c r="D111" s="4124" t="s">
        <v>2305</v>
      </c>
      <c r="E111" s="4124" t="s">
        <v>2298</v>
      </c>
      <c r="F111" s="4132" t="s">
        <v>2299</v>
      </c>
    </row>
    <row r="112" spans="2:6" ht="25.5" x14ac:dyDescent="0.2">
      <c r="B112" s="4130"/>
      <c r="C112" s="4123" t="s">
        <v>111</v>
      </c>
      <c r="D112" s="4124" t="s">
        <v>2306</v>
      </c>
      <c r="E112" s="4124" t="s">
        <v>2285</v>
      </c>
      <c r="F112" s="4132" t="s">
        <v>2307</v>
      </c>
    </row>
    <row r="113" spans="2:6" ht="25.5" x14ac:dyDescent="0.2">
      <c r="B113" s="4130"/>
      <c r="C113" s="4123" t="s">
        <v>117</v>
      </c>
      <c r="D113" s="4124" t="s">
        <v>2322</v>
      </c>
      <c r="E113" s="4124" t="s">
        <v>2323</v>
      </c>
      <c r="F113" s="4132" t="s">
        <v>2324</v>
      </c>
    </row>
    <row r="114" spans="2:6" ht="25.5" x14ac:dyDescent="0.2">
      <c r="B114" s="4130"/>
      <c r="C114" s="4123" t="s">
        <v>117</v>
      </c>
      <c r="D114" s="4124" t="s">
        <v>2325</v>
      </c>
      <c r="E114" s="4124" t="s">
        <v>2323</v>
      </c>
      <c r="F114" s="4132" t="s">
        <v>2326</v>
      </c>
    </row>
    <row r="115" spans="2:6" ht="25.5" x14ac:dyDescent="0.2">
      <c r="B115" s="4130"/>
      <c r="C115" s="4123" t="s">
        <v>117</v>
      </c>
      <c r="D115" s="4124" t="s">
        <v>2327</v>
      </c>
      <c r="E115" s="4124" t="s">
        <v>2328</v>
      </c>
      <c r="F115" s="4132" t="s">
        <v>2329</v>
      </c>
    </row>
    <row r="116" spans="2:6" ht="38.25" x14ac:dyDescent="0.2">
      <c r="B116" s="4130"/>
      <c r="C116" s="4123" t="s">
        <v>117</v>
      </c>
      <c r="D116" s="4124" t="s">
        <v>2330</v>
      </c>
      <c r="E116" s="4124" t="s">
        <v>2331</v>
      </c>
      <c r="F116" s="4132" t="s">
        <v>2332</v>
      </c>
    </row>
    <row r="117" spans="2:6" ht="38.25" x14ac:dyDescent="0.2">
      <c r="B117" s="4130"/>
      <c r="C117" s="4123" t="s">
        <v>117</v>
      </c>
      <c r="D117" s="4124" t="s">
        <v>2333</v>
      </c>
      <c r="E117" s="4124" t="s">
        <v>2334</v>
      </c>
      <c r="F117" s="4132" t="s">
        <v>2335</v>
      </c>
    </row>
    <row r="118" spans="2:6" ht="38.25" x14ac:dyDescent="0.2">
      <c r="B118" s="4130"/>
      <c r="C118" s="4123" t="s">
        <v>2234</v>
      </c>
      <c r="D118" s="4124" t="s">
        <v>2345</v>
      </c>
      <c r="E118" s="4124" t="s">
        <v>2346</v>
      </c>
      <c r="F118" s="4132" t="s">
        <v>2347</v>
      </c>
    </row>
    <row r="119" spans="2:6" ht="25.5" x14ac:dyDescent="0.2">
      <c r="B119" s="4130"/>
      <c r="C119" s="4123" t="s">
        <v>2234</v>
      </c>
      <c r="D119" s="4124" t="s">
        <v>2348</v>
      </c>
      <c r="E119" s="4124" t="s">
        <v>2349</v>
      </c>
      <c r="F119" s="4132" t="s">
        <v>2350</v>
      </c>
    </row>
    <row r="120" spans="2:6" ht="25.5" x14ac:dyDescent="0.2">
      <c r="B120" s="4130"/>
      <c r="C120" s="4123" t="s">
        <v>2234</v>
      </c>
      <c r="D120" s="4124" t="s">
        <v>2351</v>
      </c>
      <c r="E120" s="4124" t="s">
        <v>2349</v>
      </c>
      <c r="F120" s="4132" t="s">
        <v>2350</v>
      </c>
    </row>
    <row r="121" spans="2:6" ht="25.5" x14ac:dyDescent="0.2">
      <c r="B121" s="4130"/>
      <c r="C121" s="4123" t="s">
        <v>2234</v>
      </c>
      <c r="D121" s="4124" t="s">
        <v>2352</v>
      </c>
      <c r="E121" s="4124" t="s">
        <v>2349</v>
      </c>
      <c r="F121" s="4132" t="s">
        <v>2350</v>
      </c>
    </row>
    <row r="122" spans="2:6" ht="38.25" x14ac:dyDescent="0.2">
      <c r="B122" s="4130"/>
      <c r="C122" s="4123" t="s">
        <v>2234</v>
      </c>
      <c r="D122" s="4123" t="s">
        <v>2353</v>
      </c>
      <c r="E122" s="4123" t="s">
        <v>2354</v>
      </c>
      <c r="F122" s="4132" t="s">
        <v>2347</v>
      </c>
    </row>
    <row r="123" spans="2:6" ht="38.25" x14ac:dyDescent="0.2">
      <c r="B123" s="4130"/>
      <c r="C123" s="4123" t="s">
        <v>2234</v>
      </c>
      <c r="D123" s="4123" t="s">
        <v>2354</v>
      </c>
      <c r="E123" s="4123" t="s">
        <v>2355</v>
      </c>
      <c r="F123" s="4132" t="s">
        <v>2347</v>
      </c>
    </row>
    <row r="124" spans="2:6" ht="25.5" x14ac:dyDescent="0.2">
      <c r="B124" s="2578" t="s">
        <v>2055</v>
      </c>
      <c r="C124" s="4123" t="s">
        <v>2214</v>
      </c>
      <c r="D124" s="4124" t="s">
        <v>2268</v>
      </c>
      <c r="E124" s="4124" t="s">
        <v>2269</v>
      </c>
      <c r="F124" s="4132" t="s">
        <v>2270</v>
      </c>
    </row>
    <row r="125" spans="2:6" ht="25.5" x14ac:dyDescent="0.2">
      <c r="B125" s="4130"/>
      <c r="C125" s="4123" t="s">
        <v>2214</v>
      </c>
      <c r="D125" s="4124" t="s">
        <v>2271</v>
      </c>
      <c r="E125" s="4124" t="s">
        <v>2269</v>
      </c>
      <c r="F125" s="4132" t="s">
        <v>2272</v>
      </c>
    </row>
    <row r="126" spans="2:6" ht="25.5" x14ac:dyDescent="0.2">
      <c r="B126" s="4130"/>
      <c r="C126" s="4123" t="s">
        <v>2214</v>
      </c>
      <c r="D126" s="4124" t="s">
        <v>2273</v>
      </c>
      <c r="E126" s="4124" t="s">
        <v>2274</v>
      </c>
      <c r="F126" s="4132" t="s">
        <v>2275</v>
      </c>
    </row>
    <row r="127" spans="2:6" ht="25.5" x14ac:dyDescent="0.2">
      <c r="B127" s="4130"/>
      <c r="C127" s="4123" t="s">
        <v>2214</v>
      </c>
      <c r="D127" s="4123" t="s">
        <v>2276</v>
      </c>
      <c r="E127" s="4123" t="s">
        <v>2277</v>
      </c>
      <c r="F127" s="4132" t="s">
        <v>2278</v>
      </c>
    </row>
    <row r="128" spans="2:6" ht="25.5" x14ac:dyDescent="0.2">
      <c r="B128" s="4130"/>
      <c r="C128" s="4123" t="s">
        <v>2214</v>
      </c>
      <c r="D128" s="4123" t="s">
        <v>2279</v>
      </c>
      <c r="E128" s="4123" t="s">
        <v>2280</v>
      </c>
      <c r="F128" s="4132" t="s">
        <v>2281</v>
      </c>
    </row>
    <row r="129" spans="2:6" x14ac:dyDescent="0.2">
      <c r="B129" s="4130"/>
      <c r="C129" s="4123" t="s">
        <v>2214</v>
      </c>
      <c r="D129" s="4123" t="s">
        <v>2282</v>
      </c>
      <c r="E129" s="4123" t="s">
        <v>2280</v>
      </c>
      <c r="F129" s="4132" t="s">
        <v>2283</v>
      </c>
    </row>
    <row r="130" spans="2:6" x14ac:dyDescent="0.2">
      <c r="B130" s="4130"/>
      <c r="C130" s="4123" t="s">
        <v>111</v>
      </c>
      <c r="D130" s="4123" t="s">
        <v>2356</v>
      </c>
      <c r="E130" s="4123" t="s">
        <v>2357</v>
      </c>
      <c r="F130" s="4132" t="s">
        <v>2358</v>
      </c>
    </row>
    <row r="131" spans="2:6" ht="25.5" x14ac:dyDescent="0.2">
      <c r="B131" s="4130"/>
      <c r="C131" s="4123" t="s">
        <v>117</v>
      </c>
      <c r="D131" s="4124" t="s">
        <v>2359</v>
      </c>
      <c r="E131" s="4124" t="s">
        <v>2360</v>
      </c>
      <c r="F131" s="4132" t="s">
        <v>2361</v>
      </c>
    </row>
    <row r="132" spans="2:6" ht="25.5" x14ac:dyDescent="0.2">
      <c r="B132" s="4130"/>
      <c r="C132" s="4123" t="s">
        <v>117</v>
      </c>
      <c r="D132" s="4123" t="s">
        <v>1616</v>
      </c>
      <c r="E132" s="4124" t="s">
        <v>2360</v>
      </c>
      <c r="F132" s="4132" t="s">
        <v>2362</v>
      </c>
    </row>
    <row r="133" spans="2:6" ht="25.5" x14ac:dyDescent="0.2">
      <c r="B133" s="4130"/>
      <c r="C133" s="4123" t="s">
        <v>117</v>
      </c>
      <c r="D133" s="4123" t="s">
        <v>1624</v>
      </c>
      <c r="E133" s="4124" t="s">
        <v>2360</v>
      </c>
      <c r="F133" s="4132" t="s">
        <v>2362</v>
      </c>
    </row>
    <row r="134" spans="2:6" ht="25.5" x14ac:dyDescent="0.2">
      <c r="B134" s="4130"/>
      <c r="C134" s="4123" t="s">
        <v>117</v>
      </c>
      <c r="D134" s="4123" t="s">
        <v>1640</v>
      </c>
      <c r="E134" s="4124" t="s">
        <v>2360</v>
      </c>
      <c r="F134" s="4132" t="s">
        <v>2362</v>
      </c>
    </row>
    <row r="135" spans="2:6" ht="25.5" x14ac:dyDescent="0.2">
      <c r="B135" s="4130"/>
      <c r="C135" s="4123" t="s">
        <v>117</v>
      </c>
      <c r="D135" s="4123" t="s">
        <v>1641</v>
      </c>
      <c r="E135" s="4124" t="s">
        <v>2360</v>
      </c>
      <c r="F135" s="4132" t="s">
        <v>2362</v>
      </c>
    </row>
    <row r="136" spans="2:6" ht="25.5" x14ac:dyDescent="0.2">
      <c r="B136" s="4130"/>
      <c r="C136" s="4123" t="s">
        <v>117</v>
      </c>
      <c r="D136" s="4123" t="s">
        <v>2322</v>
      </c>
      <c r="E136" s="4124" t="s">
        <v>2323</v>
      </c>
      <c r="F136" s="4132" t="s">
        <v>2324</v>
      </c>
    </row>
    <row r="137" spans="2:6" ht="25.5" x14ac:dyDescent="0.2">
      <c r="B137" s="4130"/>
      <c r="C137" s="4123" t="s">
        <v>117</v>
      </c>
      <c r="D137" s="4123" t="s">
        <v>2325</v>
      </c>
      <c r="E137" s="4124" t="s">
        <v>2323</v>
      </c>
      <c r="F137" s="4132" t="s">
        <v>2326</v>
      </c>
    </row>
    <row r="138" spans="2:6" ht="25.5" x14ac:dyDescent="0.2">
      <c r="B138" s="4130"/>
      <c r="C138" s="4123" t="s">
        <v>117</v>
      </c>
      <c r="D138" s="4123" t="s">
        <v>2327</v>
      </c>
      <c r="E138" s="4124" t="s">
        <v>2328</v>
      </c>
      <c r="F138" s="4132" t="s">
        <v>2329</v>
      </c>
    </row>
    <row r="139" spans="2:6" ht="38.25" x14ac:dyDescent="0.2">
      <c r="B139" s="4130"/>
      <c r="C139" s="4123" t="s">
        <v>117</v>
      </c>
      <c r="D139" s="4123" t="s">
        <v>2330</v>
      </c>
      <c r="E139" s="4124" t="s">
        <v>2331</v>
      </c>
      <c r="F139" s="4132" t="s">
        <v>2332</v>
      </c>
    </row>
    <row r="140" spans="2:6" ht="38.25" x14ac:dyDescent="0.2">
      <c r="B140" s="4130"/>
      <c r="C140" s="4123" t="s">
        <v>117</v>
      </c>
      <c r="D140" s="4124" t="s">
        <v>2333</v>
      </c>
      <c r="E140" s="4124" t="s">
        <v>2334</v>
      </c>
      <c r="F140" s="4132" t="s">
        <v>2335</v>
      </c>
    </row>
    <row r="141" spans="2:6" ht="25.5" x14ac:dyDescent="0.2">
      <c r="B141" s="4130"/>
      <c r="C141" s="4123" t="s">
        <v>2234</v>
      </c>
      <c r="D141" s="4123" t="s">
        <v>2363</v>
      </c>
      <c r="E141" s="4123" t="s">
        <v>2364</v>
      </c>
      <c r="F141" s="4132" t="s">
        <v>2365</v>
      </c>
    </row>
    <row r="142" spans="2:6" ht="25.5" x14ac:dyDescent="0.2">
      <c r="B142" s="2579"/>
      <c r="C142" s="4123" t="s">
        <v>2234</v>
      </c>
      <c r="D142" s="4123" t="s">
        <v>2366</v>
      </c>
      <c r="E142" s="4123" t="s">
        <v>2364</v>
      </c>
      <c r="F142" s="4132" t="s">
        <v>2365</v>
      </c>
    </row>
    <row r="143" spans="2:6" ht="18" customHeight="1" x14ac:dyDescent="0.2">
      <c r="B143" s="2578" t="s">
        <v>2004</v>
      </c>
      <c r="C143" s="4123" t="s">
        <v>111</v>
      </c>
      <c r="D143" s="4123" t="s">
        <v>891</v>
      </c>
      <c r="E143" s="4123" t="s">
        <v>889</v>
      </c>
      <c r="F143" s="4132" t="s">
        <v>2367</v>
      </c>
    </row>
    <row r="144" spans="2:6" ht="18" customHeight="1" x14ac:dyDescent="0.2">
      <c r="B144" s="2579"/>
      <c r="C144" s="4123" t="s">
        <v>111</v>
      </c>
      <c r="D144" s="4123" t="s">
        <v>897</v>
      </c>
      <c r="E144" s="4123" t="s">
        <v>896</v>
      </c>
      <c r="F144" s="4132" t="s">
        <v>2368</v>
      </c>
    </row>
    <row r="145" spans="2:6" ht="18" customHeight="1" x14ac:dyDescent="0.2">
      <c r="B145" s="2578" t="s">
        <v>1971</v>
      </c>
      <c r="C145" s="4123"/>
      <c r="D145" s="4123"/>
      <c r="E145" s="4123"/>
      <c r="F145" s="4132"/>
    </row>
    <row r="146" spans="2:6" ht="18" customHeight="1" x14ac:dyDescent="0.2">
      <c r="B146" s="2579"/>
      <c r="C146" s="4123"/>
      <c r="D146" s="4123"/>
      <c r="E146" s="4123"/>
      <c r="F146" s="4132"/>
    </row>
    <row r="147" spans="2:6" ht="18" customHeight="1" x14ac:dyDescent="0.2">
      <c r="B147" s="2578" t="s">
        <v>2261</v>
      </c>
      <c r="C147" s="4123"/>
      <c r="D147" s="4123"/>
      <c r="E147" s="4123"/>
      <c r="F147" s="4132"/>
    </row>
    <row r="148" spans="2:6" ht="18" customHeight="1" x14ac:dyDescent="0.2">
      <c r="B148" s="2579" t="s">
        <v>2262</v>
      </c>
      <c r="C148" s="4123"/>
      <c r="D148" s="4123"/>
      <c r="E148" s="4123"/>
      <c r="F148" s="4132"/>
    </row>
    <row r="149" spans="2:6" ht="18" customHeight="1" x14ac:dyDescent="0.2">
      <c r="B149" s="2578" t="s">
        <v>905</v>
      </c>
      <c r="C149" s="4123"/>
      <c r="D149" s="4123"/>
      <c r="E149" s="4123" t="s">
        <v>587</v>
      </c>
      <c r="F149" s="4132"/>
    </row>
    <row r="150" spans="2:6" ht="18" customHeight="1" x14ac:dyDescent="0.2">
      <c r="B150" s="2579"/>
      <c r="C150" s="4123"/>
      <c r="D150" s="4123"/>
      <c r="E150" s="4123"/>
      <c r="F150" s="4132"/>
    </row>
    <row r="151" spans="2:6" ht="18" customHeight="1" x14ac:dyDescent="0.2">
      <c r="B151" s="876" t="s">
        <v>2369</v>
      </c>
      <c r="C151" s="4123"/>
      <c r="D151" s="4123"/>
      <c r="E151" s="4123"/>
      <c r="F151" s="4132"/>
    </row>
    <row r="152" spans="2:6" ht="18" customHeight="1" thickBot="1" x14ac:dyDescent="0.25">
      <c r="B152" s="877"/>
      <c r="C152" s="4131"/>
      <c r="D152" s="4131"/>
      <c r="E152" s="4131"/>
      <c r="F152" s="4133"/>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2"/>
    </row>
  </sheetData>
  <mergeCells count="50">
    <mergeCell ref="E15:F15"/>
    <mergeCell ref="E13:F13"/>
    <mergeCell ref="E16:F16"/>
    <mergeCell ref="E18:F18"/>
    <mergeCell ref="E26:F26"/>
    <mergeCell ref="E17:F17"/>
    <mergeCell ref="E19:F19"/>
    <mergeCell ref="E9:F9"/>
    <mergeCell ref="E10:F10"/>
    <mergeCell ref="E11:F11"/>
    <mergeCell ref="E12:F12"/>
    <mergeCell ref="E14:F14"/>
    <mergeCell ref="E32:F32"/>
    <mergeCell ref="E20:F20"/>
    <mergeCell ref="E21:F21"/>
    <mergeCell ref="E29:F29"/>
    <mergeCell ref="E30:F30"/>
    <mergeCell ref="E22:F22"/>
    <mergeCell ref="E23:F23"/>
    <mergeCell ref="E24:F24"/>
    <mergeCell ref="E25:F25"/>
    <mergeCell ref="E27:F27"/>
    <mergeCell ref="E28:F28"/>
    <mergeCell ref="E31:F31"/>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44:F44"/>
    <mergeCell ref="E33:F33"/>
    <mergeCell ref="E45:F45"/>
    <mergeCell ref="E47:F47"/>
    <mergeCell ref="E40:F40"/>
    <mergeCell ref="E42:F42"/>
    <mergeCell ref="E43:F43"/>
    <mergeCell ref="E46:F46"/>
    <mergeCell ref="E34:F34"/>
    <mergeCell ref="E35:F35"/>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L76"/>
  <sheetViews>
    <sheetView zoomScale="80" zoomScaleNormal="80" workbookViewId="0">
      <pane xSplit="4" ySplit="10" topLeftCell="S28" activePane="bottomRight" state="frozen"/>
      <selection pane="topRight" activeCell="E1" sqref="E1"/>
      <selection pane="bottomLeft" activeCell="A11" sqref="A11"/>
      <selection pane="bottomRight" activeCell="V10" sqref="V10"/>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2460</v>
      </c>
    </row>
    <row r="2" spans="1:38" ht="17.25" x14ac:dyDescent="0.2">
      <c r="B2" s="761" t="s">
        <v>2371</v>
      </c>
      <c r="AL2" s="14" t="s">
        <v>2461</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5" t="s">
        <v>62</v>
      </c>
    </row>
    <row r="8" spans="1:38" ht="60" customHeight="1" x14ac:dyDescent="0.2">
      <c r="B8" s="762"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105">
        <f>SUM(E11,E22,E31,E42,E51,E57)</f>
        <v>615387.33158157731</v>
      </c>
      <c r="F10" s="4105">
        <f t="shared" ref="F10:AK10" si="0">SUM(F11,F22,F31,F42,F51,F57)</f>
        <v>594992.05584437493</v>
      </c>
      <c r="G10" s="4105">
        <f t="shared" si="0"/>
        <v>554505.69382057013</v>
      </c>
      <c r="H10" s="4105">
        <f t="shared" si="0"/>
        <v>533504.41248450219</v>
      </c>
      <c r="I10" s="4105">
        <f t="shared" si="0"/>
        <v>523368.45044243411</v>
      </c>
      <c r="J10" s="4105">
        <f t="shared" si="0"/>
        <v>510972.6128152663</v>
      </c>
      <c r="K10" s="4105">
        <f t="shared" si="0"/>
        <v>512168.51640588255</v>
      </c>
      <c r="L10" s="4105">
        <f t="shared" si="0"/>
        <v>510321.33805232425</v>
      </c>
      <c r="M10" s="4105">
        <f t="shared" si="0"/>
        <v>527928.744262986</v>
      </c>
      <c r="N10" s="4105">
        <f t="shared" si="0"/>
        <v>548328.05028453644</v>
      </c>
      <c r="O10" s="4105">
        <f t="shared" si="0"/>
        <v>569826.39322789689</v>
      </c>
      <c r="P10" s="4105">
        <f t="shared" si="0"/>
        <v>586480.1969095266</v>
      </c>
      <c r="Q10" s="4105">
        <f t="shared" si="0"/>
        <v>590984.08540300885</v>
      </c>
      <c r="R10" s="4105">
        <f t="shared" si="0"/>
        <v>590522.57147545065</v>
      </c>
      <c r="S10" s="4105">
        <f t="shared" si="0"/>
        <v>574702.00404791615</v>
      </c>
      <c r="T10" s="4105">
        <f t="shared" si="0"/>
        <v>609446.11738497834</v>
      </c>
      <c r="U10" s="4105">
        <f t="shared" si="0"/>
        <v>644924.25962383696</v>
      </c>
      <c r="V10" s="4105">
        <f t="shared" si="0"/>
        <v>626119.71239156905</v>
      </c>
      <c r="W10" s="4105">
        <f t="shared" si="0"/>
        <v>614649.06367942365</v>
      </c>
      <c r="X10" s="4105">
        <f t="shared" si="0"/>
        <v>607868.15784504137</v>
      </c>
      <c r="Y10" s="4105">
        <f t="shared" si="0"/>
        <v>609168.59844432015</v>
      </c>
      <c r="Z10" s="4105">
        <f t="shared" si="0"/>
        <v>577597.91271958745</v>
      </c>
      <c r="AA10" s="4105">
        <f t="shared" si="0"/>
        <v>554652.15299763659</v>
      </c>
      <c r="AB10" s="4105">
        <f t="shared" si="0"/>
        <v>557099.10662609374</v>
      </c>
      <c r="AC10" s="4105">
        <f t="shared" si="0"/>
        <v>538319.26705382892</v>
      </c>
      <c r="AD10" s="4105">
        <f t="shared" si="0"/>
        <v>533688.36831237073</v>
      </c>
      <c r="AE10" s="4105">
        <f t="shared" si="0"/>
        <v>491065.00379444496</v>
      </c>
      <c r="AF10" s="4105">
        <f t="shared" si="0"/>
        <v>528911.16518691659</v>
      </c>
      <c r="AG10" s="4105">
        <f t="shared" si="0"/>
        <v>501666.11985272123</v>
      </c>
      <c r="AH10" s="4105">
        <f t="shared" si="0"/>
        <v>490705.77650568791</v>
      </c>
      <c r="AI10" s="4105">
        <f t="shared" si="0"/>
        <v>474544.2922087331</v>
      </c>
      <c r="AJ10" s="4105">
        <f t="shared" si="0"/>
        <v>438745.05754808907</v>
      </c>
      <c r="AK10" s="4105">
        <f t="shared" si="0"/>
        <v>432620.83505134587</v>
      </c>
      <c r="AL10" s="4113">
        <f>IF(AK10="NO",IF(E10="NO","NA",-100),IF(E10="NO",100,AK10/E10*100-100))</f>
        <v>-29.699424598246452</v>
      </c>
    </row>
    <row r="11" spans="1:38" ht="18" customHeight="1" x14ac:dyDescent="0.2">
      <c r="B11" s="1130" t="s">
        <v>1921</v>
      </c>
      <c r="C11" s="2026"/>
      <c r="D11" s="2026"/>
      <c r="E11" s="4106">
        <f>IF(SUM(Table10s2!E10,IFERROR(Table10s3!E10*28,0),IFERROR(Table10s4!E10*265,0))=0,"NO",SUM(Table10s2!E10,IFERROR(Table10s3!E10*28,0),IFERROR(Table10s4!E10*265,0)))</f>
        <v>297385.4128619426</v>
      </c>
      <c r="F11" s="4106">
        <f>IF(SUM(Table10s2!F10,IFERROR(Table10s3!F10*28,0),IFERROR(Table10s4!F10*265,0))=0,"NO",SUM(Table10s2!F10,IFERROR(Table10s3!F10*28,0),IFERROR(Table10s4!F10*265,0)))</f>
        <v>299090.68089866068</v>
      </c>
      <c r="G11" s="4106">
        <f>IF(SUM(Table10s2!G10,IFERROR(Table10s3!G10*28,0),IFERROR(Table10s4!G10*265,0))=0,"NO",SUM(Table10s2!G10,IFERROR(Table10s3!G10*28,0),IFERROR(Table10s4!G10*265,0)))</f>
        <v>305421.40007382602</v>
      </c>
      <c r="H11" s="4106">
        <f>IF(SUM(Table10s2!H10,IFERROR(Table10s3!H10*28,0),IFERROR(Table10s4!H10*265,0))=0,"NO",SUM(Table10s2!H10,IFERROR(Table10s3!H10*28,0),IFERROR(Table10s4!H10*265,0)))</f>
        <v>308632.81438433455</v>
      </c>
      <c r="I11" s="4106">
        <f>IF(SUM(Table10s2!I10,IFERROR(Table10s3!I10*28,0),IFERROR(Table10s4!I10*265,0))=0,"NO",SUM(Table10s2!I10,IFERROR(Table10s3!I10*28,0),IFERROR(Table10s4!I10*265,0)))</f>
        <v>309510.67758181045</v>
      </c>
      <c r="J11" s="4106">
        <f>IF(SUM(Table10s2!J10,IFERROR(Table10s3!J10*28,0),IFERROR(Table10s4!J10*265,0))=0,"NO",SUM(Table10s2!J10,IFERROR(Table10s3!J10*28,0),IFERROR(Table10s4!J10*265,0)))</f>
        <v>322039.79102340003</v>
      </c>
      <c r="K11" s="4106">
        <f>IF(SUM(Table10s2!K10,IFERROR(Table10s3!K10*28,0),IFERROR(Table10s4!K10*265,0))=0,"NO",SUM(Table10s2!K10,IFERROR(Table10s3!K10*28,0),IFERROR(Table10s4!K10*265,0)))</f>
        <v>328501.66929909267</v>
      </c>
      <c r="L11" s="4106">
        <f>IF(SUM(Table10s2!L10,IFERROR(Table10s3!L10*28,0),IFERROR(Table10s4!L10*265,0))=0,"NO",SUM(Table10s2!L10,IFERROR(Table10s3!L10*28,0),IFERROR(Table10s4!L10*265,0)))</f>
        <v>339796.00820204499</v>
      </c>
      <c r="M11" s="4106">
        <f>IF(SUM(Table10s2!M10,IFERROR(Table10s3!M10*28,0),IFERROR(Table10s4!M10*265,0))=0,"NO",SUM(Table10s2!M10,IFERROR(Table10s3!M10*28,0),IFERROR(Table10s4!M10*265,0)))</f>
        <v>354023.82820392767</v>
      </c>
      <c r="N11" s="4106">
        <f>IF(SUM(Table10s2!N10,IFERROR(Table10s3!N10*28,0),IFERROR(Table10s4!N10*265,0))=0,"NO",SUM(Table10s2!N10,IFERROR(Table10s3!N10*28,0),IFERROR(Table10s4!N10*265,0)))</f>
        <v>359428.18332513544</v>
      </c>
      <c r="O11" s="4106">
        <f>IF(SUM(Table10s2!O10,IFERROR(Table10s3!O10*28,0),IFERROR(Table10s4!O10*265,0))=0,"NO",SUM(Table10s2!O10,IFERROR(Table10s3!O10*28,0),IFERROR(Table10s4!O10*265,0)))</f>
        <v>368518.13145896938</v>
      </c>
      <c r="P11" s="4106">
        <f>IF(SUM(Table10s2!P10,IFERROR(Table10s3!P10*28,0),IFERROR(Table10s4!P10*265,0))=0,"NO",SUM(Table10s2!P10,IFERROR(Table10s3!P10*28,0),IFERROR(Table10s4!P10*265,0)))</f>
        <v>376334.48124279862</v>
      </c>
      <c r="Q11" s="4106">
        <f>IF(SUM(Table10s2!Q10,IFERROR(Table10s3!Q10*28,0),IFERROR(Table10s4!Q10*265,0))=0,"NO",SUM(Table10s2!Q10,IFERROR(Table10s3!Q10*28,0),IFERROR(Table10s4!Q10*265,0)))</f>
        <v>379727.56167761178</v>
      </c>
      <c r="R11" s="4106">
        <f>IF(SUM(Table10s2!R10,IFERROR(Table10s3!R10*28,0),IFERROR(Table10s4!R10*265,0))=0,"NO",SUM(Table10s2!R10,IFERROR(Table10s3!R10*28,0),IFERROR(Table10s4!R10*265,0)))</f>
        <v>384332.89209996519</v>
      </c>
      <c r="S11" s="4106">
        <f>IF(SUM(Table10s2!S10,IFERROR(Table10s3!S10*28,0),IFERROR(Table10s4!S10*265,0))=0,"NO",SUM(Table10s2!S10,IFERROR(Table10s3!S10*28,0),IFERROR(Table10s4!S10*265,0)))</f>
        <v>397139.54544127628</v>
      </c>
      <c r="T11" s="4106">
        <f>IF(SUM(Table10s2!T10,IFERROR(Table10s3!T10*28,0),IFERROR(Table10s4!T10*265,0))=0,"NO",SUM(Table10s2!T10,IFERROR(Table10s3!T10*28,0),IFERROR(Table10s4!T10*265,0)))</f>
        <v>403717.82358425739</v>
      </c>
      <c r="U11" s="4106">
        <f>IF(SUM(Table10s2!U10,IFERROR(Table10s3!U10*28,0),IFERROR(Table10s4!U10*265,0))=0,"NO",SUM(Table10s2!U10,IFERROR(Table10s3!U10*28,0),IFERROR(Table10s4!U10*265,0)))</f>
        <v>409561.84812993795</v>
      </c>
      <c r="V11" s="4106">
        <f>IF(SUM(Table10s2!V10,IFERROR(Table10s3!V10*28,0),IFERROR(Table10s4!V10*265,0))=0,"NO",SUM(Table10s2!V10,IFERROR(Table10s3!V10*28,0),IFERROR(Table10s4!V10*265,0)))</f>
        <v>417857.83771282528</v>
      </c>
      <c r="W11" s="4106">
        <f>IF(SUM(Table10s2!W10,IFERROR(Table10s3!W10*28,0),IFERROR(Table10s4!W10*265,0))=0,"NO",SUM(Table10s2!W10,IFERROR(Table10s3!W10*28,0),IFERROR(Table10s4!W10*265,0)))</f>
        <v>423251.84926923795</v>
      </c>
      <c r="X11" s="4106">
        <f>IF(SUM(Table10s2!X10,IFERROR(Table10s3!X10*28,0),IFERROR(Table10s4!X10*265,0))=0,"NO",SUM(Table10s2!X10,IFERROR(Table10s3!X10*28,0),IFERROR(Table10s4!X10*265,0)))</f>
        <v>427435.98613503762</v>
      </c>
      <c r="Y11" s="4106">
        <f>IF(SUM(Table10s2!Y10,IFERROR(Table10s3!Y10*28,0),IFERROR(Table10s4!Y10*265,0))=0,"NO",SUM(Table10s2!Y10,IFERROR(Table10s3!Y10*28,0),IFERROR(Table10s4!Y10*265,0)))</f>
        <v>422372.52107639011</v>
      </c>
      <c r="Z11" s="4106">
        <f>IF(SUM(Table10s2!Z10,IFERROR(Table10s3!Z10*28,0),IFERROR(Table10s4!Z10*265,0))=0,"NO",SUM(Table10s2!Z10,IFERROR(Table10s3!Z10*28,0),IFERROR(Table10s4!Z10*265,0)))</f>
        <v>419069.4326938836</v>
      </c>
      <c r="AA11" s="4106">
        <f>IF(SUM(Table10s2!AA10,IFERROR(Table10s3!AA10*28,0),IFERROR(Table10s4!AA10*265,0))=0,"NO",SUM(Table10s2!AA10,IFERROR(Table10s3!AA10*28,0),IFERROR(Table10s4!AA10*265,0)))</f>
        <v>424517.21582085174</v>
      </c>
      <c r="AB11" s="4106">
        <f>IF(SUM(Table10s2!AB10,IFERROR(Table10s3!AB10*28,0),IFERROR(Table10s4!AB10*265,0))=0,"NO",SUM(Table10s2!AB10,IFERROR(Table10s3!AB10*28,0),IFERROR(Table10s4!AB10*265,0)))</f>
        <v>419160.22772434587</v>
      </c>
      <c r="AC11" s="4106">
        <f>IF(SUM(Table10s2!AC10,IFERROR(Table10s3!AC10*28,0),IFERROR(Table10s4!AC10*265,0))=0,"NO",SUM(Table10s2!AC10,IFERROR(Table10s3!AC10*28,0),IFERROR(Table10s4!AC10*265,0)))</f>
        <v>410522.39181191049</v>
      </c>
      <c r="AD11" s="4106">
        <f>IF(SUM(Table10s2!AD10,IFERROR(Table10s3!AD10*28,0),IFERROR(Table10s4!AD10*265,0))=0,"NO",SUM(Table10s2!AD10,IFERROR(Table10s3!AD10*28,0),IFERROR(Table10s4!AD10*265,0)))</f>
        <v>422486.82542239275</v>
      </c>
      <c r="AE11" s="4106">
        <f>IF(SUM(Table10s2!AE10,IFERROR(Table10s3!AE10*28,0),IFERROR(Table10s4!AE10*265,0))=0,"NO",SUM(Table10s2!AE10,IFERROR(Table10s3!AE10*28,0),IFERROR(Table10s4!AE10*265,0)))</f>
        <v>431285.79770136788</v>
      </c>
      <c r="AF11" s="4106">
        <f>IF(SUM(Table10s2!AF10,IFERROR(Table10s3!AF10*28,0),IFERROR(Table10s4!AF10*265,0))=0,"NO",SUM(Table10s2!AF10,IFERROR(Table10s3!AF10*28,0),IFERROR(Table10s4!AF10*265,0)))</f>
        <v>433662.29671239085</v>
      </c>
      <c r="AG11" s="4106">
        <f>IF(SUM(Table10s2!AG10,IFERROR(Table10s3!AG10*28,0),IFERROR(Table10s4!AG10*265,0))=0,"NO",SUM(Table10s2!AG10,IFERROR(Table10s3!AG10*28,0),IFERROR(Table10s4!AG10*265,0)))</f>
        <v>436164.90668733284</v>
      </c>
      <c r="AH11" s="4106">
        <f>IF(SUM(Table10s2!AH10,IFERROR(Table10s3!AH10*28,0),IFERROR(Table10s4!AH10*265,0))=0,"NO",SUM(Table10s2!AH10,IFERROR(Table10s3!AH10*28,0),IFERROR(Table10s4!AH10*265,0)))</f>
        <v>434682.80304580665</v>
      </c>
      <c r="AI11" s="4106">
        <f>IF(SUM(Table10s2!AI10,IFERROR(Table10s3!AI10*28,0),IFERROR(Table10s4!AI10*265,0))=0,"NO",SUM(Table10s2!AI10,IFERROR(Table10s3!AI10*28,0),IFERROR(Table10s4!AI10*265,0)))</f>
        <v>418774.77097734378</v>
      </c>
      <c r="AJ11" s="4106">
        <f>IF(SUM(Table10s2!AJ10,IFERROR(Table10s3!AJ10*28,0),IFERROR(Table10s4!AJ10*265,0))=0,"NO",SUM(Table10s2!AJ10,IFERROR(Table10s3!AJ10*28,0),IFERROR(Table10s4!AJ10*265,0)))</f>
        <v>404330.74971313711</v>
      </c>
      <c r="AK11" s="4106">
        <f>IF(SUM(Table10s2!AK10,IFERROR(Table10s3!AK10*28,0),IFERROR(Table10s4!AK10*265,0))=0,"NO",SUM(Table10s2!AK10,IFERROR(Table10s3!AK10*28,0),IFERROR(Table10s4!AK10*265,0)))</f>
        <v>396712.17113559373</v>
      </c>
      <c r="AL11" s="4080">
        <f>IF(AK11="NO",IF(E11="NO","NA",-100),IF(E11="NO",100,AK11/E11*100-100))</f>
        <v>33.400010214946974</v>
      </c>
    </row>
    <row r="12" spans="1:38" ht="18" customHeight="1" x14ac:dyDescent="0.2">
      <c r="B12" s="1369" t="s">
        <v>1922</v>
      </c>
      <c r="C12" s="2027"/>
      <c r="D12" s="2027"/>
      <c r="E12" s="4089">
        <f>IF(SUM(Table10s2!E11,IFERROR(Table10s3!E11*28,0),IFERROR(Table10s4!E11*265,0))=0,"NO",SUM(Table10s2!E11,IFERROR(Table10s3!E11*28,0),IFERROR(Table10s4!E11*265,0)))</f>
        <v>257073.94762294178</v>
      </c>
      <c r="F12" s="4089">
        <f>IF(SUM(Table10s2!F11,IFERROR(Table10s3!F11*28,0),IFERROR(Table10s4!F11*265,0))=0,"NO",SUM(Table10s2!F11,IFERROR(Table10s3!F11*28,0),IFERROR(Table10s4!F11*265,0)))</f>
        <v>259430.54036401355</v>
      </c>
      <c r="G12" s="4101">
        <f>IF(SUM(Table10s2!G11,IFERROR(Table10s3!G11*28,0),IFERROR(Table10s4!G11*265,0))=0,"NO",SUM(Table10s2!G11,IFERROR(Table10s3!G11*28,0),IFERROR(Table10s4!G11*265,0)))</f>
        <v>263819.61978165712</v>
      </c>
      <c r="H12" s="4101">
        <f>IF(SUM(Table10s2!H11,IFERROR(Table10s3!H11*28,0),IFERROR(Table10s4!H11*265,0))=0,"NO",SUM(Table10s2!H11,IFERROR(Table10s3!H11*28,0),IFERROR(Table10s4!H11*265,0)))</f>
        <v>268207.52099519916</v>
      </c>
      <c r="I12" s="4101">
        <f>IF(SUM(Table10s2!I11,IFERROR(Table10s3!I11*28,0),IFERROR(Table10s4!I11*265,0))=0,"NO",SUM(Table10s2!I11,IFERROR(Table10s3!I11*28,0),IFERROR(Table10s4!I11*265,0)))</f>
        <v>271256.44739407458</v>
      </c>
      <c r="J12" s="4101">
        <f>IF(SUM(Table10s2!J11,IFERROR(Table10s3!J11*28,0),IFERROR(Table10s4!J11*265,0))=0,"NO",SUM(Table10s2!J11,IFERROR(Table10s3!J11*28,0),IFERROR(Table10s4!J11*265,0)))</f>
        <v>282109.56467485602</v>
      </c>
      <c r="K12" s="4101">
        <f>IF(SUM(Table10s2!K11,IFERROR(Table10s3!K11*28,0),IFERROR(Table10s4!K11*265,0))=0,"NO",SUM(Table10s2!K11,IFERROR(Table10s3!K11*28,0),IFERROR(Table10s4!K11*265,0)))</f>
        <v>289023.25876119669</v>
      </c>
      <c r="L12" s="4101">
        <f>IF(SUM(Table10s2!L11,IFERROR(Table10s3!L11*28,0),IFERROR(Table10s4!L11*265,0))=0,"NO",SUM(Table10s2!L11,IFERROR(Table10s3!L11*28,0),IFERROR(Table10s4!L11*265,0)))</f>
        <v>297306.7838306253</v>
      </c>
      <c r="M12" s="4101">
        <f>IF(SUM(Table10s2!M11,IFERROR(Table10s3!M11*28,0),IFERROR(Table10s4!M11*265,0))=0,"NO",SUM(Table10s2!M11,IFERROR(Table10s3!M11*28,0),IFERROR(Table10s4!M11*265,0)))</f>
        <v>310290.26913152327</v>
      </c>
      <c r="N12" s="4101">
        <f>IF(SUM(Table10s2!N11,IFERROR(Table10s3!N11*28,0),IFERROR(Table10s4!N11*265,0))=0,"NO",SUM(Table10s2!N11,IFERROR(Table10s3!N11*28,0),IFERROR(Table10s4!N11*265,0)))</f>
        <v>318875.60345889546</v>
      </c>
      <c r="O12" s="4101">
        <f>IF(SUM(Table10s2!O11,IFERROR(Table10s3!O11*28,0),IFERROR(Table10s4!O11*265,0))=0,"NO",SUM(Table10s2!O11,IFERROR(Table10s3!O11*28,0),IFERROR(Table10s4!O11*265,0)))</f>
        <v>324506.15476947045</v>
      </c>
      <c r="P12" s="4101">
        <f>IF(SUM(Table10s2!P11,IFERROR(Table10s3!P11*28,0),IFERROR(Table10s4!P11*265,0))=0,"NO",SUM(Table10s2!P11,IFERROR(Table10s3!P11*28,0),IFERROR(Table10s4!P11*265,0)))</f>
        <v>332329.6892290751</v>
      </c>
      <c r="Q12" s="4101">
        <f>IF(SUM(Table10s2!Q11,IFERROR(Table10s3!Q11*28,0),IFERROR(Table10s4!Q11*265,0))=0,"NO",SUM(Table10s2!Q11,IFERROR(Table10s3!Q11*28,0),IFERROR(Table10s4!Q11*265,0)))</f>
        <v>337011.32387877983</v>
      </c>
      <c r="R12" s="4101">
        <f>IF(SUM(Table10s2!R11,IFERROR(Table10s3!R11*28,0),IFERROR(Table10s4!R11*265,0))=0,"NO",SUM(Table10s2!R11,IFERROR(Table10s3!R11*28,0),IFERROR(Table10s4!R11*265,0)))</f>
        <v>343364.76013068849</v>
      </c>
      <c r="S12" s="4101">
        <f>IF(SUM(Table10s2!S11,IFERROR(Table10s3!S11*28,0),IFERROR(Table10s4!S11*265,0))=0,"NO",SUM(Table10s2!S11,IFERROR(Table10s3!S11*28,0),IFERROR(Table10s4!S11*265,0)))</f>
        <v>356334.97913318482</v>
      </c>
      <c r="T12" s="4101">
        <f>IF(SUM(Table10s2!T11,IFERROR(Table10s3!T11*28,0),IFERROR(Table10s4!T11*265,0))=0,"NO",SUM(Table10s2!T11,IFERROR(Table10s3!T11*28,0),IFERROR(Table10s4!T11*265,0)))</f>
        <v>360926.41303936741</v>
      </c>
      <c r="U12" s="4101">
        <f>IF(SUM(Table10s2!U11,IFERROR(Table10s3!U11*28,0),IFERROR(Table10s4!U11*265,0))=0,"NO",SUM(Table10s2!U11,IFERROR(Table10s3!U11*28,0),IFERROR(Table10s4!U11*265,0)))</f>
        <v>365918.79475891311</v>
      </c>
      <c r="V12" s="4101">
        <f>IF(SUM(Table10s2!V11,IFERROR(Table10s3!V11*28,0),IFERROR(Table10s4!V11*265,0))=0,"NO",SUM(Table10s2!V11,IFERROR(Table10s3!V11*28,0),IFERROR(Table10s4!V11*265,0)))</f>
        <v>371086.93679741962</v>
      </c>
      <c r="W12" s="4101">
        <f>IF(SUM(Table10s2!W11,IFERROR(Table10s3!W11*28,0),IFERROR(Table10s4!W11*265,0))=0,"NO",SUM(Table10s2!W11,IFERROR(Table10s3!W11*28,0),IFERROR(Table10s4!W11*265,0)))</f>
        <v>377181.64729751338</v>
      </c>
      <c r="X12" s="4101">
        <f>IF(SUM(Table10s2!X11,IFERROR(Table10s3!X11*28,0),IFERROR(Table10s4!X11*265,0))=0,"NO",SUM(Table10s2!X11,IFERROR(Table10s3!X11*28,0),IFERROR(Table10s4!X11*265,0)))</f>
        <v>381687.17431733228</v>
      </c>
      <c r="Y12" s="4101">
        <f>IF(SUM(Table10s2!Y11,IFERROR(Table10s3!Y11*28,0),IFERROR(Table10s4!Y11*265,0))=0,"NO",SUM(Table10s2!Y11,IFERROR(Table10s3!Y11*28,0),IFERROR(Table10s4!Y11*265,0)))</f>
        <v>376863.54534818884</v>
      </c>
      <c r="Z12" s="4101">
        <f>IF(SUM(Table10s2!Z11,IFERROR(Table10s3!Z11*28,0),IFERROR(Table10s4!Z11*265,0))=0,"NO",SUM(Table10s2!Z11,IFERROR(Table10s3!Z11*28,0),IFERROR(Table10s4!Z11*265,0)))</f>
        <v>375109.03432610881</v>
      </c>
      <c r="AA12" s="4101">
        <f>IF(SUM(Table10s2!AA11,IFERROR(Table10s3!AA11*28,0),IFERROR(Table10s4!AA11*265,0))=0,"NO",SUM(Table10s2!AA11,IFERROR(Table10s3!AA11*28,0),IFERROR(Table10s4!AA11*265,0)))</f>
        <v>379830.39488125272</v>
      </c>
      <c r="AB12" s="4101">
        <f>IF(SUM(Table10s2!AB11,IFERROR(Table10s3!AB11*28,0),IFERROR(Table10s4!AB11*265,0))=0,"NO",SUM(Table10s2!AB11,IFERROR(Table10s3!AB11*28,0),IFERROR(Table10s4!AB11*265,0)))</f>
        <v>373734.24114236981</v>
      </c>
      <c r="AC12" s="4101">
        <f>IF(SUM(Table10s2!AC11,IFERROR(Table10s3!AC11*28,0),IFERROR(Table10s4!AC11*265,0))=0,"NO",SUM(Table10s2!AC11,IFERROR(Table10s3!AC11*28,0),IFERROR(Table10s4!AC11*265,0)))</f>
        <v>367136.14331121271</v>
      </c>
      <c r="AD12" s="4101">
        <f>IF(SUM(Table10s2!AD11,IFERROR(Table10s3!AD11*28,0),IFERROR(Table10s4!AD11*265,0))=0,"NO",SUM(Table10s2!AD11,IFERROR(Table10s3!AD11*28,0),IFERROR(Table10s4!AD11*265,0)))</f>
        <v>373924.16180033458</v>
      </c>
      <c r="AE12" s="4101">
        <f>IF(SUM(Table10s2!AE11,IFERROR(Table10s3!AE11*28,0),IFERROR(Table10s4!AE11*265,0))=0,"NO",SUM(Table10s2!AE11,IFERROR(Table10s3!AE11*28,0),IFERROR(Table10s4!AE11*265,0)))</f>
        <v>381437.97050856944</v>
      </c>
      <c r="AF12" s="4101">
        <f>IF(SUM(Table10s2!AF11,IFERROR(Table10s3!AF11*28,0),IFERROR(Table10s4!AF11*265,0))=0,"NO",SUM(Table10s2!AF11,IFERROR(Table10s3!AF11*28,0),IFERROR(Table10s4!AF11*265,0)))</f>
        <v>381834.190746131</v>
      </c>
      <c r="AG12" s="4101">
        <f>IF(SUM(Table10s2!AG11,IFERROR(Table10s3!AG11*28,0),IFERROR(Table10s4!AG11*265,0))=0,"NO",SUM(Table10s2!AG11,IFERROR(Table10s3!AG11*28,0),IFERROR(Table10s4!AG11*265,0)))</f>
        <v>381286.02493458131</v>
      </c>
      <c r="AH12" s="4101">
        <f>IF(SUM(Table10s2!AH11,IFERROR(Table10s3!AH11*28,0),IFERROR(Table10s4!AH11*265,0))=0,"NO",SUM(Table10s2!AH11,IFERROR(Table10s3!AH11*28,0),IFERROR(Table10s4!AH11*265,0)))</f>
        <v>378464.65998223884</v>
      </c>
      <c r="AI12" s="4101">
        <f>IF(SUM(Table10s2!AI11,IFERROR(Table10s3!AI11*28,0),IFERROR(Table10s4!AI11*265,0))=0,"NO",SUM(Table10s2!AI11,IFERROR(Table10s3!AI11*28,0),IFERROR(Table10s4!AI11*265,0)))</f>
        <v>364900.04655652773</v>
      </c>
      <c r="AJ12" s="4101">
        <f>IF(SUM(Table10s2!AJ11,IFERROR(Table10s3!AJ11*28,0),IFERROR(Table10s4!AJ11*265,0))=0,"NO",SUM(Table10s2!AJ11,IFERROR(Table10s3!AJ11*28,0),IFERROR(Table10s4!AJ11*265,0)))</f>
        <v>355695.6210459047</v>
      </c>
      <c r="AK12" s="4101">
        <f>IF(SUM(Table10s2!AK11,IFERROR(Table10s3!AK11*28,0),IFERROR(Table10s4!AK11*265,0))=0,"NO",SUM(Table10s2!AK11,IFERROR(Table10s3!AK11*28,0),IFERROR(Table10s4!AK11*265,0)))</f>
        <v>348636.16408304597</v>
      </c>
      <c r="AL12" s="4080">
        <f>IF(AK12="NO",IF(E12="NO","NA",-100),IF(E12="NO",100,AK12/E12*100-100))</f>
        <v>35.617073338913855</v>
      </c>
    </row>
    <row r="13" spans="1:38" ht="18" customHeight="1" x14ac:dyDescent="0.2">
      <c r="B13" s="1370" t="s">
        <v>1923</v>
      </c>
      <c r="C13" s="2027"/>
      <c r="D13" s="2027"/>
      <c r="E13" s="4089">
        <f>IF(SUM(Table10s2!E12,IFERROR(Table10s3!E12*28,0),IFERROR(Table10s4!E12*265,0))=0,"NO",SUM(Table10s2!E12,IFERROR(Table10s3!E12*28,0),IFERROR(Table10s4!E12*265,0)))</f>
        <v>143172.75603980527</v>
      </c>
      <c r="F13" s="4089">
        <f>IF(SUM(Table10s2!F12,IFERROR(Table10s3!F12*28,0),IFERROR(Table10s4!F12*265,0))=0,"NO",SUM(Table10s2!F12,IFERROR(Table10s3!F12*28,0),IFERROR(Table10s4!F12*265,0)))</f>
        <v>146396.54844884243</v>
      </c>
      <c r="G13" s="4101">
        <f>IF(SUM(Table10s2!G12,IFERROR(Table10s3!G12*28,0),IFERROR(Table10s4!G12*265,0))=0,"NO",SUM(Table10s2!G12,IFERROR(Table10s3!G12*28,0),IFERROR(Table10s4!G12*265,0)))</f>
        <v>149719.79570477089</v>
      </c>
      <c r="H13" s="4101">
        <f>IF(SUM(Table10s2!H12,IFERROR(Table10s3!H12*28,0),IFERROR(Table10s4!H12*265,0))=0,"NO",SUM(Table10s2!H12,IFERROR(Table10s3!H12*28,0),IFERROR(Table10s4!H12*265,0)))</f>
        <v>151492.71924897438</v>
      </c>
      <c r="I13" s="4101">
        <f>IF(SUM(Table10s2!I12,IFERROR(Table10s3!I12*28,0),IFERROR(Table10s4!I12*265,0))=0,"NO",SUM(Table10s2!I12,IFERROR(Table10s3!I12*28,0),IFERROR(Table10s4!I12*265,0)))</f>
        <v>152307.64364588994</v>
      </c>
      <c r="J13" s="4101">
        <f>IF(SUM(Table10s2!J12,IFERROR(Table10s3!J12*28,0),IFERROR(Table10s4!J12*265,0))=0,"NO",SUM(Table10s2!J12,IFERROR(Table10s3!J12*28,0),IFERROR(Table10s4!J12*265,0)))</f>
        <v>158140.19787730492</v>
      </c>
      <c r="K13" s="4101">
        <f>IF(SUM(Table10s2!K12,IFERROR(Table10s3!K12*28,0),IFERROR(Table10s4!K12*265,0))=0,"NO",SUM(Table10s2!K12,IFERROR(Table10s3!K12*28,0),IFERROR(Table10s4!K12*265,0)))</f>
        <v>162742.63785059121</v>
      </c>
      <c r="L13" s="4101">
        <f>IF(SUM(Table10s2!L12,IFERROR(Table10s3!L12*28,0),IFERROR(Table10s4!L12*265,0))=0,"NO",SUM(Table10s2!L12,IFERROR(Table10s3!L12*28,0),IFERROR(Table10s4!L12*265,0)))</f>
        <v>169413.36662108076</v>
      </c>
      <c r="M13" s="4101">
        <f>IF(SUM(Table10s2!M12,IFERROR(Table10s3!M12*28,0),IFERROR(Table10s4!M12*265,0))=0,"NO",SUM(Table10s2!M12,IFERROR(Table10s3!M12*28,0),IFERROR(Table10s4!M12*265,0)))</f>
        <v>182065.81816517629</v>
      </c>
      <c r="N13" s="4101">
        <f>IF(SUM(Table10s2!N12,IFERROR(Table10s3!N12*28,0),IFERROR(Table10s4!N12*265,0))=0,"NO",SUM(Table10s2!N12,IFERROR(Table10s3!N12*28,0),IFERROR(Table10s4!N12*265,0)))</f>
        <v>189654.79996283131</v>
      </c>
      <c r="O13" s="4101">
        <f>IF(SUM(Table10s2!O12,IFERROR(Table10s3!O12*28,0),IFERROR(Table10s4!O12*265,0))=0,"NO",SUM(Table10s2!O12,IFERROR(Table10s3!O12*28,0),IFERROR(Table10s4!O12*265,0)))</f>
        <v>192519.66293892195</v>
      </c>
      <c r="P13" s="4101">
        <f>IF(SUM(Table10s2!P12,IFERROR(Table10s3!P12*28,0),IFERROR(Table10s4!P12*265,0))=0,"NO",SUM(Table10s2!P12,IFERROR(Table10s3!P12*28,0),IFERROR(Table10s4!P12*265,0)))</f>
        <v>200056.94444647554</v>
      </c>
      <c r="Q13" s="4101">
        <f>IF(SUM(Table10s2!Q12,IFERROR(Table10s3!Q12*28,0),IFERROR(Table10s4!Q12*265,0))=0,"NO",SUM(Table10s2!Q12,IFERROR(Table10s3!Q12*28,0),IFERROR(Table10s4!Q12*265,0)))</f>
        <v>202550.8446446317</v>
      </c>
      <c r="R13" s="4101">
        <f>IF(SUM(Table10s2!R12,IFERROR(Table10s3!R12*28,0),IFERROR(Table10s4!R12*265,0))=0,"NO",SUM(Table10s2!R12,IFERROR(Table10s3!R12*28,0),IFERROR(Table10s4!R12*265,0)))</f>
        <v>205464.41011499631</v>
      </c>
      <c r="S13" s="4101">
        <f>IF(SUM(Table10s2!S12,IFERROR(Table10s3!S12*28,0),IFERROR(Table10s4!S12*265,0))=0,"NO",SUM(Table10s2!S12,IFERROR(Table10s3!S12*28,0),IFERROR(Table10s4!S12*265,0)))</f>
        <v>214502.98743541291</v>
      </c>
      <c r="T13" s="4101">
        <f>IF(SUM(Table10s2!T12,IFERROR(Table10s3!T12*28,0),IFERROR(Table10s4!T12*265,0))=0,"NO",SUM(Table10s2!T12,IFERROR(Table10s3!T12*28,0),IFERROR(Table10s4!T12*265,0)))</f>
        <v>216528.07021715021</v>
      </c>
      <c r="U13" s="4101">
        <f>IF(SUM(Table10s2!U12,IFERROR(Table10s3!U12*28,0),IFERROR(Table10s4!U12*265,0))=0,"NO",SUM(Table10s2!U12,IFERROR(Table10s3!U12*28,0),IFERROR(Table10s4!U12*265,0)))</f>
        <v>221026.74060505195</v>
      </c>
      <c r="V13" s="4101">
        <f>IF(SUM(Table10s2!V12,IFERROR(Table10s3!V12*28,0),IFERROR(Table10s4!V12*265,0))=0,"NO",SUM(Table10s2!V12,IFERROR(Table10s3!V12*28,0),IFERROR(Table10s4!V12*265,0)))</f>
        <v>224087.95520990263</v>
      </c>
      <c r="W13" s="4101">
        <f>IF(SUM(Table10s2!W12,IFERROR(Table10s3!W12*28,0),IFERROR(Table10s4!W12*265,0))=0,"NO",SUM(Table10s2!W12,IFERROR(Table10s3!W12*28,0),IFERROR(Table10s4!W12*265,0)))</f>
        <v>225886.85021541014</v>
      </c>
      <c r="X13" s="4101">
        <f>IF(SUM(Table10s2!X12,IFERROR(Table10s3!X12*28,0),IFERROR(Table10s4!X12*265,0))=0,"NO",SUM(Table10s2!X12,IFERROR(Table10s3!X12*28,0),IFERROR(Table10s4!X12*265,0)))</f>
        <v>232466.03180553304</v>
      </c>
      <c r="Y13" s="4101">
        <f>IF(SUM(Table10s2!Y12,IFERROR(Table10s3!Y12*28,0),IFERROR(Table10s4!Y12*265,0))=0,"NO",SUM(Table10s2!Y12,IFERROR(Table10s3!Y12*28,0),IFERROR(Table10s4!Y12*265,0)))</f>
        <v>226604.43910490273</v>
      </c>
      <c r="Z13" s="4101">
        <f>IF(SUM(Table10s2!Z12,IFERROR(Table10s3!Z12*28,0),IFERROR(Table10s4!Z12*265,0))=0,"NO",SUM(Table10s2!Z12,IFERROR(Table10s3!Z12*28,0),IFERROR(Table10s4!Z12*265,0)))</f>
        <v>220628.37552733684</v>
      </c>
      <c r="AA13" s="4101">
        <f>IF(SUM(Table10s2!AA12,IFERROR(Table10s3!AA12*28,0),IFERROR(Table10s4!AA12*265,0))=0,"NO",SUM(Table10s2!AA12,IFERROR(Table10s3!AA12*28,0),IFERROR(Table10s4!AA12*265,0)))</f>
        <v>222400.78573856526</v>
      </c>
      <c r="AB13" s="4101">
        <f>IF(SUM(Table10s2!AB12,IFERROR(Table10s3!AB12*28,0),IFERROR(Table10s4!AB12*265,0))=0,"NO",SUM(Table10s2!AB12,IFERROR(Table10s3!AB12*28,0),IFERROR(Table10s4!AB12*265,0)))</f>
        <v>211400.09203141992</v>
      </c>
      <c r="AC13" s="4101">
        <f>IF(SUM(Table10s2!AC12,IFERROR(Table10s3!AC12*28,0),IFERROR(Table10s4!AC12*265,0))=0,"NO",SUM(Table10s2!AC12,IFERROR(Table10s3!AC12*28,0),IFERROR(Table10s4!AC12*265,0)))</f>
        <v>205423.34718088512</v>
      </c>
      <c r="AD13" s="4101">
        <f>IF(SUM(Table10s2!AD12,IFERROR(Table10s3!AD12*28,0),IFERROR(Table10s4!AD12*265,0))=0,"NO",SUM(Table10s2!AD12,IFERROR(Table10s3!AD12*28,0),IFERROR(Table10s4!AD12*265,0)))</f>
        <v>212201.66293030101</v>
      </c>
      <c r="AE13" s="4101">
        <f>IF(SUM(Table10s2!AE12,IFERROR(Table10s3!AE12*28,0),IFERROR(Table10s4!AE12*265,0))=0,"NO",SUM(Table10s2!AE12,IFERROR(Table10s3!AE12*28,0),IFERROR(Table10s4!AE12*265,0)))</f>
        <v>219584.78653946545</v>
      </c>
      <c r="AF13" s="4101">
        <f>IF(SUM(Table10s2!AF12,IFERROR(Table10s3!AF12*28,0),IFERROR(Table10s4!AF12*265,0))=0,"NO",SUM(Table10s2!AF12,IFERROR(Table10s3!AF12*28,0),IFERROR(Table10s4!AF12*265,0)))</f>
        <v>218445.50621451525</v>
      </c>
      <c r="AG13" s="4101">
        <f>IF(SUM(Table10s2!AG12,IFERROR(Table10s3!AG12*28,0),IFERROR(Table10s4!AG12*265,0))=0,"NO",SUM(Table10s2!AG12,IFERROR(Table10s3!AG12*28,0),IFERROR(Table10s4!AG12*265,0)))</f>
        <v>214642.06838238394</v>
      </c>
      <c r="AH13" s="4101">
        <f>IF(SUM(Table10s2!AH12,IFERROR(Table10s3!AH12*28,0),IFERROR(Table10s4!AH12*265,0))=0,"NO",SUM(Table10s2!AH12,IFERROR(Table10s3!AH12*28,0),IFERROR(Table10s4!AH12*265,0)))</f>
        <v>213713.88358591803</v>
      </c>
      <c r="AI13" s="4101">
        <f>IF(SUM(Table10s2!AI12,IFERROR(Table10s3!AI12*28,0),IFERROR(Table10s4!AI12*265,0))=0,"NO",SUM(Table10s2!AI12,IFERROR(Table10s3!AI12*28,0),IFERROR(Table10s4!AI12*265,0)))</f>
        <v>207669.10045265258</v>
      </c>
      <c r="AJ13" s="4101">
        <f>IF(SUM(Table10s2!AJ12,IFERROR(Table10s3!AJ12*28,0),IFERROR(Table10s4!AJ12*265,0))=0,"NO",SUM(Table10s2!AJ12,IFERROR(Table10s3!AJ12*28,0),IFERROR(Table10s4!AJ12*265,0)))</f>
        <v>197853.95892835819</v>
      </c>
      <c r="AK13" s="4101">
        <f>IF(SUM(Table10s2!AK12,IFERROR(Table10s3!AK12*28,0),IFERROR(Table10s4!AK12*265,0))=0,"NO",SUM(Table10s2!AK12,IFERROR(Table10s3!AK12*28,0),IFERROR(Table10s4!AK12*265,0)))</f>
        <v>191235.92136827737</v>
      </c>
      <c r="AL13" s="4080">
        <f t="shared" ref="AL13:AL21" si="1">IF(AK13="NO",IF(E13="NO","NA",-100),IF(E13="NO",100,AK13/E13*100-100))</f>
        <v>33.57004967838256</v>
      </c>
    </row>
    <row r="14" spans="1:38" ht="18" customHeight="1" x14ac:dyDescent="0.2">
      <c r="B14" s="1370" t="s">
        <v>2379</v>
      </c>
      <c r="C14" s="2027"/>
      <c r="D14" s="2027"/>
      <c r="E14" s="4089">
        <f>IF(SUM(Table10s2!E13,IFERROR(Table10s3!E13*28,0),IFERROR(Table10s4!E13*265,0))=0,"NO",SUM(Table10s2!E13,IFERROR(Table10s3!E13*28,0),IFERROR(Table10s4!E13*265,0)))</f>
        <v>36224.92193319268</v>
      </c>
      <c r="F14" s="4089">
        <f>IF(SUM(Table10s2!F13,IFERROR(Table10s3!F13*28,0),IFERROR(Table10s4!F13*265,0))=0,"NO",SUM(Table10s2!F13,IFERROR(Table10s3!F13*28,0),IFERROR(Table10s4!F13*265,0)))</f>
        <v>35760.896738639582</v>
      </c>
      <c r="G14" s="4101">
        <f>IF(SUM(Table10s2!G13,IFERROR(Table10s3!G13*28,0),IFERROR(Table10s4!G13*265,0))=0,"NO",SUM(Table10s2!G13,IFERROR(Table10s3!G13*28,0),IFERROR(Table10s4!G13*265,0)))</f>
        <v>35315.918913546557</v>
      </c>
      <c r="H14" s="4101">
        <f>IF(SUM(Table10s2!H13,IFERROR(Table10s3!H13*28,0),IFERROR(Table10s4!H13*265,0))=0,"NO",SUM(Table10s2!H13,IFERROR(Table10s3!H13*28,0),IFERROR(Table10s4!H13*265,0)))</f>
        <v>35896.359111812453</v>
      </c>
      <c r="I14" s="4101">
        <f>IF(SUM(Table10s2!I13,IFERROR(Table10s3!I13*28,0),IFERROR(Table10s4!I13*265,0))=0,"NO",SUM(Table10s2!I13,IFERROR(Table10s3!I13*28,0),IFERROR(Table10s4!I13*265,0)))</f>
        <v>36686.267482880052</v>
      </c>
      <c r="J14" s="4101">
        <f>IF(SUM(Table10s2!J13,IFERROR(Table10s3!J13*28,0),IFERROR(Table10s4!J13*265,0))=0,"NO",SUM(Table10s2!J13,IFERROR(Table10s3!J13*28,0),IFERROR(Table10s4!J13*265,0)))</f>
        <v>37628.853596319263</v>
      </c>
      <c r="K14" s="4101">
        <f>IF(SUM(Table10s2!K13,IFERROR(Table10s3!K13*28,0),IFERROR(Table10s4!K13*265,0))=0,"NO",SUM(Table10s2!K13,IFERROR(Table10s3!K13*28,0),IFERROR(Table10s4!K13*265,0)))</f>
        <v>37660.477479184941</v>
      </c>
      <c r="L14" s="4101">
        <f>IF(SUM(Table10s2!L13,IFERROR(Table10s3!L13*28,0),IFERROR(Table10s4!L13*265,0))=0,"NO",SUM(Table10s2!L13,IFERROR(Table10s3!L13*28,0),IFERROR(Table10s4!L13*265,0)))</f>
        <v>37754.048000306168</v>
      </c>
      <c r="M14" s="4101">
        <f>IF(SUM(Table10s2!M13,IFERROR(Table10s3!M13*28,0),IFERROR(Table10s4!M13*265,0))=0,"NO",SUM(Table10s2!M13,IFERROR(Table10s3!M13*28,0),IFERROR(Table10s4!M13*265,0)))</f>
        <v>37856.691958413074</v>
      </c>
      <c r="N14" s="4101">
        <f>IF(SUM(Table10s2!N13,IFERROR(Table10s3!N13*28,0),IFERROR(Table10s4!N13*265,0))=0,"NO",SUM(Table10s2!N13,IFERROR(Table10s3!N13*28,0),IFERROR(Table10s4!N13*265,0)))</f>
        <v>38108.659069451154</v>
      </c>
      <c r="O14" s="4101">
        <f>IF(SUM(Table10s2!O13,IFERROR(Table10s3!O13*28,0),IFERROR(Table10s4!O13*265,0))=0,"NO",SUM(Table10s2!O13,IFERROR(Table10s3!O13*28,0),IFERROR(Table10s4!O13*265,0)))</f>
        <v>38916.009269819398</v>
      </c>
      <c r="P14" s="4101">
        <f>IF(SUM(Table10s2!P13,IFERROR(Table10s3!P13*28,0),IFERROR(Table10s4!P13*265,0))=0,"NO",SUM(Table10s2!P13,IFERROR(Table10s3!P13*28,0),IFERROR(Table10s4!P13*265,0)))</f>
        <v>38416.042831894258</v>
      </c>
      <c r="Q14" s="4101">
        <f>IF(SUM(Table10s2!Q13,IFERROR(Table10s3!Q13*28,0),IFERROR(Table10s4!Q13*265,0))=0,"NO",SUM(Table10s2!Q13,IFERROR(Table10s3!Q13*28,0),IFERROR(Table10s4!Q13*265,0)))</f>
        <v>39094.103377944135</v>
      </c>
      <c r="R14" s="4101">
        <f>IF(SUM(Table10s2!R13,IFERROR(Table10s3!R13*28,0),IFERROR(Table10s4!R13*265,0))=0,"NO",SUM(Table10s2!R13,IFERROR(Table10s3!R13*28,0),IFERROR(Table10s4!R13*265,0)))</f>
        <v>39588.403853024683</v>
      </c>
      <c r="S14" s="4101">
        <f>IF(SUM(Table10s2!S13,IFERROR(Table10s3!S13*28,0),IFERROR(Table10s4!S13*265,0))=0,"NO",SUM(Table10s2!S13,IFERROR(Table10s3!S13*28,0),IFERROR(Table10s4!S13*265,0)))</f>
        <v>40467.58108393287</v>
      </c>
      <c r="T14" s="4101">
        <f>IF(SUM(Table10s2!T13,IFERROR(Table10s3!T13*28,0),IFERROR(Table10s4!T13*265,0))=0,"NO",SUM(Table10s2!T13,IFERROR(Table10s3!T13*28,0),IFERROR(Table10s4!T13*265,0)))</f>
        <v>41546.787139398708</v>
      </c>
      <c r="U14" s="4101">
        <f>IF(SUM(Table10s2!U13,IFERROR(Table10s3!U13*28,0),IFERROR(Table10s4!U13*265,0))=0,"NO",SUM(Table10s2!U13,IFERROR(Table10s3!U13*28,0),IFERROR(Table10s4!U13*265,0)))</f>
        <v>40610.591879722451</v>
      </c>
      <c r="V14" s="4101">
        <f>IF(SUM(Table10s2!V13,IFERROR(Table10s3!V13*28,0),IFERROR(Table10s4!V13*265,0))=0,"NO",SUM(Table10s2!V13,IFERROR(Table10s3!V13*28,0),IFERROR(Table10s4!V13*265,0)))</f>
        <v>40888.483760685587</v>
      </c>
      <c r="W14" s="4101">
        <f>IF(SUM(Table10s2!W13,IFERROR(Table10s3!W13*28,0),IFERROR(Table10s4!W13*265,0))=0,"NO",SUM(Table10s2!W13,IFERROR(Table10s3!W13*28,0),IFERROR(Table10s4!W13*265,0)))</f>
        <v>42997.772276256575</v>
      </c>
      <c r="X14" s="4101">
        <f>IF(SUM(Table10s2!X13,IFERROR(Table10s3!X13*28,0),IFERROR(Table10s4!X13*265,0))=0,"NO",SUM(Table10s2!X13,IFERROR(Table10s3!X13*28,0),IFERROR(Table10s4!X13*265,0)))</f>
        <v>40516.025596455431</v>
      </c>
      <c r="Y14" s="4101">
        <f>IF(SUM(Table10s2!Y13,IFERROR(Table10s3!Y13*28,0),IFERROR(Table10s4!Y13*265,0))=0,"NO",SUM(Table10s2!Y13,IFERROR(Table10s3!Y13*28,0),IFERROR(Table10s4!Y13*265,0)))</f>
        <v>39707.395666026459</v>
      </c>
      <c r="Z14" s="4101">
        <f>IF(SUM(Table10s2!Z13,IFERROR(Table10s3!Z13*28,0),IFERROR(Table10s4!Z13*265,0))=0,"NO",SUM(Table10s2!Z13,IFERROR(Table10s3!Z13*28,0),IFERROR(Table10s4!Z13*265,0)))</f>
        <v>40883.496609661997</v>
      </c>
      <c r="AA14" s="4101">
        <f>IF(SUM(Table10s2!AA13,IFERROR(Table10s3!AA13*28,0),IFERROR(Table10s4!AA13*265,0))=0,"NO",SUM(Table10s2!AA13,IFERROR(Table10s3!AA13*28,0),IFERROR(Table10s4!AA13*265,0)))</f>
        <v>42875.222269352751</v>
      </c>
      <c r="AB14" s="4101">
        <f>IF(SUM(Table10s2!AB13,IFERROR(Table10s3!AB13*28,0),IFERROR(Table10s4!AB13*265,0))=0,"NO",SUM(Table10s2!AB13,IFERROR(Table10s3!AB13*28,0),IFERROR(Table10s4!AB13*265,0)))</f>
        <v>45969.231629491755</v>
      </c>
      <c r="AC14" s="4101">
        <f>IF(SUM(Table10s2!AC13,IFERROR(Table10s3!AC13*28,0),IFERROR(Table10s4!AC13*265,0))=0,"NO",SUM(Table10s2!AC13,IFERROR(Table10s3!AC13*28,0),IFERROR(Table10s4!AC13*265,0)))</f>
        <v>46193.328456662384</v>
      </c>
      <c r="AD14" s="4101">
        <f>IF(SUM(Table10s2!AD13,IFERROR(Table10s3!AD13*28,0),IFERROR(Table10s4!AD13*265,0))=0,"NO",SUM(Table10s2!AD13,IFERROR(Table10s3!AD13*28,0),IFERROR(Table10s4!AD13*265,0)))</f>
        <v>42985.786024611785</v>
      </c>
      <c r="AE14" s="4101">
        <f>IF(SUM(Table10s2!AE13,IFERROR(Table10s3!AE13*28,0),IFERROR(Table10s4!AE13*265,0))=0,"NO",SUM(Table10s2!AE13,IFERROR(Table10s3!AE13*28,0),IFERROR(Table10s4!AE13*265,0)))</f>
        <v>41716.345906567753</v>
      </c>
      <c r="AF14" s="4101">
        <f>IF(SUM(Table10s2!AF13,IFERROR(Table10s3!AF13*28,0),IFERROR(Table10s4!AF13*265,0))=0,"NO",SUM(Table10s2!AF13,IFERROR(Table10s3!AF13*28,0),IFERROR(Table10s4!AF13*265,0)))</f>
        <v>41042.645847700856</v>
      </c>
      <c r="AG14" s="4101">
        <f>IF(SUM(Table10s2!AG13,IFERROR(Table10s3!AG13*28,0),IFERROR(Table10s4!AG13*265,0))=0,"NO",SUM(Table10s2!AG13,IFERROR(Table10s3!AG13*28,0),IFERROR(Table10s4!AG13*265,0)))</f>
        <v>42117.068622043145</v>
      </c>
      <c r="AH14" s="4101">
        <f>IF(SUM(Table10s2!AH13,IFERROR(Table10s3!AH13*28,0),IFERROR(Table10s4!AH13*265,0))=0,"NO",SUM(Table10s2!AH13,IFERROR(Table10s3!AH13*28,0),IFERROR(Table10s4!AH13*265,0)))</f>
        <v>41792.730330331848</v>
      </c>
      <c r="AI14" s="4101">
        <f>IF(SUM(Table10s2!AI13,IFERROR(Table10s3!AI13*28,0),IFERROR(Table10s4!AI13*265,0))=0,"NO",SUM(Table10s2!AI13,IFERROR(Table10s3!AI13*28,0),IFERROR(Table10s4!AI13*265,0)))</f>
        <v>41725.543946662125</v>
      </c>
      <c r="AJ14" s="4101">
        <f>IF(SUM(Table10s2!AJ13,IFERROR(Table10s3!AJ13*28,0),IFERROR(Table10s4!AJ13*265,0))=0,"NO",SUM(Table10s2!AJ13,IFERROR(Table10s3!AJ13*28,0),IFERROR(Table10s4!AJ13*265,0)))</f>
        <v>43179.486235414864</v>
      </c>
      <c r="AK14" s="4101">
        <f>IF(SUM(Table10s2!AK13,IFERROR(Table10s3!AK13*28,0),IFERROR(Table10s4!AK13*265,0))=0,"NO",SUM(Table10s2!AK13,IFERROR(Table10s3!AK13*28,0),IFERROR(Table10s4!AK13*265,0)))</f>
        <v>43126.665281193207</v>
      </c>
      <c r="AL14" s="4080">
        <f t="shared" si="1"/>
        <v>19.052472661580808</v>
      </c>
    </row>
    <row r="15" spans="1:38" ht="18" customHeight="1" x14ac:dyDescent="0.2">
      <c r="B15" s="1370" t="s">
        <v>1925</v>
      </c>
      <c r="C15" s="2027"/>
      <c r="D15" s="2027"/>
      <c r="E15" s="4089">
        <f>IF(SUM(Table10s2!E14,IFERROR(Table10s3!E14*28,0),IFERROR(Table10s4!E14*265,0))=0,"NO",SUM(Table10s2!E14,IFERROR(Table10s3!E14*28,0),IFERROR(Table10s4!E14*265,0)))</f>
        <v>61369.586944755189</v>
      </c>
      <c r="F15" s="4089">
        <f>IF(SUM(Table10s2!F14,IFERROR(Table10s3!F14*28,0),IFERROR(Table10s4!F14*265,0))=0,"NO",SUM(Table10s2!F14,IFERROR(Table10s3!F14*28,0),IFERROR(Table10s4!F14*265,0)))</f>
        <v>60801.533859697403</v>
      </c>
      <c r="G15" s="4101">
        <f>IF(SUM(Table10s2!G14,IFERROR(Table10s3!G14*28,0),IFERROR(Table10s4!G14*265,0))=0,"NO",SUM(Table10s2!G14,IFERROR(Table10s3!G14*28,0),IFERROR(Table10s4!G14*265,0)))</f>
        <v>61810.129196456954</v>
      </c>
      <c r="H15" s="4101">
        <f>IF(SUM(Table10s2!H14,IFERROR(Table10s3!H14*28,0),IFERROR(Table10s4!H14*265,0))=0,"NO",SUM(Table10s2!H14,IFERROR(Table10s3!H14*28,0),IFERROR(Table10s4!H14*265,0)))</f>
        <v>63382.568655280331</v>
      </c>
      <c r="I15" s="4101">
        <f>IF(SUM(Table10s2!I14,IFERROR(Table10s3!I14*28,0),IFERROR(Table10s4!I14*265,0))=0,"NO",SUM(Table10s2!I14,IFERROR(Table10s3!I14*28,0),IFERROR(Table10s4!I14*265,0)))</f>
        <v>64874.14345303853</v>
      </c>
      <c r="J15" s="4101">
        <f>IF(SUM(Table10s2!J14,IFERROR(Table10s3!J14*28,0),IFERROR(Table10s4!J14*265,0))=0,"NO",SUM(Table10s2!J14,IFERROR(Table10s3!J14*28,0),IFERROR(Table10s4!J14*265,0)))</f>
        <v>68215.899107637073</v>
      </c>
      <c r="K15" s="4101">
        <f>IF(SUM(Table10s2!K14,IFERROR(Table10s3!K14*28,0),IFERROR(Table10s4!K14*265,0))=0,"NO",SUM(Table10s2!K14,IFERROR(Table10s3!K14*28,0),IFERROR(Table10s4!K14*265,0)))</f>
        <v>70090.656522153338</v>
      </c>
      <c r="L15" s="4101">
        <f>IF(SUM(Table10s2!L14,IFERROR(Table10s3!L14*28,0),IFERROR(Table10s4!L14*265,0))=0,"NO",SUM(Table10s2!L14,IFERROR(Table10s3!L14*28,0),IFERROR(Table10s4!L14*265,0)))</f>
        <v>71388.326584647293</v>
      </c>
      <c r="M15" s="4101">
        <f>IF(SUM(Table10s2!M14,IFERROR(Table10s3!M14*28,0),IFERROR(Table10s4!M14*265,0))=0,"NO",SUM(Table10s2!M14,IFERROR(Table10s3!M14*28,0),IFERROR(Table10s4!M14*265,0)))</f>
        <v>71597.547624845349</v>
      </c>
      <c r="N15" s="4101">
        <f>IF(SUM(Table10s2!N14,IFERROR(Table10s3!N14*28,0),IFERROR(Table10s4!N14*265,0))=0,"NO",SUM(Table10s2!N14,IFERROR(Table10s3!N14*28,0),IFERROR(Table10s4!N14*265,0)))</f>
        <v>72430.614331808189</v>
      </c>
      <c r="O15" s="4101">
        <f>IF(SUM(Table10s2!O14,IFERROR(Table10s3!O14*28,0),IFERROR(Table10s4!O14*265,0))=0,"NO",SUM(Table10s2!O14,IFERROR(Table10s3!O14*28,0),IFERROR(Table10s4!O14*265,0)))</f>
        <v>74026.473597204284</v>
      </c>
      <c r="P15" s="4101">
        <f>IF(SUM(Table10s2!P14,IFERROR(Table10s3!P14*28,0),IFERROR(Table10s4!P14*265,0))=0,"NO",SUM(Table10s2!P14,IFERROR(Table10s3!P14*28,0),IFERROR(Table10s4!P14*265,0)))</f>
        <v>73974.647398104935</v>
      </c>
      <c r="Q15" s="4101">
        <f>IF(SUM(Table10s2!Q14,IFERROR(Table10s3!Q14*28,0),IFERROR(Table10s4!Q14*265,0))=0,"NO",SUM(Table10s2!Q14,IFERROR(Table10s3!Q14*28,0),IFERROR(Table10s4!Q14*265,0)))</f>
        <v>75486.433075768073</v>
      </c>
      <c r="R15" s="4101">
        <f>IF(SUM(Table10s2!R14,IFERROR(Table10s3!R14*28,0),IFERROR(Table10s4!R14*265,0))=0,"NO",SUM(Table10s2!R14,IFERROR(Table10s3!R14*28,0),IFERROR(Table10s4!R14*265,0)))</f>
        <v>77868.632912658766</v>
      </c>
      <c r="S15" s="4101">
        <f>IF(SUM(Table10s2!S14,IFERROR(Table10s3!S14*28,0),IFERROR(Table10s4!S14*265,0))=0,"NO",SUM(Table10s2!S14,IFERROR(Table10s3!S14*28,0),IFERROR(Table10s4!S14*265,0)))</f>
        <v>80976.727385345483</v>
      </c>
      <c r="T15" s="4101">
        <f>IF(SUM(Table10s2!T14,IFERROR(Table10s3!T14*28,0),IFERROR(Table10s4!T14*265,0))=0,"NO",SUM(Table10s2!T14,IFERROR(Table10s3!T14*28,0),IFERROR(Table10s4!T14*265,0)))</f>
        <v>82015.197438043819</v>
      </c>
      <c r="U15" s="4101">
        <f>IF(SUM(Table10s2!U14,IFERROR(Table10s3!U14*28,0),IFERROR(Table10s4!U14*265,0))=0,"NO",SUM(Table10s2!U14,IFERROR(Table10s3!U14*28,0),IFERROR(Table10s4!U14*265,0)))</f>
        <v>83266.18470410812</v>
      </c>
      <c r="V15" s="4101">
        <f>IF(SUM(Table10s2!V14,IFERROR(Table10s3!V14*28,0),IFERROR(Table10s4!V14*265,0))=0,"NO",SUM(Table10s2!V14,IFERROR(Table10s3!V14*28,0),IFERROR(Table10s4!V14*265,0)))</f>
        <v>85129.815264283054</v>
      </c>
      <c r="W15" s="4101">
        <f>IF(SUM(Table10s2!W14,IFERROR(Table10s3!W14*28,0),IFERROR(Table10s4!W14*265,0))=0,"NO",SUM(Table10s2!W14,IFERROR(Table10s3!W14*28,0),IFERROR(Table10s4!W14*265,0)))</f>
        <v>86931.976518277705</v>
      </c>
      <c r="X15" s="4101">
        <f>IF(SUM(Table10s2!X14,IFERROR(Table10s3!X14*28,0),IFERROR(Table10s4!X14*265,0))=0,"NO",SUM(Table10s2!X14,IFERROR(Table10s3!X14*28,0),IFERROR(Table10s4!X14*265,0)))</f>
        <v>87156.60811692354</v>
      </c>
      <c r="Y15" s="4101">
        <f>IF(SUM(Table10s2!Y14,IFERROR(Table10s3!Y14*28,0),IFERROR(Table10s4!Y14*265,0))=0,"NO",SUM(Table10s2!Y14,IFERROR(Table10s3!Y14*28,0),IFERROR(Table10s4!Y14*265,0)))</f>
        <v>88618.626986190633</v>
      </c>
      <c r="Z15" s="4101">
        <f>IF(SUM(Table10s2!Z14,IFERROR(Table10s3!Z14*28,0),IFERROR(Table10s4!Z14*265,0))=0,"NO",SUM(Table10s2!Z14,IFERROR(Table10s3!Z14*28,0),IFERROR(Table10s4!Z14*265,0)))</f>
        <v>91246.677813830291</v>
      </c>
      <c r="AA15" s="4101">
        <f>IF(SUM(Table10s2!AA14,IFERROR(Table10s3!AA14*28,0),IFERROR(Table10s4!AA14*265,0))=0,"NO",SUM(Table10s2!AA14,IFERROR(Table10s3!AA14*28,0),IFERROR(Table10s4!AA14*265,0)))</f>
        <v>91787.07944535857</v>
      </c>
      <c r="AB15" s="4101">
        <f>IF(SUM(Table10s2!AB14,IFERROR(Table10s3!AB14*28,0),IFERROR(Table10s4!AB14*265,0))=0,"NO",SUM(Table10s2!AB14,IFERROR(Table10s3!AB14*28,0),IFERROR(Table10s4!AB14*265,0)))</f>
        <v>93134.217004155973</v>
      </c>
      <c r="AC15" s="4101">
        <f>IF(SUM(Table10s2!AC14,IFERROR(Table10s3!AC14*28,0),IFERROR(Table10s4!AC14*265,0))=0,"NO",SUM(Table10s2!AC14,IFERROR(Table10s3!AC14*28,0),IFERROR(Table10s4!AC14*265,0)))</f>
        <v>93090.041846708176</v>
      </c>
      <c r="AD15" s="4101">
        <f>IF(SUM(Table10s2!AD14,IFERROR(Table10s3!AD14*28,0),IFERROR(Table10s4!AD14*265,0))=0,"NO",SUM(Table10s2!AD14,IFERROR(Table10s3!AD14*28,0),IFERROR(Table10s4!AD14*265,0)))</f>
        <v>95232.476384254813</v>
      </c>
      <c r="AE15" s="4101">
        <f>IF(SUM(Table10s2!AE14,IFERROR(Table10s3!AE14*28,0),IFERROR(Table10s4!AE14*265,0))=0,"NO",SUM(Table10s2!AE14,IFERROR(Table10s3!AE14*28,0),IFERROR(Table10s4!AE14*265,0)))</f>
        <v>96225.869246994567</v>
      </c>
      <c r="AF15" s="4101">
        <f>IF(SUM(Table10s2!AF14,IFERROR(Table10s3!AF14*28,0),IFERROR(Table10s4!AF14*265,0))=0,"NO",SUM(Table10s2!AF14,IFERROR(Table10s3!AF14*28,0),IFERROR(Table10s4!AF14*265,0)))</f>
        <v>97849.438556775262</v>
      </c>
      <c r="AG15" s="4101">
        <f>IF(SUM(Table10s2!AG14,IFERROR(Table10s3!AG14*28,0),IFERROR(Table10s4!AG14*265,0))=0,"NO",SUM(Table10s2!AG14,IFERROR(Table10s3!AG14*28,0),IFERROR(Table10s4!AG14*265,0)))</f>
        <v>100145.65079007416</v>
      </c>
      <c r="AH15" s="4101">
        <f>IF(SUM(Table10s2!AH14,IFERROR(Table10s3!AH14*28,0),IFERROR(Table10s4!AH14*265,0))=0,"NO",SUM(Table10s2!AH14,IFERROR(Table10s3!AH14*28,0),IFERROR(Table10s4!AH14*265,0)))</f>
        <v>100204.32012982323</v>
      </c>
      <c r="AI15" s="4101">
        <f>IF(SUM(Table10s2!AI14,IFERROR(Table10s3!AI14*28,0),IFERROR(Table10s4!AI14*265,0))=0,"NO",SUM(Table10s2!AI14,IFERROR(Table10s3!AI14*28,0),IFERROR(Table10s4!AI14*265,0)))</f>
        <v>93181.059007957039</v>
      </c>
      <c r="AJ15" s="4101">
        <f>IF(SUM(Table10s2!AJ14,IFERROR(Table10s3!AJ14*28,0),IFERROR(Table10s4!AJ14*265,0))=0,"NO",SUM(Table10s2!AJ14,IFERROR(Table10s3!AJ14*28,0),IFERROR(Table10s4!AJ14*265,0)))</f>
        <v>90097.238568584551</v>
      </c>
      <c r="AK15" s="4101">
        <f>IF(SUM(Table10s2!AK14,IFERROR(Table10s3!AK14*28,0),IFERROR(Table10s4!AK14*265,0))=0,"NO",SUM(Table10s2!AK14,IFERROR(Table10s3!AK14*28,0),IFERROR(Table10s4!AK14*265,0)))</f>
        <v>89763.156817265088</v>
      </c>
      <c r="AL15" s="4080">
        <f t="shared" si="1"/>
        <v>46.266516178558845</v>
      </c>
    </row>
    <row r="16" spans="1:38" ht="18" customHeight="1" x14ac:dyDescent="0.2">
      <c r="B16" s="1370" t="s">
        <v>1926</v>
      </c>
      <c r="C16" s="2027"/>
      <c r="D16" s="2027"/>
      <c r="E16" s="4089">
        <f>IF(SUM(Table10s2!E15,IFERROR(Table10s3!E15*28,0),IFERROR(Table10s4!E15*265,0))=0,"NO",SUM(Table10s2!E15,IFERROR(Table10s3!E15*28,0),IFERROR(Table10s4!E15*265,0)))</f>
        <v>15883.986978463949</v>
      </c>
      <c r="F16" s="4089">
        <f>IF(SUM(Table10s2!F15,IFERROR(Table10s3!F15*28,0),IFERROR(Table10s4!F15*265,0))=0,"NO",SUM(Table10s2!F15,IFERROR(Table10s3!F15*28,0),IFERROR(Table10s4!F15*265,0)))</f>
        <v>16056.940101780665</v>
      </c>
      <c r="G16" s="4101">
        <f>IF(SUM(Table10s2!G15,IFERROR(Table10s3!G15*28,0),IFERROR(Table10s4!G15*265,0))=0,"NO",SUM(Table10s2!G15,IFERROR(Table10s3!G15*28,0),IFERROR(Table10s4!G15*265,0)))</f>
        <v>16510.460002962776</v>
      </c>
      <c r="H16" s="4101">
        <f>IF(SUM(Table10s2!H15,IFERROR(Table10s3!H15*28,0),IFERROR(Table10s4!H15*265,0))=0,"NO",SUM(Table10s2!H15,IFERROR(Table10s3!H15*28,0),IFERROR(Table10s4!H15*265,0)))</f>
        <v>16965.230426885053</v>
      </c>
      <c r="I16" s="4101">
        <f>IF(SUM(Table10s2!I15,IFERROR(Table10s3!I15*28,0),IFERROR(Table10s4!I15*265,0))=0,"NO",SUM(Table10s2!I15,IFERROR(Table10s3!I15*28,0),IFERROR(Table10s4!I15*265,0)))</f>
        <v>16824.985442095243</v>
      </c>
      <c r="J16" s="4101">
        <f>IF(SUM(Table10s2!J15,IFERROR(Table10s3!J15*28,0),IFERROR(Table10s4!J15*265,0))=0,"NO",SUM(Table10s2!J15,IFERROR(Table10s3!J15*28,0),IFERROR(Table10s4!J15*265,0)))</f>
        <v>17428.624161232237</v>
      </c>
      <c r="K16" s="4101">
        <f>IF(SUM(Table10s2!K15,IFERROR(Table10s3!K15*28,0),IFERROR(Table10s4!K15*265,0))=0,"NO",SUM(Table10s2!K15,IFERROR(Table10s3!K15*28,0),IFERROR(Table10s4!K15*265,0)))</f>
        <v>17748.174569405644</v>
      </c>
      <c r="L16" s="4101">
        <f>IF(SUM(Table10s2!L15,IFERROR(Table10s3!L15*28,0),IFERROR(Table10s4!L15*265,0))=0,"NO",SUM(Table10s2!L15,IFERROR(Table10s3!L15*28,0),IFERROR(Table10s4!L15*265,0)))</f>
        <v>17930.398795254026</v>
      </c>
      <c r="M16" s="4101">
        <f>IF(SUM(Table10s2!M15,IFERROR(Table10s3!M15*28,0),IFERROR(Table10s4!M15*265,0))=0,"NO",SUM(Table10s2!M15,IFERROR(Table10s3!M15*28,0),IFERROR(Table10s4!M15*265,0)))</f>
        <v>18086.025040146182</v>
      </c>
      <c r="N16" s="4101">
        <f>IF(SUM(Table10s2!N15,IFERROR(Table10s3!N15*28,0),IFERROR(Table10s4!N15*265,0))=0,"NO",SUM(Table10s2!N15,IFERROR(Table10s3!N15*28,0),IFERROR(Table10s4!N15*265,0)))</f>
        <v>18049.403632119087</v>
      </c>
      <c r="O16" s="4101">
        <f>IF(SUM(Table10s2!O15,IFERROR(Table10s3!O15*28,0),IFERROR(Table10s4!O15*265,0))=0,"NO",SUM(Table10s2!O15,IFERROR(Table10s3!O15*28,0),IFERROR(Table10s4!O15*265,0)))</f>
        <v>18416.718304104943</v>
      </c>
      <c r="P16" s="4101">
        <f>IF(SUM(Table10s2!P15,IFERROR(Table10s3!P15*28,0),IFERROR(Table10s4!P15*265,0))=0,"NO",SUM(Table10s2!P15,IFERROR(Table10s3!P15*28,0),IFERROR(Table10s4!P15*265,0)))</f>
        <v>19243.639169276346</v>
      </c>
      <c r="Q16" s="4101">
        <f>IF(SUM(Table10s2!Q15,IFERROR(Table10s3!Q15*28,0),IFERROR(Table10s4!Q15*265,0))=0,"NO",SUM(Table10s2!Q15,IFERROR(Table10s3!Q15*28,0),IFERROR(Table10s4!Q15*265,0)))</f>
        <v>19282.893929770657</v>
      </c>
      <c r="R16" s="4101">
        <f>IF(SUM(Table10s2!R15,IFERROR(Table10s3!R15*28,0),IFERROR(Table10s4!R15*265,0))=0,"NO",SUM(Table10s2!R15,IFERROR(Table10s3!R15*28,0),IFERROR(Table10s4!R15*265,0)))</f>
        <v>19882.854299578317</v>
      </c>
      <c r="S16" s="4101">
        <f>IF(SUM(Table10s2!S15,IFERROR(Table10s3!S15*28,0),IFERROR(Table10s4!S15*265,0))=0,"NO",SUM(Table10s2!S15,IFERROR(Table10s3!S15*28,0),IFERROR(Table10s4!S15*265,0)))</f>
        <v>19805.538192783413</v>
      </c>
      <c r="T16" s="4101">
        <f>IF(SUM(Table10s2!T15,IFERROR(Table10s3!T15*28,0),IFERROR(Table10s4!T15*265,0))=0,"NO",SUM(Table10s2!T15,IFERROR(Table10s3!T15*28,0),IFERROR(Table10s4!T15*265,0)))</f>
        <v>20211.994828453368</v>
      </c>
      <c r="U16" s="4101">
        <f>IF(SUM(Table10s2!U15,IFERROR(Table10s3!U15*28,0),IFERROR(Table10s4!U15*265,0))=0,"NO",SUM(Table10s2!U15,IFERROR(Table10s3!U15*28,0),IFERROR(Table10s4!U15*265,0)))</f>
        <v>20364.101943648569</v>
      </c>
      <c r="V16" s="4101">
        <f>IF(SUM(Table10s2!V15,IFERROR(Table10s3!V15*28,0),IFERROR(Table10s4!V15*265,0))=0,"NO",SUM(Table10s2!V15,IFERROR(Table10s3!V15*28,0),IFERROR(Table10s4!V15*265,0)))</f>
        <v>20197.932211309493</v>
      </c>
      <c r="W16" s="4101">
        <f>IF(SUM(Table10s2!W15,IFERROR(Table10s3!W15*28,0),IFERROR(Table10s4!W15*265,0))=0,"NO",SUM(Table10s2!W15,IFERROR(Table10s3!W15*28,0),IFERROR(Table10s4!W15*265,0)))</f>
        <v>20542.083964487469</v>
      </c>
      <c r="X16" s="4101">
        <f>IF(SUM(Table10s2!X15,IFERROR(Table10s3!X15*28,0),IFERROR(Table10s4!X15*265,0))=0,"NO",SUM(Table10s2!X15,IFERROR(Table10s3!X15*28,0),IFERROR(Table10s4!X15*265,0)))</f>
        <v>20714.159735403398</v>
      </c>
      <c r="Y16" s="4101">
        <f>IF(SUM(Table10s2!Y15,IFERROR(Table10s3!Y15*28,0),IFERROR(Table10s4!Y15*265,0))=0,"NO",SUM(Table10s2!Y15,IFERROR(Table10s3!Y15*28,0),IFERROR(Table10s4!Y15*265,0)))</f>
        <v>21044.483038224862</v>
      </c>
      <c r="Z16" s="4101">
        <f>IF(SUM(Table10s2!Z15,IFERROR(Table10s3!Z15*28,0),IFERROR(Table10s4!Z15*265,0))=0,"NO",SUM(Table10s2!Z15,IFERROR(Table10s3!Z15*28,0),IFERROR(Table10s4!Z15*265,0)))</f>
        <v>21452.512314186461</v>
      </c>
      <c r="AA16" s="4101">
        <f>IF(SUM(Table10s2!AA15,IFERROR(Table10s3!AA15*28,0),IFERROR(Table10s4!AA15*265,0))=0,"NO",SUM(Table10s2!AA15,IFERROR(Table10s3!AA15*28,0),IFERROR(Table10s4!AA15*265,0)))</f>
        <v>21895.776128167272</v>
      </c>
      <c r="AB16" s="4101">
        <f>IF(SUM(Table10s2!AB15,IFERROR(Table10s3!AB15*28,0),IFERROR(Table10s4!AB15*265,0))=0,"NO",SUM(Table10s2!AB15,IFERROR(Table10s3!AB15*28,0),IFERROR(Table10s4!AB15*265,0)))</f>
        <v>22319.634870725906</v>
      </c>
      <c r="AC16" s="4101">
        <f>IF(SUM(Table10s2!AC15,IFERROR(Table10s3!AC15*28,0),IFERROR(Table10s4!AC15*265,0))=0,"NO",SUM(Table10s2!AC15,IFERROR(Table10s3!AC15*28,0),IFERROR(Table10s4!AC15*265,0)))</f>
        <v>21403.859523427171</v>
      </c>
      <c r="AD16" s="4101">
        <f>IF(SUM(Table10s2!AD15,IFERROR(Table10s3!AD15*28,0),IFERROR(Table10s4!AD15*265,0))=0,"NO",SUM(Table10s2!AD15,IFERROR(Table10s3!AD15*28,0),IFERROR(Table10s4!AD15*265,0)))</f>
        <v>22559.2488509836</v>
      </c>
      <c r="AE16" s="4101">
        <f>IF(SUM(Table10s2!AE15,IFERROR(Table10s3!AE15*28,0),IFERROR(Table10s4!AE15*265,0))=0,"NO",SUM(Table10s2!AE15,IFERROR(Table10s3!AE15*28,0),IFERROR(Table10s4!AE15*265,0)))</f>
        <v>22803.433143902275</v>
      </c>
      <c r="AF16" s="4101">
        <f>IF(SUM(Table10s2!AF15,IFERROR(Table10s3!AF15*28,0),IFERROR(Table10s4!AF15*265,0))=0,"NO",SUM(Table10s2!AF15,IFERROR(Table10s3!AF15*28,0),IFERROR(Table10s4!AF15*265,0)))</f>
        <v>23572.793315789208</v>
      </c>
      <c r="AG16" s="4101">
        <f>IF(SUM(Table10s2!AG15,IFERROR(Table10s3!AG15*28,0),IFERROR(Table10s4!AG15*265,0))=0,"NO",SUM(Table10s2!AG15,IFERROR(Table10s3!AG15*28,0),IFERROR(Table10s4!AG15*265,0)))</f>
        <v>23452.849230386033</v>
      </c>
      <c r="AH16" s="4101">
        <f>IF(SUM(Table10s2!AH15,IFERROR(Table10s3!AH15*28,0),IFERROR(Table10s4!AH15*265,0))=0,"NO",SUM(Table10s2!AH15,IFERROR(Table10s3!AH15*28,0),IFERROR(Table10s4!AH15*265,0)))</f>
        <v>21961.996374832885</v>
      </c>
      <c r="AI16" s="4101">
        <f>IF(SUM(Table10s2!AI15,IFERROR(Table10s3!AI15*28,0),IFERROR(Table10s4!AI15*265,0))=0,"NO",SUM(Table10s2!AI15,IFERROR(Table10s3!AI15*28,0),IFERROR(Table10s4!AI15*265,0)))</f>
        <v>21377.247271064753</v>
      </c>
      <c r="AJ16" s="4101">
        <f>IF(SUM(Table10s2!AJ15,IFERROR(Table10s3!AJ15*28,0),IFERROR(Table10s4!AJ15*265,0))=0,"NO",SUM(Table10s2!AJ15,IFERROR(Table10s3!AJ15*28,0),IFERROR(Table10s4!AJ15*265,0)))</f>
        <v>23748.773006683779</v>
      </c>
      <c r="AK16" s="4101">
        <f>IF(SUM(Table10s2!AK15,IFERROR(Table10s3!AK15*28,0),IFERROR(Table10s4!AK15*265,0))=0,"NO",SUM(Table10s2!AK15,IFERROR(Table10s3!AK15*28,0),IFERROR(Table10s4!AK15*265,0)))</f>
        <v>23782.450571567606</v>
      </c>
      <c r="AL16" s="4080">
        <f t="shared" si="1"/>
        <v>49.725951071432263</v>
      </c>
    </row>
    <row r="17" spans="2:38" ht="18" customHeight="1" x14ac:dyDescent="0.2">
      <c r="B17" s="1370" t="s">
        <v>1927</v>
      </c>
      <c r="C17" s="2027"/>
      <c r="D17" s="2027"/>
      <c r="E17" s="4089">
        <f>IF(SUM(Table10s2!E16,IFERROR(Table10s3!E16*28,0),IFERROR(Table10s4!E16*265,0))=0,"NO",SUM(Table10s2!E16,IFERROR(Table10s3!E16*28,0),IFERROR(Table10s4!E16*265,0)))</f>
        <v>422.69572672467257</v>
      </c>
      <c r="F17" s="4089">
        <f>IF(SUM(Table10s2!F16,IFERROR(Table10s3!F16*28,0),IFERROR(Table10s4!F16*265,0))=0,"NO",SUM(Table10s2!F16,IFERROR(Table10s3!F16*28,0),IFERROR(Table10s4!F16*265,0)))</f>
        <v>414.62121505347875</v>
      </c>
      <c r="G17" s="4101">
        <f>IF(SUM(Table10s2!G16,IFERROR(Table10s3!G16*28,0),IFERROR(Table10s4!G16*265,0))=0,"NO",SUM(Table10s2!G16,IFERROR(Table10s3!G16*28,0),IFERROR(Table10s4!G16*265,0)))</f>
        <v>463.31596391994498</v>
      </c>
      <c r="H17" s="4101">
        <f>IF(SUM(Table10s2!H16,IFERROR(Table10s3!H16*28,0),IFERROR(Table10s4!H16*265,0))=0,"NO",SUM(Table10s2!H16,IFERROR(Table10s3!H16*28,0),IFERROR(Table10s4!H16*265,0)))</f>
        <v>470.64355224701438</v>
      </c>
      <c r="I17" s="4101">
        <f>IF(SUM(Table10s2!I16,IFERROR(Table10s3!I16*28,0),IFERROR(Table10s4!I16*265,0))=0,"NO",SUM(Table10s2!I16,IFERROR(Table10s3!I16*28,0),IFERROR(Table10s4!I16*265,0)))</f>
        <v>563.40737017075935</v>
      </c>
      <c r="J17" s="4101">
        <f>IF(SUM(Table10s2!J16,IFERROR(Table10s3!J16*28,0),IFERROR(Table10s4!J16*265,0))=0,"NO",SUM(Table10s2!J16,IFERROR(Table10s3!J16*28,0),IFERROR(Table10s4!J16*265,0)))</f>
        <v>695.98993236249589</v>
      </c>
      <c r="K17" s="4101">
        <f>IF(SUM(Table10s2!K16,IFERROR(Table10s3!K16*28,0),IFERROR(Table10s4!K16*265,0))=0,"NO",SUM(Table10s2!K16,IFERROR(Table10s3!K16*28,0),IFERROR(Table10s4!K16*265,0)))</f>
        <v>781.31233986149448</v>
      </c>
      <c r="L17" s="4101">
        <f>IF(SUM(Table10s2!L16,IFERROR(Table10s3!L16*28,0),IFERROR(Table10s4!L16*265,0))=0,"NO",SUM(Table10s2!L16,IFERROR(Table10s3!L16*28,0),IFERROR(Table10s4!L16*265,0)))</f>
        <v>820.64382933702234</v>
      </c>
      <c r="M17" s="4101">
        <f>IF(SUM(Table10s2!M16,IFERROR(Table10s3!M16*28,0),IFERROR(Table10s4!M16*265,0))=0,"NO",SUM(Table10s2!M16,IFERROR(Table10s3!M16*28,0),IFERROR(Table10s4!M16*265,0)))</f>
        <v>684.18634294239166</v>
      </c>
      <c r="N17" s="4101">
        <f>IF(SUM(Table10s2!N16,IFERROR(Table10s3!N16*28,0),IFERROR(Table10s4!N16*265,0))=0,"NO",SUM(Table10s2!N16,IFERROR(Table10s3!N16*28,0),IFERROR(Table10s4!N16*265,0)))</f>
        <v>632.12646268575156</v>
      </c>
      <c r="O17" s="4101">
        <f>IF(SUM(Table10s2!O16,IFERROR(Table10s3!O16*28,0),IFERROR(Table10s4!O16*265,0))=0,"NO",SUM(Table10s2!O16,IFERROR(Table10s3!O16*28,0),IFERROR(Table10s4!O16*265,0)))</f>
        <v>627.29065941985391</v>
      </c>
      <c r="P17" s="4101">
        <f>IF(SUM(Table10s2!P16,IFERROR(Table10s3!P16*28,0),IFERROR(Table10s4!P16*265,0))=0,"NO",SUM(Table10s2!P16,IFERROR(Table10s3!P16*28,0),IFERROR(Table10s4!P16*265,0)))</f>
        <v>638.41538332409402</v>
      </c>
      <c r="Q17" s="4101">
        <f>IF(SUM(Table10s2!Q16,IFERROR(Table10s3!Q16*28,0),IFERROR(Table10s4!Q16*265,0))=0,"NO",SUM(Table10s2!Q16,IFERROR(Table10s3!Q16*28,0),IFERROR(Table10s4!Q16*265,0)))</f>
        <v>597.04885066527254</v>
      </c>
      <c r="R17" s="4101">
        <f>IF(SUM(Table10s2!R16,IFERROR(Table10s3!R16*28,0),IFERROR(Table10s4!R16*265,0))=0,"NO",SUM(Table10s2!R16,IFERROR(Table10s3!R16*28,0),IFERROR(Table10s4!R16*265,0)))</f>
        <v>560.45895043044061</v>
      </c>
      <c r="S17" s="4101">
        <f>IF(SUM(Table10s2!S16,IFERROR(Table10s3!S16*28,0),IFERROR(Table10s4!S16*265,0))=0,"NO",SUM(Table10s2!S16,IFERROR(Table10s3!S16*28,0),IFERROR(Table10s4!S16*265,0)))</f>
        <v>582.14503571018633</v>
      </c>
      <c r="T17" s="4101">
        <f>IF(SUM(Table10s2!T16,IFERROR(Table10s3!T16*28,0),IFERROR(Table10s4!T16*265,0))=0,"NO",SUM(Table10s2!T16,IFERROR(Table10s3!T16*28,0),IFERROR(Table10s4!T16*265,0)))</f>
        <v>624.36341632127574</v>
      </c>
      <c r="U17" s="4101">
        <f>IF(SUM(Table10s2!U16,IFERROR(Table10s3!U16*28,0),IFERROR(Table10s4!U16*265,0))=0,"NO",SUM(Table10s2!U16,IFERROR(Table10s3!U16*28,0),IFERROR(Table10s4!U16*265,0)))</f>
        <v>651.17562638197899</v>
      </c>
      <c r="V17" s="4101">
        <f>IF(SUM(Table10s2!V16,IFERROR(Table10s3!V16*28,0),IFERROR(Table10s4!V16*265,0))=0,"NO",SUM(Table10s2!V16,IFERROR(Table10s3!V16*28,0),IFERROR(Table10s4!V16*265,0)))</f>
        <v>782.75035123881139</v>
      </c>
      <c r="W17" s="4101">
        <f>IF(SUM(Table10s2!W16,IFERROR(Table10s3!W16*28,0),IFERROR(Table10s4!W16*265,0))=0,"NO",SUM(Table10s2!W16,IFERROR(Table10s3!W16*28,0),IFERROR(Table10s4!W16*265,0)))</f>
        <v>822.96432308153544</v>
      </c>
      <c r="X17" s="4101">
        <f>IF(SUM(Table10s2!X16,IFERROR(Table10s3!X16*28,0),IFERROR(Table10s4!X16*265,0))=0,"NO",SUM(Table10s2!X16,IFERROR(Table10s3!X16*28,0),IFERROR(Table10s4!X16*265,0)))</f>
        <v>834.34906301683657</v>
      </c>
      <c r="Y17" s="4101">
        <f>IF(SUM(Table10s2!Y16,IFERROR(Table10s3!Y16*28,0),IFERROR(Table10s4!Y16*265,0))=0,"NO",SUM(Table10s2!Y16,IFERROR(Table10s3!Y16*28,0),IFERROR(Table10s4!Y16*265,0)))</f>
        <v>888.60055284407531</v>
      </c>
      <c r="Z17" s="4101">
        <f>IF(SUM(Table10s2!Z16,IFERROR(Table10s3!Z16*28,0),IFERROR(Table10s4!Z16*265,0))=0,"NO",SUM(Table10s2!Z16,IFERROR(Table10s3!Z16*28,0),IFERROR(Table10s4!Z16*265,0)))</f>
        <v>897.97206109330023</v>
      </c>
      <c r="AA17" s="4101">
        <f>IF(SUM(Table10s2!AA16,IFERROR(Table10s3!AA16*28,0),IFERROR(Table10s4!AA16*265,0))=0,"NO",SUM(Table10s2!AA16,IFERROR(Table10s3!AA16*28,0),IFERROR(Table10s4!AA16*265,0)))</f>
        <v>871.53129980891879</v>
      </c>
      <c r="AB17" s="4101">
        <f>IF(SUM(Table10s2!AB16,IFERROR(Table10s3!AB16*28,0),IFERROR(Table10s4!AB16*265,0))=0,"NO",SUM(Table10s2!AB16,IFERROR(Table10s3!AB16*28,0),IFERROR(Table10s4!AB16*265,0)))</f>
        <v>911.06560657624766</v>
      </c>
      <c r="AC17" s="4101">
        <f>IF(SUM(Table10s2!AC16,IFERROR(Table10s3!AC16*28,0),IFERROR(Table10s4!AC16*265,0))=0,"NO",SUM(Table10s2!AC16,IFERROR(Table10s3!AC16*28,0),IFERROR(Table10s4!AC16*265,0)))</f>
        <v>1025.5663035298858</v>
      </c>
      <c r="AD17" s="4101">
        <f>IF(SUM(Table10s2!AD16,IFERROR(Table10s3!AD16*28,0),IFERROR(Table10s4!AD16*265,0))=0,"NO",SUM(Table10s2!AD16,IFERROR(Table10s3!AD16*28,0),IFERROR(Table10s4!AD16*265,0)))</f>
        <v>944.98761018333596</v>
      </c>
      <c r="AE17" s="4101">
        <f>IF(SUM(Table10s2!AE16,IFERROR(Table10s3!AE16*28,0),IFERROR(Table10s4!AE16*265,0))=0,"NO",SUM(Table10s2!AE16,IFERROR(Table10s3!AE16*28,0),IFERROR(Table10s4!AE16*265,0)))</f>
        <v>1107.535671639419</v>
      </c>
      <c r="AF17" s="4101">
        <f>IF(SUM(Table10s2!AF16,IFERROR(Table10s3!AF16*28,0),IFERROR(Table10s4!AF16*265,0))=0,"NO",SUM(Table10s2!AF16,IFERROR(Table10s3!AF16*28,0),IFERROR(Table10s4!AF16*265,0)))</f>
        <v>923.8068113504637</v>
      </c>
      <c r="AG17" s="4101">
        <f>IF(SUM(Table10s2!AG16,IFERROR(Table10s3!AG16*28,0),IFERROR(Table10s4!AG16*265,0))=0,"NO",SUM(Table10s2!AG16,IFERROR(Table10s3!AG16*28,0),IFERROR(Table10s4!AG16*265,0)))</f>
        <v>928.38790969404113</v>
      </c>
      <c r="AH17" s="4101">
        <f>IF(SUM(Table10s2!AH16,IFERROR(Table10s3!AH16*28,0),IFERROR(Table10s4!AH16*265,0))=0,"NO",SUM(Table10s2!AH16,IFERROR(Table10s3!AH16*28,0),IFERROR(Table10s4!AH16*265,0)))</f>
        <v>791.72956133286777</v>
      </c>
      <c r="AI17" s="4101">
        <f>IF(SUM(Table10s2!AI16,IFERROR(Table10s3!AI16*28,0),IFERROR(Table10s4!AI16*265,0))=0,"NO",SUM(Table10s2!AI16,IFERROR(Table10s3!AI16*28,0),IFERROR(Table10s4!AI16*265,0)))</f>
        <v>947.09587819126727</v>
      </c>
      <c r="AJ17" s="4101">
        <f>IF(SUM(Table10s2!AJ16,IFERROR(Table10s3!AJ16*28,0),IFERROR(Table10s4!AJ16*265,0))=0,"NO",SUM(Table10s2!AJ16,IFERROR(Table10s3!AJ16*28,0),IFERROR(Table10s4!AJ16*265,0)))</f>
        <v>816.16430686330625</v>
      </c>
      <c r="AK17" s="4101">
        <f>IF(SUM(Table10s2!AK16,IFERROR(Table10s3!AK16*28,0),IFERROR(Table10s4!AK16*265,0))=0,"NO",SUM(Table10s2!AK16,IFERROR(Table10s3!AK16*28,0),IFERROR(Table10s4!AK16*265,0)))</f>
        <v>727.97004474274684</v>
      </c>
      <c r="AL17" s="4080">
        <f t="shared" si="1"/>
        <v>72.220819544011619</v>
      </c>
    </row>
    <row r="18" spans="2:38" ht="18" customHeight="1" x14ac:dyDescent="0.2">
      <c r="B18" s="1369" t="s">
        <v>201</v>
      </c>
      <c r="C18" s="2027"/>
      <c r="D18" s="2027"/>
      <c r="E18" s="4089">
        <f>IF(SUM(Table10s2!E17,IFERROR(Table10s3!E17*28,0),IFERROR(Table10s4!E17*265,0))=0,"NO",SUM(Table10s2!E17,IFERROR(Table10s3!E17*28,0),IFERROR(Table10s4!E17*265,0)))</f>
        <v>40311.465239000841</v>
      </c>
      <c r="F18" s="4089">
        <f>IF(SUM(Table10s2!F17,IFERROR(Table10s3!F17*28,0),IFERROR(Table10s4!F17*265,0))=0,"NO",SUM(Table10s2!F17,IFERROR(Table10s3!F17*28,0),IFERROR(Table10s4!F17*265,0)))</f>
        <v>39660.140534647151</v>
      </c>
      <c r="G18" s="4101">
        <f>IF(SUM(Table10s2!G17,IFERROR(Table10s3!G17*28,0),IFERROR(Table10s4!G17*265,0))=0,"NO",SUM(Table10s2!G17,IFERROR(Table10s3!G17*28,0),IFERROR(Table10s4!G17*265,0)))</f>
        <v>41601.780292168893</v>
      </c>
      <c r="H18" s="4101">
        <f>IF(SUM(Table10s2!H17,IFERROR(Table10s3!H17*28,0),IFERROR(Table10s4!H17*265,0))=0,"NO",SUM(Table10s2!H17,IFERROR(Table10s3!H17*28,0),IFERROR(Table10s4!H17*265,0)))</f>
        <v>40425.293389135382</v>
      </c>
      <c r="I18" s="4101">
        <f>IF(SUM(Table10s2!I17,IFERROR(Table10s3!I17*28,0),IFERROR(Table10s4!I17*265,0))=0,"NO",SUM(Table10s2!I17,IFERROR(Table10s3!I17*28,0),IFERROR(Table10s4!I17*265,0)))</f>
        <v>38254.230187735884</v>
      </c>
      <c r="J18" s="4101">
        <f>IF(SUM(Table10s2!J17,IFERROR(Table10s3!J17*28,0),IFERROR(Table10s4!J17*265,0))=0,"NO",SUM(Table10s2!J17,IFERROR(Table10s3!J17*28,0),IFERROR(Table10s4!J17*265,0)))</f>
        <v>39930.226348544049</v>
      </c>
      <c r="K18" s="4101">
        <f>IF(SUM(Table10s2!K17,IFERROR(Table10s3!K17*28,0),IFERROR(Table10s4!K17*265,0))=0,"NO",SUM(Table10s2!K17,IFERROR(Table10s3!K17*28,0),IFERROR(Table10s4!K17*265,0)))</f>
        <v>39478.410537896001</v>
      </c>
      <c r="L18" s="4101">
        <f>IF(SUM(Table10s2!L17,IFERROR(Table10s3!L17*28,0),IFERROR(Table10s4!L17*265,0))=0,"NO",SUM(Table10s2!L17,IFERROR(Table10s3!L17*28,0),IFERROR(Table10s4!L17*265,0)))</f>
        <v>42489.224371419703</v>
      </c>
      <c r="M18" s="4101">
        <f>IF(SUM(Table10s2!M17,IFERROR(Table10s3!M17*28,0),IFERROR(Table10s4!M17*265,0))=0,"NO",SUM(Table10s2!M17,IFERROR(Table10s3!M17*28,0),IFERROR(Table10s4!M17*265,0)))</f>
        <v>43733.55907240435</v>
      </c>
      <c r="N18" s="4101">
        <f>IF(SUM(Table10s2!N17,IFERROR(Table10s3!N17*28,0),IFERROR(Table10s4!N17*265,0))=0,"NO",SUM(Table10s2!N17,IFERROR(Table10s3!N17*28,0),IFERROR(Table10s4!N17*265,0)))</f>
        <v>40552.579866239954</v>
      </c>
      <c r="O18" s="4101">
        <f>IF(SUM(Table10s2!O17,IFERROR(Table10s3!O17*28,0),IFERROR(Table10s4!O17*265,0))=0,"NO",SUM(Table10s2!O17,IFERROR(Table10s3!O17*28,0),IFERROR(Table10s4!O17*265,0)))</f>
        <v>44011.97668949893</v>
      </c>
      <c r="P18" s="4101">
        <f>IF(SUM(Table10s2!P17,IFERROR(Table10s3!P17*28,0),IFERROR(Table10s4!P17*265,0))=0,"NO",SUM(Table10s2!P17,IFERROR(Table10s3!P17*28,0),IFERROR(Table10s4!P17*265,0)))</f>
        <v>44004.792013723476</v>
      </c>
      <c r="Q18" s="4101">
        <f>IF(SUM(Table10s2!Q17,IFERROR(Table10s3!Q17*28,0),IFERROR(Table10s4!Q17*265,0))=0,"NO",SUM(Table10s2!Q17,IFERROR(Table10s3!Q17*28,0),IFERROR(Table10s4!Q17*265,0)))</f>
        <v>42716.237798831942</v>
      </c>
      <c r="R18" s="4101">
        <f>IF(SUM(Table10s2!R17,IFERROR(Table10s3!R17*28,0),IFERROR(Table10s4!R17*265,0))=0,"NO",SUM(Table10s2!R17,IFERROR(Table10s3!R17*28,0),IFERROR(Table10s4!R17*265,0)))</f>
        <v>40968.131969276699</v>
      </c>
      <c r="S18" s="4101">
        <f>IF(SUM(Table10s2!S17,IFERROR(Table10s3!S17*28,0),IFERROR(Table10s4!S17*265,0))=0,"NO",SUM(Table10s2!S17,IFERROR(Table10s3!S17*28,0),IFERROR(Table10s4!S17*265,0)))</f>
        <v>40804.56630809146</v>
      </c>
      <c r="T18" s="4101">
        <f>IF(SUM(Table10s2!T17,IFERROR(Table10s3!T17*28,0),IFERROR(Table10s4!T17*265,0))=0,"NO",SUM(Table10s2!T17,IFERROR(Table10s3!T17*28,0),IFERROR(Table10s4!T17*265,0)))</f>
        <v>42791.410544889994</v>
      </c>
      <c r="U18" s="4101">
        <f>IF(SUM(Table10s2!U17,IFERROR(Table10s3!U17*28,0),IFERROR(Table10s4!U17*265,0))=0,"NO",SUM(Table10s2!U17,IFERROR(Table10s3!U17*28,0),IFERROR(Table10s4!U17*265,0)))</f>
        <v>43643.053371024806</v>
      </c>
      <c r="V18" s="4101">
        <f>IF(SUM(Table10s2!V17,IFERROR(Table10s3!V17*28,0),IFERROR(Table10s4!V17*265,0))=0,"NO",SUM(Table10s2!V17,IFERROR(Table10s3!V17*28,0),IFERROR(Table10s4!V17*265,0)))</f>
        <v>46770.900915405604</v>
      </c>
      <c r="W18" s="4101">
        <f>IF(SUM(Table10s2!W17,IFERROR(Table10s3!W17*28,0),IFERROR(Table10s4!W17*265,0))=0,"NO",SUM(Table10s2!W17,IFERROR(Table10s3!W17*28,0),IFERROR(Table10s4!W17*265,0)))</f>
        <v>46070.201971724571</v>
      </c>
      <c r="X18" s="4101">
        <f>IF(SUM(Table10s2!X17,IFERROR(Table10s3!X17*28,0),IFERROR(Table10s4!X17*265,0))=0,"NO",SUM(Table10s2!X17,IFERROR(Table10s3!X17*28,0),IFERROR(Table10s4!X17*265,0)))</f>
        <v>45748.811817705369</v>
      </c>
      <c r="Y18" s="4101">
        <f>IF(SUM(Table10s2!Y17,IFERROR(Table10s3!Y17*28,0),IFERROR(Table10s4!Y17*265,0))=0,"NO",SUM(Table10s2!Y17,IFERROR(Table10s3!Y17*28,0),IFERROR(Table10s4!Y17*265,0)))</f>
        <v>45508.97572820128</v>
      </c>
      <c r="Z18" s="4101">
        <f>IF(SUM(Table10s2!Z17,IFERROR(Table10s3!Z17*28,0),IFERROR(Table10s4!Z17*265,0))=0,"NO",SUM(Table10s2!Z17,IFERROR(Table10s3!Z17*28,0),IFERROR(Table10s4!Z17*265,0)))</f>
        <v>43960.398367774775</v>
      </c>
      <c r="AA18" s="4101">
        <f>IF(SUM(Table10s2!AA17,IFERROR(Table10s3!AA17*28,0),IFERROR(Table10s4!AA17*265,0))=0,"NO",SUM(Table10s2!AA17,IFERROR(Table10s3!AA17*28,0),IFERROR(Table10s4!AA17*265,0)))</f>
        <v>44686.820939599049</v>
      </c>
      <c r="AB18" s="4101">
        <f>IF(SUM(Table10s2!AB17,IFERROR(Table10s3!AB17*28,0),IFERROR(Table10s4!AB17*265,0))=0,"NO",SUM(Table10s2!AB17,IFERROR(Table10s3!AB17*28,0),IFERROR(Table10s4!AB17*265,0)))</f>
        <v>45425.986581976082</v>
      </c>
      <c r="AC18" s="4101">
        <f>IF(SUM(Table10s2!AC17,IFERROR(Table10s3!AC17*28,0),IFERROR(Table10s4!AC17*265,0))=0,"NO",SUM(Table10s2!AC17,IFERROR(Table10s3!AC17*28,0),IFERROR(Table10s4!AC17*265,0)))</f>
        <v>43386.248500697744</v>
      </c>
      <c r="AD18" s="4101">
        <f>IF(SUM(Table10s2!AD17,IFERROR(Table10s3!AD17*28,0),IFERROR(Table10s4!AD17*265,0))=0,"NO",SUM(Table10s2!AD17,IFERROR(Table10s3!AD17*28,0),IFERROR(Table10s4!AD17*265,0)))</f>
        <v>48562.663622058179</v>
      </c>
      <c r="AE18" s="4101">
        <f>IF(SUM(Table10s2!AE17,IFERROR(Table10s3!AE17*28,0),IFERROR(Table10s4!AE17*265,0))=0,"NO",SUM(Table10s2!AE17,IFERROR(Table10s3!AE17*28,0),IFERROR(Table10s4!AE17*265,0)))</f>
        <v>49847.827192798468</v>
      </c>
      <c r="AF18" s="4101">
        <f>IF(SUM(Table10s2!AF17,IFERROR(Table10s3!AF17*28,0),IFERROR(Table10s4!AF17*265,0))=0,"NO",SUM(Table10s2!AF17,IFERROR(Table10s3!AF17*28,0),IFERROR(Table10s4!AF17*265,0)))</f>
        <v>51828.105966259776</v>
      </c>
      <c r="AG18" s="4101">
        <f>IF(SUM(Table10s2!AG17,IFERROR(Table10s3!AG17*28,0),IFERROR(Table10s4!AG17*265,0))=0,"NO",SUM(Table10s2!AG17,IFERROR(Table10s3!AG17*28,0),IFERROR(Table10s4!AG17*265,0)))</f>
        <v>54878.881752751506</v>
      </c>
      <c r="AH18" s="4101">
        <f>IF(SUM(Table10s2!AH17,IFERROR(Table10s3!AH17*28,0),IFERROR(Table10s4!AH17*265,0))=0,"NO",SUM(Table10s2!AH17,IFERROR(Table10s3!AH17*28,0),IFERROR(Table10s4!AH17*265,0)))</f>
        <v>56218.143063567783</v>
      </c>
      <c r="AI18" s="4101">
        <f>IF(SUM(Table10s2!AI17,IFERROR(Table10s3!AI17*28,0),IFERROR(Table10s4!AI17*265,0))=0,"NO",SUM(Table10s2!AI17,IFERROR(Table10s3!AI17*28,0),IFERROR(Table10s4!AI17*265,0)))</f>
        <v>53862.307420816025</v>
      </c>
      <c r="AJ18" s="4101">
        <f>IF(SUM(Table10s2!AJ17,IFERROR(Table10s3!AJ17*28,0),IFERROR(Table10s4!AJ17*265,0))=0,"NO",SUM(Table10s2!AJ17,IFERROR(Table10s3!AJ17*28,0),IFERROR(Table10s4!AJ17*265,0)))</f>
        <v>48632.883667232389</v>
      </c>
      <c r="AK18" s="4101">
        <f>IF(SUM(Table10s2!AK17,IFERROR(Table10s3!AK17*28,0),IFERROR(Table10s4!AK17*265,0))=0,"NO",SUM(Table10s2!AK17,IFERROR(Table10s3!AK17*28,0),IFERROR(Table10s4!AK17*265,0)))</f>
        <v>48075.664052547691</v>
      </c>
      <c r="AL18" s="4080">
        <f t="shared" si="1"/>
        <v>19.260522453138435</v>
      </c>
    </row>
    <row r="19" spans="2:38" ht="18" customHeight="1" x14ac:dyDescent="0.2">
      <c r="B19" s="1370" t="s">
        <v>1928</v>
      </c>
      <c r="C19" s="2027"/>
      <c r="D19" s="2027"/>
      <c r="E19" s="4089">
        <f>IF(SUM(Table10s2!E18,IFERROR(Table10s3!E18*28,0),IFERROR(Table10s4!E18*265,0))=0,"NO",SUM(Table10s2!E18,IFERROR(Table10s3!E18*28,0),IFERROR(Table10s4!E18*265,0)))</f>
        <v>25577.861460533186</v>
      </c>
      <c r="F19" s="4089">
        <f>IF(SUM(Table10s2!F18,IFERROR(Table10s3!F18*28,0),IFERROR(Table10s4!F18*265,0))=0,"NO",SUM(Table10s2!F18,IFERROR(Table10s3!F18*28,0),IFERROR(Table10s4!F18*265,0)))</f>
        <v>25970.574800007675</v>
      </c>
      <c r="G19" s="4101">
        <f>IF(SUM(Table10s2!G18,IFERROR(Table10s3!G18*28,0),IFERROR(Table10s4!G18*265,0))=0,"NO",SUM(Table10s2!G18,IFERROR(Table10s3!G18*28,0),IFERROR(Table10s4!G18*265,0)))</f>
        <v>27156.602289266895</v>
      </c>
      <c r="H19" s="4101">
        <f>IF(SUM(Table10s2!H18,IFERROR(Table10s3!H18*28,0),IFERROR(Table10s4!H18*265,0))=0,"NO",SUM(Table10s2!H18,IFERROR(Table10s3!H18*28,0),IFERROR(Table10s4!H18*265,0)))</f>
        <v>27238.228983135716</v>
      </c>
      <c r="I19" s="4101">
        <f>IF(SUM(Table10s2!I18,IFERROR(Table10s3!I18*28,0),IFERROR(Table10s4!I18*265,0))=0,"NO",SUM(Table10s2!I18,IFERROR(Table10s3!I18*28,0),IFERROR(Table10s4!I18*265,0)))</f>
        <v>25093.684723679948</v>
      </c>
      <c r="J19" s="4101">
        <f>IF(SUM(Table10s2!J18,IFERROR(Table10s3!J18*28,0),IFERROR(Table10s4!J18*265,0))=0,"NO",SUM(Table10s2!J18,IFERROR(Table10s3!J18*28,0),IFERROR(Table10s4!J18*265,0)))</f>
        <v>25111.245932576112</v>
      </c>
      <c r="K19" s="4101">
        <f>IF(SUM(Table10s2!K18,IFERROR(Table10s3!K18*28,0),IFERROR(Table10s4!K18*265,0))=0,"NO",SUM(Table10s2!K18,IFERROR(Table10s3!K18*28,0),IFERROR(Table10s4!K18*265,0)))</f>
        <v>25764.438517840652</v>
      </c>
      <c r="L19" s="4101">
        <f>IF(SUM(Table10s2!L18,IFERROR(Table10s3!L18*28,0),IFERROR(Table10s4!L18*265,0))=0,"NO",SUM(Table10s2!L18,IFERROR(Table10s3!L18*28,0),IFERROR(Table10s4!L18*265,0)))</f>
        <v>28595.457967032446</v>
      </c>
      <c r="M19" s="4101">
        <f>IF(SUM(Table10s2!M18,IFERROR(Table10s3!M18*28,0),IFERROR(Table10s4!M18*265,0))=0,"NO",SUM(Table10s2!M18,IFERROR(Table10s3!M18*28,0),IFERROR(Table10s4!M18*265,0)))</f>
        <v>29710.520529653728</v>
      </c>
      <c r="N19" s="4101">
        <f>IF(SUM(Table10s2!N18,IFERROR(Table10s3!N18*28,0),IFERROR(Table10s4!N18*265,0))=0,"NO",SUM(Table10s2!N18,IFERROR(Table10s3!N18*28,0),IFERROR(Table10s4!N18*265,0)))</f>
        <v>27560.00158183563</v>
      </c>
      <c r="O19" s="4101">
        <f>IF(SUM(Table10s2!O18,IFERROR(Table10s3!O18*28,0),IFERROR(Table10s4!O18*265,0))=0,"NO",SUM(Table10s2!O18,IFERROR(Table10s3!O18*28,0),IFERROR(Table10s4!O18*265,0)))</f>
        <v>29612.709835332036</v>
      </c>
      <c r="P19" s="4101">
        <f>IF(SUM(Table10s2!P18,IFERROR(Table10s3!P18*28,0),IFERROR(Table10s4!P18*265,0))=0,"NO",SUM(Table10s2!P18,IFERROR(Table10s3!P18*28,0),IFERROR(Table10s4!P18*265,0)))</f>
        <v>29403.828996435856</v>
      </c>
      <c r="Q19" s="4101">
        <f>IF(SUM(Table10s2!Q18,IFERROR(Table10s3!Q18*28,0),IFERROR(Table10s4!Q18*265,0))=0,"NO",SUM(Table10s2!Q18,IFERROR(Table10s3!Q18*28,0),IFERROR(Table10s4!Q18*265,0)))</f>
        <v>28759.505394276388</v>
      </c>
      <c r="R19" s="4101">
        <f>IF(SUM(Table10s2!R18,IFERROR(Table10s3!R18*28,0),IFERROR(Table10s4!R18*265,0))=0,"NO",SUM(Table10s2!R18,IFERROR(Table10s3!R18*28,0),IFERROR(Table10s4!R18*265,0)))</f>
        <v>28278.689839196235</v>
      </c>
      <c r="S19" s="4101">
        <f>IF(SUM(Table10s2!S18,IFERROR(Table10s3!S18*28,0),IFERROR(Table10s4!S18*265,0))=0,"NO",SUM(Table10s2!S18,IFERROR(Table10s3!S18*28,0),IFERROR(Table10s4!S18*265,0)))</f>
        <v>28784.061714598047</v>
      </c>
      <c r="T19" s="4101">
        <f>IF(SUM(Table10s2!T18,IFERROR(Table10s3!T18*28,0),IFERROR(Table10s4!T18*265,0))=0,"NO",SUM(Table10s2!T18,IFERROR(Table10s3!T18*28,0),IFERROR(Table10s4!T18*265,0)))</f>
        <v>31209.919603999642</v>
      </c>
      <c r="U19" s="4101">
        <f>IF(SUM(Table10s2!U18,IFERROR(Table10s3!U18*28,0),IFERROR(Table10s4!U18*265,0))=0,"NO",SUM(Table10s2!U18,IFERROR(Table10s3!U18*28,0),IFERROR(Table10s4!U18*265,0)))</f>
        <v>32015.447743664005</v>
      </c>
      <c r="V19" s="4101">
        <f>IF(SUM(Table10s2!V18,IFERROR(Table10s3!V18*28,0),IFERROR(Table10s4!V18*265,0))=0,"NO",SUM(Table10s2!V18,IFERROR(Table10s3!V18*28,0),IFERROR(Table10s4!V18*265,0)))</f>
        <v>34683.810542555708</v>
      </c>
      <c r="W19" s="4101">
        <f>IF(SUM(Table10s2!W18,IFERROR(Table10s3!W18*28,0),IFERROR(Table10s4!W18*265,0))=0,"NO",SUM(Table10s2!W18,IFERROR(Table10s3!W18*28,0),IFERROR(Table10s4!W18*265,0)))</f>
        <v>33739.006970840477</v>
      </c>
      <c r="X19" s="4101">
        <f>IF(SUM(Table10s2!X18,IFERROR(Table10s3!X18*28,0),IFERROR(Table10s4!X18*265,0))=0,"NO",SUM(Table10s2!X18,IFERROR(Table10s3!X18*28,0),IFERROR(Table10s4!X18*265,0)))</f>
        <v>33206.556679142515</v>
      </c>
      <c r="Y19" s="4101">
        <f>IF(SUM(Table10s2!Y18,IFERROR(Table10s3!Y18*28,0),IFERROR(Table10s4!Y18*265,0))=0,"NO",SUM(Table10s2!Y18,IFERROR(Table10s3!Y18*28,0),IFERROR(Table10s4!Y18*265,0)))</f>
        <v>32146.925164819637</v>
      </c>
      <c r="Z19" s="4101">
        <f>IF(SUM(Table10s2!Z18,IFERROR(Table10s3!Z18*28,0),IFERROR(Table10s4!Z18*265,0))=0,"NO",SUM(Table10s2!Z18,IFERROR(Table10s3!Z18*28,0),IFERROR(Table10s4!Z18*265,0)))</f>
        <v>31516.392179329763</v>
      </c>
      <c r="AA19" s="4101">
        <f>IF(SUM(Table10s2!AA18,IFERROR(Table10s3!AA18*28,0),IFERROR(Table10s4!AA18*265,0))=0,"NO",SUM(Table10s2!AA18,IFERROR(Table10s3!AA18*28,0),IFERROR(Table10s4!AA18*265,0)))</f>
        <v>31579.397913979585</v>
      </c>
      <c r="AB19" s="4101">
        <f>IF(SUM(Table10s2!AB18,IFERROR(Table10s3!AB18*28,0),IFERROR(Table10s4!AB18*265,0))=0,"NO",SUM(Table10s2!AB18,IFERROR(Table10s3!AB18*28,0),IFERROR(Table10s4!AB18*265,0)))</f>
        <v>31726.654450953632</v>
      </c>
      <c r="AC19" s="4101">
        <f>IF(SUM(Table10s2!AC18,IFERROR(Table10s3!AC18*28,0),IFERROR(Table10s4!AC18*265,0))=0,"NO",SUM(Table10s2!AC18,IFERROR(Table10s3!AC18*28,0),IFERROR(Table10s4!AC18*265,0)))</f>
        <v>29673.044542551619</v>
      </c>
      <c r="AD19" s="4101">
        <f>IF(SUM(Table10s2!AD18,IFERROR(Table10s3!AD18*28,0),IFERROR(Table10s4!AD18*265,0))=0,"NO",SUM(Table10s2!AD18,IFERROR(Table10s3!AD18*28,0),IFERROR(Table10s4!AD18*265,0)))</f>
        <v>32681.765659711207</v>
      </c>
      <c r="AE19" s="4101">
        <f>IF(SUM(Table10s2!AE18,IFERROR(Table10s3!AE18*28,0),IFERROR(Table10s4!AE18*265,0))=0,"NO",SUM(Table10s2!AE18,IFERROR(Table10s3!AE18*28,0),IFERROR(Table10s4!AE18*265,0)))</f>
        <v>32567.069655298397</v>
      </c>
      <c r="AF19" s="4101">
        <f>IF(SUM(Table10s2!AF18,IFERROR(Table10s3!AF18*28,0),IFERROR(Table10s4!AF18*265,0))=0,"NO",SUM(Table10s2!AF18,IFERROR(Table10s3!AF18*28,0),IFERROR(Table10s4!AF18*265,0)))</f>
        <v>31387.2215846256</v>
      </c>
      <c r="AG19" s="4101">
        <f>IF(SUM(Table10s2!AG18,IFERROR(Table10s3!AG18*28,0),IFERROR(Table10s4!AG18*265,0))=0,"NO",SUM(Table10s2!AG18,IFERROR(Table10s3!AG18*28,0),IFERROR(Table10s4!AG18*265,0)))</f>
        <v>32212.33662379779</v>
      </c>
      <c r="AH19" s="4101">
        <f>IF(SUM(Table10s2!AH18,IFERROR(Table10s3!AH18*28,0),IFERROR(Table10s4!AH18*265,0))=0,"NO",SUM(Table10s2!AH18,IFERROR(Table10s3!AH18*28,0),IFERROR(Table10s4!AH18*265,0)))</f>
        <v>29392.718602503046</v>
      </c>
      <c r="AI19" s="4101">
        <f>IF(SUM(Table10s2!AI18,IFERROR(Table10s3!AI18*28,0),IFERROR(Table10s4!AI18*265,0))=0,"NO",SUM(Table10s2!AI18,IFERROR(Table10s3!AI18*28,0),IFERROR(Table10s4!AI18*265,0)))</f>
        <v>30666.121153355682</v>
      </c>
      <c r="AJ19" s="4101">
        <f>IF(SUM(Table10s2!AJ18,IFERROR(Table10s3!AJ18*28,0),IFERROR(Table10s4!AJ18*265,0))=0,"NO",SUM(Table10s2!AJ18,IFERROR(Table10s3!AJ18*28,0),IFERROR(Table10s4!AJ18*265,0)))</f>
        <v>27711.974166660715</v>
      </c>
      <c r="AK19" s="4101">
        <f>IF(SUM(Table10s2!AK18,IFERROR(Table10s3!AK18*28,0),IFERROR(Table10s4!AK18*265,0))=0,"NO",SUM(Table10s2!AK18,IFERROR(Table10s3!AK18*28,0),IFERROR(Table10s4!AK18*265,0)))</f>
        <v>25620.389738191236</v>
      </c>
      <c r="AL19" s="4080">
        <f t="shared" si="1"/>
        <v>0.16626987257582471</v>
      </c>
    </row>
    <row r="20" spans="2:38" ht="18" customHeight="1" x14ac:dyDescent="0.2">
      <c r="B20" s="1414" t="s">
        <v>1929</v>
      </c>
      <c r="C20" s="2027"/>
      <c r="D20" s="2027"/>
      <c r="E20" s="4089">
        <f>IF(SUM(Table10s2!E19,IFERROR(Table10s3!E19*28,0),IFERROR(Table10s4!E19*265,0))=0,"NO",SUM(Table10s2!E19,IFERROR(Table10s3!E19*28,0),IFERROR(Table10s4!E19*265,0)))</f>
        <v>14733.603778467663</v>
      </c>
      <c r="F20" s="4089">
        <f>IF(SUM(Table10s2!F19,IFERROR(Table10s3!F19*28,0),IFERROR(Table10s4!F19*265,0))=0,"NO",SUM(Table10s2!F19,IFERROR(Table10s3!F19*28,0),IFERROR(Table10s4!F19*265,0)))</f>
        <v>13689.565734639478</v>
      </c>
      <c r="G20" s="4101">
        <f>IF(SUM(Table10s2!G19,IFERROR(Table10s3!G19*28,0),IFERROR(Table10s4!G19*265,0))=0,"NO",SUM(Table10s2!G19,IFERROR(Table10s3!G19*28,0),IFERROR(Table10s4!G19*265,0)))</f>
        <v>14445.178002901997</v>
      </c>
      <c r="H20" s="4101">
        <f>IF(SUM(Table10s2!H19,IFERROR(Table10s3!H19*28,0),IFERROR(Table10s4!H19*265,0))=0,"NO",SUM(Table10s2!H19,IFERROR(Table10s3!H19*28,0),IFERROR(Table10s4!H19*265,0)))</f>
        <v>13187.064405999667</v>
      </c>
      <c r="I20" s="4101">
        <f>IF(SUM(Table10s2!I19,IFERROR(Table10s3!I19*28,0),IFERROR(Table10s4!I19*265,0))=0,"NO",SUM(Table10s2!I19,IFERROR(Table10s3!I19*28,0),IFERROR(Table10s4!I19*265,0)))</f>
        <v>13160.54546405594</v>
      </c>
      <c r="J20" s="4101">
        <f>IF(SUM(Table10s2!J19,IFERROR(Table10s3!J19*28,0),IFERROR(Table10s4!J19*265,0))=0,"NO",SUM(Table10s2!J19,IFERROR(Table10s3!J19*28,0),IFERROR(Table10s4!J19*265,0)))</f>
        <v>14818.98041596793</v>
      </c>
      <c r="K20" s="4101">
        <f>IF(SUM(Table10s2!K19,IFERROR(Table10s3!K19*28,0),IFERROR(Table10s4!K19*265,0))=0,"NO",SUM(Table10s2!K19,IFERROR(Table10s3!K19*28,0),IFERROR(Table10s4!K19*265,0)))</f>
        <v>13713.972020055353</v>
      </c>
      <c r="L20" s="4101">
        <f>IF(SUM(Table10s2!L19,IFERROR(Table10s3!L19*28,0),IFERROR(Table10s4!L19*265,0))=0,"NO",SUM(Table10s2!L19,IFERROR(Table10s3!L19*28,0),IFERROR(Table10s4!L19*265,0)))</f>
        <v>13893.766404387254</v>
      </c>
      <c r="M20" s="4101">
        <f>IF(SUM(Table10s2!M19,IFERROR(Table10s3!M19*28,0),IFERROR(Table10s4!M19*265,0))=0,"NO",SUM(Table10s2!M19,IFERROR(Table10s3!M19*28,0),IFERROR(Table10s4!M19*265,0)))</f>
        <v>14023.038542750626</v>
      </c>
      <c r="N20" s="4101">
        <f>IF(SUM(Table10s2!N19,IFERROR(Table10s3!N19*28,0),IFERROR(Table10s4!N19*265,0))=0,"NO",SUM(Table10s2!N19,IFERROR(Table10s3!N19*28,0),IFERROR(Table10s4!N19*265,0)))</f>
        <v>12992.578284404322</v>
      </c>
      <c r="O20" s="4101">
        <f>IF(SUM(Table10s2!O19,IFERROR(Table10s3!O19*28,0),IFERROR(Table10s4!O19*265,0))=0,"NO",SUM(Table10s2!O19,IFERROR(Table10s3!O19*28,0),IFERROR(Table10s4!O19*265,0)))</f>
        <v>14399.26685416689</v>
      </c>
      <c r="P20" s="4101">
        <f>IF(SUM(Table10s2!P19,IFERROR(Table10s3!P19*28,0),IFERROR(Table10s4!P19*265,0))=0,"NO",SUM(Table10s2!P19,IFERROR(Table10s3!P19*28,0),IFERROR(Table10s4!P19*265,0)))</f>
        <v>14600.963017287622</v>
      </c>
      <c r="Q20" s="4101">
        <f>IF(SUM(Table10s2!Q19,IFERROR(Table10s3!Q19*28,0),IFERROR(Table10s4!Q19*265,0))=0,"NO",SUM(Table10s2!Q19,IFERROR(Table10s3!Q19*28,0),IFERROR(Table10s4!Q19*265,0)))</f>
        <v>13956.732404555554</v>
      </c>
      <c r="R20" s="4101">
        <f>IF(SUM(Table10s2!R19,IFERROR(Table10s3!R19*28,0),IFERROR(Table10s4!R19*265,0))=0,"NO",SUM(Table10s2!R19,IFERROR(Table10s3!R19*28,0),IFERROR(Table10s4!R19*265,0)))</f>
        <v>12689.442130080473</v>
      </c>
      <c r="S20" s="4101">
        <f>IF(SUM(Table10s2!S19,IFERROR(Table10s3!S19*28,0),IFERROR(Table10s4!S19*265,0))=0,"NO",SUM(Table10s2!S19,IFERROR(Table10s3!S19*28,0),IFERROR(Table10s4!S19*265,0)))</f>
        <v>12020.504593493413</v>
      </c>
      <c r="T20" s="4101">
        <f>IF(SUM(Table10s2!T19,IFERROR(Table10s3!T19*28,0),IFERROR(Table10s4!T19*265,0))=0,"NO",SUM(Table10s2!T19,IFERROR(Table10s3!T19*28,0),IFERROR(Table10s4!T19*265,0)))</f>
        <v>11581.49094089035</v>
      </c>
      <c r="U20" s="4101">
        <f>IF(SUM(Table10s2!U19,IFERROR(Table10s3!U19*28,0),IFERROR(Table10s4!U19*265,0))=0,"NO",SUM(Table10s2!U19,IFERROR(Table10s3!U19*28,0),IFERROR(Table10s4!U19*265,0)))</f>
        <v>11627.605627360803</v>
      </c>
      <c r="V20" s="4101">
        <f>IF(SUM(Table10s2!V19,IFERROR(Table10s3!V19*28,0),IFERROR(Table10s4!V19*265,0))=0,"NO",SUM(Table10s2!V19,IFERROR(Table10s3!V19*28,0),IFERROR(Table10s4!V19*265,0)))</f>
        <v>12087.090372849896</v>
      </c>
      <c r="W20" s="4101">
        <f>IF(SUM(Table10s2!W19,IFERROR(Table10s3!W19*28,0),IFERROR(Table10s4!W19*265,0))=0,"NO",SUM(Table10s2!W19,IFERROR(Table10s3!W19*28,0),IFERROR(Table10s4!W19*265,0)))</f>
        <v>12331.195000884096</v>
      </c>
      <c r="X20" s="4101">
        <f>IF(SUM(Table10s2!X19,IFERROR(Table10s3!X19*28,0),IFERROR(Table10s4!X19*265,0))=0,"NO",SUM(Table10s2!X19,IFERROR(Table10s3!X19*28,0),IFERROR(Table10s4!X19*265,0)))</f>
        <v>12542.255138562856</v>
      </c>
      <c r="Y20" s="4101">
        <f>IF(SUM(Table10s2!Y19,IFERROR(Table10s3!Y19*28,0),IFERROR(Table10s4!Y19*265,0))=0,"NO",SUM(Table10s2!Y19,IFERROR(Table10s3!Y19*28,0),IFERROR(Table10s4!Y19*265,0)))</f>
        <v>13362.050563381646</v>
      </c>
      <c r="Z20" s="4101">
        <f>IF(SUM(Table10s2!Z19,IFERROR(Table10s3!Z19*28,0),IFERROR(Table10s4!Z19*265,0))=0,"NO",SUM(Table10s2!Z19,IFERROR(Table10s3!Z19*28,0),IFERROR(Table10s4!Z19*265,0)))</f>
        <v>12444.006188445019</v>
      </c>
      <c r="AA20" s="4101">
        <f>IF(SUM(Table10s2!AA19,IFERROR(Table10s3!AA19*28,0),IFERROR(Table10s4!AA19*265,0))=0,"NO",SUM(Table10s2!AA19,IFERROR(Table10s3!AA19*28,0),IFERROR(Table10s4!AA19*265,0)))</f>
        <v>13107.423025619466</v>
      </c>
      <c r="AB20" s="4101">
        <f>IF(SUM(Table10s2!AB19,IFERROR(Table10s3!AB19*28,0),IFERROR(Table10s4!AB19*265,0))=0,"NO",SUM(Table10s2!AB19,IFERROR(Table10s3!AB19*28,0),IFERROR(Table10s4!AB19*265,0)))</f>
        <v>13699.332131022456</v>
      </c>
      <c r="AC20" s="4101">
        <f>IF(SUM(Table10s2!AC19,IFERROR(Table10s3!AC19*28,0),IFERROR(Table10s4!AC19*265,0))=0,"NO",SUM(Table10s2!AC19,IFERROR(Table10s3!AC19*28,0),IFERROR(Table10s4!AC19*265,0)))</f>
        <v>13713.203958146125</v>
      </c>
      <c r="AD20" s="4101">
        <f>IF(SUM(Table10s2!AD19,IFERROR(Table10s3!AD19*28,0),IFERROR(Table10s4!AD19*265,0))=0,"NO",SUM(Table10s2!AD19,IFERROR(Table10s3!AD19*28,0),IFERROR(Table10s4!AD19*265,0)))</f>
        <v>15880.897962346968</v>
      </c>
      <c r="AE20" s="4101">
        <f>IF(SUM(Table10s2!AE19,IFERROR(Table10s3!AE19*28,0),IFERROR(Table10s4!AE19*265,0))=0,"NO",SUM(Table10s2!AE19,IFERROR(Table10s3!AE19*28,0),IFERROR(Table10s4!AE19*265,0)))</f>
        <v>17280.757537500074</v>
      </c>
      <c r="AF20" s="4101">
        <f>IF(SUM(Table10s2!AF19,IFERROR(Table10s3!AF19*28,0),IFERROR(Table10s4!AF19*265,0))=0,"NO",SUM(Table10s2!AF19,IFERROR(Table10s3!AF19*28,0),IFERROR(Table10s4!AF19*265,0)))</f>
        <v>20440.884381634176</v>
      </c>
      <c r="AG20" s="4101">
        <f>IF(SUM(Table10s2!AG19,IFERROR(Table10s3!AG19*28,0),IFERROR(Table10s4!AG19*265,0))=0,"NO",SUM(Table10s2!AG19,IFERROR(Table10s3!AG19*28,0),IFERROR(Table10s4!AG19*265,0)))</f>
        <v>22666.54512895372</v>
      </c>
      <c r="AH20" s="4101">
        <f>IF(SUM(Table10s2!AH19,IFERROR(Table10s3!AH19*28,0),IFERROR(Table10s4!AH19*265,0))=0,"NO",SUM(Table10s2!AH19,IFERROR(Table10s3!AH19*28,0),IFERROR(Table10s4!AH19*265,0)))</f>
        <v>26825.424461064737</v>
      </c>
      <c r="AI20" s="4101">
        <f>IF(SUM(Table10s2!AI19,IFERROR(Table10s3!AI19*28,0),IFERROR(Table10s4!AI19*265,0))=0,"NO",SUM(Table10s2!AI19,IFERROR(Table10s3!AI19*28,0),IFERROR(Table10s4!AI19*265,0)))</f>
        <v>23196.186267460347</v>
      </c>
      <c r="AJ20" s="4101">
        <f>IF(SUM(Table10s2!AJ19,IFERROR(Table10s3!AJ19*28,0),IFERROR(Table10s4!AJ19*265,0))=0,"NO",SUM(Table10s2!AJ19,IFERROR(Table10s3!AJ19*28,0),IFERROR(Table10s4!AJ19*265,0)))</f>
        <v>20920.909500571674</v>
      </c>
      <c r="AK20" s="4101">
        <f>IF(SUM(Table10s2!AK19,IFERROR(Table10s3!AK19*28,0),IFERROR(Table10s4!AK19*265,0))=0,"NO",SUM(Table10s2!AK19,IFERROR(Table10s3!AK19*28,0),IFERROR(Table10s4!AK19*265,0)))</f>
        <v>22455.274314356451</v>
      </c>
      <c r="AL20" s="4080">
        <f t="shared" si="1"/>
        <v>52.408566512244448</v>
      </c>
    </row>
    <row r="21" spans="2:38" ht="18" customHeight="1" thickBot="1" x14ac:dyDescent="0.25">
      <c r="B21" s="1415" t="s">
        <v>1930</v>
      </c>
      <c r="C21" s="2254"/>
      <c r="D21" s="2254"/>
      <c r="E21" s="4102" t="str">
        <f>IF(SUM(Table10s2!E20,IFERROR(Table10s3!E20*28,0),IFERROR(Table10s4!E20*265,0))=0,"NO",SUM(Table10s2!E20,IFERROR(Table10s3!E20*28,0),IFERROR(Table10s4!E20*265,0)))</f>
        <v>NO</v>
      </c>
      <c r="F21" s="4102" t="str">
        <f>IF(SUM(Table10s2!F20,IFERROR(Table10s3!F20*28,0),IFERROR(Table10s4!F20*265,0))=0,"NO",SUM(Table10s2!F20,IFERROR(Table10s3!F20*28,0),IFERROR(Table10s4!F20*265,0)))</f>
        <v>NO</v>
      </c>
      <c r="G21" s="4103" t="str">
        <f>IF(SUM(Table10s2!G20,IFERROR(Table10s3!G20*28,0),IFERROR(Table10s4!G20*265,0))=0,"NO",SUM(Table10s2!G20,IFERROR(Table10s3!G20*28,0),IFERROR(Table10s4!G20*265,0)))</f>
        <v>NO</v>
      </c>
      <c r="H21" s="4103" t="str">
        <f>IF(SUM(Table10s2!H20,IFERROR(Table10s3!H20*28,0),IFERROR(Table10s4!H20*265,0))=0,"NO",SUM(Table10s2!H20,IFERROR(Table10s3!H20*28,0),IFERROR(Table10s4!H20*265,0)))</f>
        <v>NO</v>
      </c>
      <c r="I21" s="4103" t="str">
        <f>IF(SUM(Table10s2!I20,IFERROR(Table10s3!I20*28,0),IFERROR(Table10s4!I20*265,0))=0,"NO",SUM(Table10s2!I20,IFERROR(Table10s3!I20*28,0),IFERROR(Table10s4!I20*265,0)))</f>
        <v>NO</v>
      </c>
      <c r="J21" s="4103" t="str">
        <f>IF(SUM(Table10s2!J20,IFERROR(Table10s3!J20*28,0),IFERROR(Table10s4!J20*265,0))=0,"NO",SUM(Table10s2!J20,IFERROR(Table10s3!J20*28,0),IFERROR(Table10s4!J20*265,0)))</f>
        <v>NO</v>
      </c>
      <c r="K21" s="4103" t="str">
        <f>IF(SUM(Table10s2!K20,IFERROR(Table10s3!K20*28,0),IFERROR(Table10s4!K20*265,0))=0,"NO",SUM(Table10s2!K20,IFERROR(Table10s3!K20*28,0),IFERROR(Table10s4!K20*265,0)))</f>
        <v>NO</v>
      </c>
      <c r="L21" s="4103" t="str">
        <f>IF(SUM(Table10s2!L20,IFERROR(Table10s3!L20*28,0),IFERROR(Table10s4!L20*265,0))=0,"NO",SUM(Table10s2!L20,IFERROR(Table10s3!L20*28,0),IFERROR(Table10s4!L20*265,0)))</f>
        <v>NO</v>
      </c>
      <c r="M21" s="4103" t="str">
        <f>IF(SUM(Table10s2!M20,IFERROR(Table10s3!M20*28,0),IFERROR(Table10s4!M20*265,0))=0,"NO",SUM(Table10s2!M20,IFERROR(Table10s3!M20*28,0),IFERROR(Table10s4!M20*265,0)))</f>
        <v>NO</v>
      </c>
      <c r="N21" s="4103" t="str">
        <f>IF(SUM(Table10s2!N20,IFERROR(Table10s3!N20*28,0),IFERROR(Table10s4!N20*265,0))=0,"NO",SUM(Table10s2!N20,IFERROR(Table10s3!N20*28,0),IFERROR(Table10s4!N20*265,0)))</f>
        <v>NO</v>
      </c>
      <c r="O21" s="4103" t="str">
        <f>IF(SUM(Table10s2!O20,IFERROR(Table10s3!O20*28,0),IFERROR(Table10s4!O20*265,0))=0,"NO",SUM(Table10s2!O20,IFERROR(Table10s3!O20*28,0),IFERROR(Table10s4!O20*265,0)))</f>
        <v>NO</v>
      </c>
      <c r="P21" s="4103" t="str">
        <f>IF(SUM(Table10s2!P20,IFERROR(Table10s3!P20*28,0),IFERROR(Table10s4!P20*265,0))=0,"NO",SUM(Table10s2!P20,IFERROR(Table10s3!P20*28,0),IFERROR(Table10s4!P20*265,0)))</f>
        <v>NO</v>
      </c>
      <c r="Q21" s="4103" t="str">
        <f>IF(SUM(Table10s2!Q20,IFERROR(Table10s3!Q20*28,0),IFERROR(Table10s4!Q20*265,0))=0,"NO",SUM(Table10s2!Q20,IFERROR(Table10s3!Q20*28,0),IFERROR(Table10s4!Q20*265,0)))</f>
        <v>NO</v>
      </c>
      <c r="R21" s="4103" t="str">
        <f>IF(SUM(Table10s2!R20,IFERROR(Table10s3!R20*28,0),IFERROR(Table10s4!R20*265,0))=0,"NO",SUM(Table10s2!R20,IFERROR(Table10s3!R20*28,0),IFERROR(Table10s4!R20*265,0)))</f>
        <v>NO</v>
      </c>
      <c r="S21" s="4103" t="str">
        <f>IF(SUM(Table10s2!S20,IFERROR(Table10s3!S20*28,0),IFERROR(Table10s4!S20*265,0))=0,"NO",SUM(Table10s2!S20,IFERROR(Table10s3!S20*28,0),IFERROR(Table10s4!S20*265,0)))</f>
        <v>NO</v>
      </c>
      <c r="T21" s="4103" t="str">
        <f>IF(SUM(Table10s2!T20,IFERROR(Table10s3!T20*28,0),IFERROR(Table10s4!T20*265,0))=0,"NO",SUM(Table10s2!T20,IFERROR(Table10s3!T20*28,0),IFERROR(Table10s4!T20*265,0)))</f>
        <v>NO</v>
      </c>
      <c r="U21" s="4103" t="str">
        <f>IF(SUM(Table10s2!U20,IFERROR(Table10s3!U20*28,0),IFERROR(Table10s4!U20*265,0))=0,"NO",SUM(Table10s2!U20,IFERROR(Table10s3!U20*28,0),IFERROR(Table10s4!U20*265,0)))</f>
        <v>NO</v>
      </c>
      <c r="V21" s="4103" t="str">
        <f>IF(SUM(Table10s2!V20,IFERROR(Table10s3!V20*28,0),IFERROR(Table10s4!V20*265,0))=0,"NO",SUM(Table10s2!V20,IFERROR(Table10s3!V20*28,0),IFERROR(Table10s4!V20*265,0)))</f>
        <v>NO</v>
      </c>
      <c r="W21" s="4103" t="str">
        <f>IF(SUM(Table10s2!W20,IFERROR(Table10s3!W20*28,0),IFERROR(Table10s4!W20*265,0))=0,"NO",SUM(Table10s2!W20,IFERROR(Table10s3!W20*28,0),IFERROR(Table10s4!W20*265,0)))</f>
        <v>NO</v>
      </c>
      <c r="X21" s="4103" t="str">
        <f>IF(SUM(Table10s2!X20,IFERROR(Table10s3!X20*28,0),IFERROR(Table10s4!X20*265,0))=0,"NO",SUM(Table10s2!X20,IFERROR(Table10s3!X20*28,0),IFERROR(Table10s4!X20*265,0)))</f>
        <v>NO</v>
      </c>
      <c r="Y21" s="4103" t="str">
        <f>IF(SUM(Table10s2!Y20,IFERROR(Table10s3!Y20*28,0),IFERROR(Table10s4!Y20*265,0))=0,"NO",SUM(Table10s2!Y20,IFERROR(Table10s3!Y20*28,0),IFERROR(Table10s4!Y20*265,0)))</f>
        <v>NO</v>
      </c>
      <c r="Z21" s="4103" t="str">
        <f>IF(SUM(Table10s2!Z20,IFERROR(Table10s3!Z20*28,0),IFERROR(Table10s4!Z20*265,0))=0,"NO",SUM(Table10s2!Z20,IFERROR(Table10s3!Z20*28,0),IFERROR(Table10s4!Z20*265,0)))</f>
        <v>NO</v>
      </c>
      <c r="AA21" s="4103" t="str">
        <f>IF(SUM(Table10s2!AA20,IFERROR(Table10s3!AA20*28,0),IFERROR(Table10s4!AA20*265,0))=0,"NO",SUM(Table10s2!AA20,IFERROR(Table10s3!AA20*28,0),IFERROR(Table10s4!AA20*265,0)))</f>
        <v>NO</v>
      </c>
      <c r="AB21" s="4103" t="str">
        <f>IF(SUM(Table10s2!AB20,IFERROR(Table10s3!AB20*28,0),IFERROR(Table10s4!AB20*265,0))=0,"NO",SUM(Table10s2!AB20,IFERROR(Table10s3!AB20*28,0),IFERROR(Table10s4!AB20*265,0)))</f>
        <v>NO</v>
      </c>
      <c r="AC21" s="4103" t="str">
        <f>IF(SUM(Table10s2!AC20,IFERROR(Table10s3!AC20*28,0),IFERROR(Table10s4!AC20*265,0))=0,"NO",SUM(Table10s2!AC20,IFERROR(Table10s3!AC20*28,0),IFERROR(Table10s4!AC20*265,0)))</f>
        <v>NO</v>
      </c>
      <c r="AD21" s="4103" t="str">
        <f>IF(SUM(Table10s2!AD20,IFERROR(Table10s3!AD20*28,0),IFERROR(Table10s4!AD20*265,0))=0,"NO",SUM(Table10s2!AD20,IFERROR(Table10s3!AD20*28,0),IFERROR(Table10s4!AD20*265,0)))</f>
        <v>NO</v>
      </c>
      <c r="AE21" s="4103" t="str">
        <f>IF(SUM(Table10s2!AE20,IFERROR(Table10s3!AE20*28,0),IFERROR(Table10s4!AE20*265,0))=0,"NO",SUM(Table10s2!AE20,IFERROR(Table10s3!AE20*28,0),IFERROR(Table10s4!AE20*265,0)))</f>
        <v>NO</v>
      </c>
      <c r="AF21" s="4103" t="str">
        <f>IF(SUM(Table10s2!AF20,IFERROR(Table10s3!AF20*28,0),IFERROR(Table10s4!AF20*265,0))=0,"NO",SUM(Table10s2!AF20,IFERROR(Table10s3!AF20*28,0),IFERROR(Table10s4!AF20*265,0)))</f>
        <v>NO</v>
      </c>
      <c r="AG21" s="4103" t="str">
        <f>IF(SUM(Table10s2!AG20,IFERROR(Table10s3!AG20*28,0),IFERROR(Table10s4!AG20*265,0))=0,"NO",SUM(Table10s2!AG20,IFERROR(Table10s3!AG20*28,0),IFERROR(Table10s4!AG20*265,0)))</f>
        <v>NO</v>
      </c>
      <c r="AH21" s="4103" t="str">
        <f>IF(SUM(Table10s2!AH20,IFERROR(Table10s3!AH20*28,0),IFERROR(Table10s4!AH20*265,0))=0,"NO",SUM(Table10s2!AH20,IFERROR(Table10s3!AH20*28,0),IFERROR(Table10s4!AH20*265,0)))</f>
        <v>NO</v>
      </c>
      <c r="AI21" s="4103">
        <f>IF(SUM(Table10s2!AI20,IFERROR(Table10s3!AI20*28,0),IFERROR(Table10s4!AI20*265,0))=0,"NO",SUM(Table10s2!AI20,IFERROR(Table10s3!AI20*28,0),IFERROR(Table10s4!AI20*265,0)))</f>
        <v>12.417</v>
      </c>
      <c r="AJ21" s="4103">
        <f>IF(SUM(Table10s2!AJ20,IFERROR(Table10s3!AJ20*28,0),IFERROR(Table10s4!AJ20*265,0))=0,"NO",SUM(Table10s2!AJ20,IFERROR(Table10s3!AJ20*28,0),IFERROR(Table10s4!AJ20*265,0)))</f>
        <v>2.2450000000000001</v>
      </c>
      <c r="AK21" s="4418">
        <f>IF(SUM(Table10s2!AK20,IFERROR(Table10s3!AK20*28,0),IFERROR(Table10s4!AK20*265,0))=0,"NO",SUM(Table10s2!AK20,IFERROR(Table10s3!AK20*28,0),IFERROR(Table10s4!AK20*265,0)))</f>
        <v>0.34300000000000003</v>
      </c>
      <c r="AL21" s="4086">
        <f t="shared" si="1"/>
        <v>100</v>
      </c>
    </row>
    <row r="22" spans="2:38" ht="18" customHeight="1" x14ac:dyDescent="0.2">
      <c r="B22" s="778" t="s">
        <v>1931</v>
      </c>
      <c r="C22" s="2029"/>
      <c r="D22" s="2029"/>
      <c r="E22" s="4107">
        <f>IF(SUM(Table10s2!E21,IFERROR(Table10s3!E21*28,0),IFERROR(Table10s4!E21*265,0),Table10s5!E11,Table10s5!E33,Table10s5!E47)=0,"NO",SUM(Table10s2!E21,IFERROR(Table10s3!E21*28,0),IFERROR(Table10s4!E21*265,0),Table10s5!E11,Table10s5!E33,Table10s5!E47))</f>
        <v>25113.212932040737</v>
      </c>
      <c r="F22" s="4107">
        <f>IF(SUM(Table10s2!F21,IFERROR(Table10s3!F21*28,0),IFERROR(Table10s4!F21*265,0),Table10s5!F11,Table10s5!F33,Table10s5!F47)=0,"NO",SUM(Table10s2!F21,IFERROR(Table10s3!F21*28,0),IFERROR(Table10s4!F21*265,0),Table10s5!F11,Table10s5!F33,Table10s5!F47))</f>
        <v>24310.425837712566</v>
      </c>
      <c r="G22" s="4107">
        <f>IF(SUM(Table10s2!G21,IFERROR(Table10s3!G21*28,0),IFERROR(Table10s4!G21*265,0),Table10s5!G11,Table10s5!G33,Table10s5!G47)=0,"NO",SUM(Table10s2!G21,IFERROR(Table10s3!G21*28,0),IFERROR(Table10s4!G21*265,0),Table10s5!G11,Table10s5!G33,Table10s5!G47))</f>
        <v>24888.973088353901</v>
      </c>
      <c r="H22" s="4107">
        <f>IF(SUM(Table10s2!H21,IFERROR(Table10s3!H21*28,0),IFERROR(Table10s4!H21*265,0),Table10s5!H11,Table10s5!H33,Table10s5!H47)=0,"NO",SUM(Table10s2!H21,IFERROR(Table10s3!H21*28,0),IFERROR(Table10s4!H21*265,0),Table10s5!H11,Table10s5!H33,Table10s5!H47))</f>
        <v>24635.149239859689</v>
      </c>
      <c r="I22" s="4107">
        <f>IF(SUM(Table10s2!I21,IFERROR(Table10s3!I21*28,0),IFERROR(Table10s4!I21*265,0),Table10s5!I11,Table10s5!I33,Table10s5!I47)=0,"NO",SUM(Table10s2!I21,IFERROR(Table10s3!I21*28,0),IFERROR(Table10s4!I21*265,0),Table10s5!I11,Table10s5!I33,Table10s5!I47))</f>
        <v>24886.776809699521</v>
      </c>
      <c r="J22" s="4107">
        <f>IF(SUM(Table10s2!J21,IFERROR(Table10s3!J21*28,0),IFERROR(Table10s4!J21*265,0),Table10s5!J11,Table10s5!J33,Table10s5!J47)=0,"NO",SUM(Table10s2!J21,IFERROR(Table10s3!J21*28,0),IFERROR(Table10s4!J21*265,0),Table10s5!J11,Table10s5!J33,Table10s5!J47))</f>
        <v>24654.423476591419</v>
      </c>
      <c r="K22" s="4107">
        <f>IF(SUM(Table10s2!K21,IFERROR(Table10s3!K21*28,0),IFERROR(Table10s4!K21*265,0),Table10s5!K11,Table10s5!K33,Table10s5!K47)=0,"NO",SUM(Table10s2!K21,IFERROR(Table10s3!K21*28,0),IFERROR(Table10s4!K21*265,0),Table10s5!K11,Table10s5!K33,Table10s5!K47))</f>
        <v>24342.833010078666</v>
      </c>
      <c r="L22" s="4107">
        <f>IF(SUM(Table10s2!L21,IFERROR(Table10s3!L21*28,0),IFERROR(Table10s4!L21*265,0),Table10s5!L11,Table10s5!L33,Table10s5!L47)=0,"NO",SUM(Table10s2!L21,IFERROR(Table10s3!L21*28,0),IFERROR(Table10s4!L21*265,0),Table10s5!L11,Table10s5!L33,Table10s5!L47))</f>
        <v>24415.692723731681</v>
      </c>
      <c r="M22" s="4107">
        <f>IF(SUM(Table10s2!M21,IFERROR(Table10s3!M21*28,0),IFERROR(Table10s4!M21*265,0),Table10s5!M11,Table10s5!M33,Table10s5!M47)=0,"NO",SUM(Table10s2!M21,IFERROR(Table10s3!M21*28,0),IFERROR(Table10s4!M21*265,0),Table10s5!M11,Table10s5!M33,Table10s5!M47))</f>
        <v>25468.697414458627</v>
      </c>
      <c r="N22" s="4107">
        <f>IF(SUM(Table10s2!N21,IFERROR(Table10s3!N21*28,0),IFERROR(Table10s4!N21*265,0),Table10s5!N11,Table10s5!N33,Table10s5!N47)=0,"NO",SUM(Table10s2!N21,IFERROR(Table10s3!N21*28,0),IFERROR(Table10s4!N21*265,0),Table10s5!N11,Table10s5!N33,Table10s5!N47))</f>
        <v>25914.848602962462</v>
      </c>
      <c r="O22" s="4107">
        <f>IF(SUM(Table10s2!O21,IFERROR(Table10s3!O21*28,0),IFERROR(Table10s4!O21*265,0),Table10s5!O11,Table10s5!O33,Table10s5!O47)=0,"NO",SUM(Table10s2!O21,IFERROR(Table10s3!O21*28,0),IFERROR(Table10s4!O21*265,0),Table10s5!O11,Table10s5!O33,Table10s5!O47))</f>
        <v>25766.612252688898</v>
      </c>
      <c r="P22" s="4107">
        <f>IF(SUM(Table10s2!P21,IFERROR(Table10s3!P21*28,0),IFERROR(Table10s4!P21*265,0),Table10s5!P11,Table10s5!P33,Table10s5!P47)=0,"NO",SUM(Table10s2!P21,IFERROR(Table10s3!P21*28,0),IFERROR(Table10s4!P21*265,0),Table10s5!P11,Table10s5!P33,Table10s5!P47))</f>
        <v>26598.981588761144</v>
      </c>
      <c r="Q22" s="4107">
        <f>IF(SUM(Table10s2!Q21,IFERROR(Table10s3!Q21*28,0),IFERROR(Table10s4!Q21*265,0),Table10s5!Q11,Table10s5!Q33,Table10s5!Q47)=0,"NO",SUM(Table10s2!Q21,IFERROR(Table10s3!Q21*28,0),IFERROR(Table10s4!Q21*265,0),Table10s5!Q11,Table10s5!Q33,Table10s5!Q47))</f>
        <v>27059.847689280607</v>
      </c>
      <c r="R22" s="4107">
        <f>IF(SUM(Table10s2!R21,IFERROR(Table10s3!R21*28,0),IFERROR(Table10s4!R21*265,0),Table10s5!R11,Table10s5!R33,Table10s5!R47)=0,"NO",SUM(Table10s2!R21,IFERROR(Table10s3!R21*28,0),IFERROR(Table10s4!R21*265,0),Table10s5!R11,Table10s5!R33,Table10s5!R47))</f>
        <v>29531.120331734412</v>
      </c>
      <c r="S22" s="4107">
        <f>IF(SUM(Table10s2!S21,IFERROR(Table10s3!S21*28,0),IFERROR(Table10s4!S21*265,0),Table10s5!S11,Table10s5!S33,Table10s5!S47)=0,"NO",SUM(Table10s2!S21,IFERROR(Table10s3!S21*28,0),IFERROR(Table10s4!S21*265,0),Table10s5!S11,Table10s5!S33,Table10s5!S47))</f>
        <v>30831.065374623351</v>
      </c>
      <c r="T22" s="4107">
        <f>IF(SUM(Table10s2!T21,IFERROR(Table10s3!T21*28,0),IFERROR(Table10s4!T21*265,0),Table10s5!T11,Table10s5!T33,Table10s5!T47)=0,"NO",SUM(Table10s2!T21,IFERROR(Table10s3!T21*28,0),IFERROR(Table10s4!T21*265,0),Table10s5!T11,Table10s5!T33,Table10s5!T47))</f>
        <v>30130.272355562913</v>
      </c>
      <c r="U22" s="4107">
        <f>IF(SUM(Table10s2!U21,IFERROR(Table10s3!U21*28,0),IFERROR(Table10s4!U21*265,0),Table10s5!U11,Table10s5!U33,Table10s5!U47)=0,"NO",SUM(Table10s2!U21,IFERROR(Table10s3!U21*28,0),IFERROR(Table10s4!U21*265,0),Table10s5!U11,Table10s5!U33,Table10s5!U47))</f>
        <v>30615.933277017375</v>
      </c>
      <c r="V22" s="4107">
        <f>IF(SUM(Table10s2!V21,IFERROR(Table10s3!V21*28,0),IFERROR(Table10s4!V21*265,0),Table10s5!V11,Table10s5!V33,Table10s5!V47)=0,"NO",SUM(Table10s2!V21,IFERROR(Table10s3!V21*28,0),IFERROR(Table10s4!V21*265,0),Table10s5!V11,Table10s5!V33,Table10s5!V47))</f>
        <v>32659.406821376433</v>
      </c>
      <c r="W22" s="4107">
        <f>IF(SUM(Table10s2!W21,IFERROR(Table10s3!W21*28,0),IFERROR(Table10s4!W21*265,0),Table10s5!W11,Table10s5!W33,Table10s5!W47)=0,"NO",SUM(Table10s2!W21,IFERROR(Table10s3!W21*28,0),IFERROR(Table10s4!W21*265,0),Table10s5!W11,Table10s5!W33,Table10s5!W47))</f>
        <v>32673.882166442574</v>
      </c>
      <c r="X22" s="4107">
        <f>IF(SUM(Table10s2!X21,IFERROR(Table10s3!X21*28,0),IFERROR(Table10s4!X21*265,0),Table10s5!X11,Table10s5!X33,Table10s5!X47)=0,"NO",SUM(Table10s2!X21,IFERROR(Table10s3!X21*28,0),IFERROR(Table10s4!X21*265,0),Table10s5!X11,Table10s5!X33,Table10s5!X47))</f>
        <v>30504.544328139807</v>
      </c>
      <c r="Y22" s="4107">
        <f>IF(SUM(Table10s2!Y21,IFERROR(Table10s3!Y21*28,0),IFERROR(Table10s4!Y21*265,0),Table10s5!Y11,Table10s5!Y33,Table10s5!Y47)=0,"NO",SUM(Table10s2!Y21,IFERROR(Table10s3!Y21*28,0),IFERROR(Table10s4!Y21*265,0),Table10s5!Y11,Table10s5!Y33,Table10s5!Y47))</f>
        <v>33449.70386423765</v>
      </c>
      <c r="Z22" s="4107">
        <f>IF(SUM(Table10s2!Z21,IFERROR(Table10s3!Z21*28,0),IFERROR(Table10s4!Z21*265,0),Table10s5!Z11,Table10s5!Z33,Table10s5!Z47)=0,"NO",SUM(Table10s2!Z21,IFERROR(Table10s3!Z21*28,0),IFERROR(Table10s4!Z21*265,0),Table10s5!Z11,Table10s5!Z33,Table10s5!Z47))</f>
        <v>34258.212580529442</v>
      </c>
      <c r="AA22" s="4107">
        <f>IF(SUM(Table10s2!AA21,IFERROR(Table10s3!AA21*28,0),IFERROR(Table10s4!AA21*265,0),Table10s5!AA11,Table10s5!AA33,Table10s5!AA47)=0,"NO",SUM(Table10s2!AA21,IFERROR(Table10s3!AA21*28,0),IFERROR(Table10s4!AA21*265,0),Table10s5!AA11,Table10s5!AA33,Table10s5!AA47))</f>
        <v>31895.424474820527</v>
      </c>
      <c r="AB22" s="4107">
        <f>IF(SUM(Table10s2!AB21,IFERROR(Table10s3!AB21*28,0),IFERROR(Table10s4!AB21*265,0),Table10s5!AB11,Table10s5!AB33,Table10s5!AB47)=0,"NO",SUM(Table10s2!AB21,IFERROR(Table10s3!AB21*28,0),IFERROR(Table10s4!AB21*265,0),Table10s5!AB11,Table10s5!AB33,Table10s5!AB47))</f>
        <v>29685.270283998554</v>
      </c>
      <c r="AC22" s="4107">
        <f>IF(SUM(Table10s2!AC21,IFERROR(Table10s3!AC21*28,0),IFERROR(Table10s4!AC21*265,0),Table10s5!AC11,Table10s5!AC33,Table10s5!AC47)=0,"NO",SUM(Table10s2!AC21,IFERROR(Table10s3!AC21*28,0),IFERROR(Table10s4!AC21*265,0),Table10s5!AC11,Table10s5!AC33,Table10s5!AC47))</f>
        <v>29612.413834685369</v>
      </c>
      <c r="AD22" s="4107">
        <f>IF(SUM(Table10s2!AD21,IFERROR(Table10s3!AD21*28,0),IFERROR(Table10s4!AD21*265,0),Table10s5!AD11,Table10s5!AD33,Table10s5!AD47)=0,"NO",SUM(Table10s2!AD21,IFERROR(Table10s3!AD21*28,0),IFERROR(Table10s4!AD21*265,0),Table10s5!AD11,Table10s5!AD33,Table10s5!AD47))</f>
        <v>30477.795357648032</v>
      </c>
      <c r="AE22" s="4107">
        <f>IF(SUM(Table10s2!AE21,IFERROR(Table10s3!AE21*28,0),IFERROR(Table10s4!AE21*265,0),Table10s5!AE11,Table10s5!AE33,Table10s5!AE47)=0,"NO",SUM(Table10s2!AE21,IFERROR(Table10s3!AE21*28,0),IFERROR(Table10s4!AE21*265,0),Table10s5!AE11,Table10s5!AE33,Table10s5!AE47))</f>
        <v>30562.406353755334</v>
      </c>
      <c r="AF22" s="4107">
        <f>IF(SUM(Table10s2!AF21,IFERROR(Table10s3!AF21*28,0),IFERROR(Table10s4!AF21*265,0),Table10s5!AF11,Table10s5!AF33,Table10s5!AF47)=0,"NO",SUM(Table10s2!AF21,IFERROR(Table10s3!AF21*28,0),IFERROR(Table10s4!AF21*265,0),Table10s5!AF11,Table10s5!AF33,Table10s5!AF47))</f>
        <v>31166.600481499361</v>
      </c>
      <c r="AG22" s="4107">
        <f>IF(SUM(Table10s2!AG21,IFERROR(Table10s3!AG21*28,0),IFERROR(Table10s4!AG21*265,0),Table10s5!AG11,Table10s5!AG33,Table10s5!AG47)=0,"NO",SUM(Table10s2!AG21,IFERROR(Table10s3!AG21*28,0),IFERROR(Table10s4!AG21*265,0),Table10s5!AG11,Table10s5!AG33,Table10s5!AG47))</f>
        <v>31824.053456042609</v>
      </c>
      <c r="AH22" s="4107">
        <f>IF(SUM(Table10s2!AH21,IFERROR(Table10s3!AH21*28,0),IFERROR(Table10s4!AH21*265,0),Table10s5!AH11,Table10s5!AH33,Table10s5!AH47)=0,"NO",SUM(Table10s2!AH21,IFERROR(Table10s3!AH21*28,0),IFERROR(Table10s4!AH21*265,0),Table10s5!AH11,Table10s5!AH33,Table10s5!AH47))</f>
        <v>32537.306323660763</v>
      </c>
      <c r="AI22" s="4107">
        <f>IF(SUM(Table10s2!AI21,IFERROR(Table10s3!AI21*28,0),IFERROR(Table10s4!AI21*265,0),Table10s5!AI11,Table10s5!AI33,Table10s5!AI47)=0,"NO",SUM(Table10s2!AI21,IFERROR(Table10s3!AI21*28,0),IFERROR(Table10s4!AI21*265,0),Table10s5!AI11,Table10s5!AI33,Table10s5!AI47))</f>
        <v>31891.760239539963</v>
      </c>
      <c r="AJ22" s="4107">
        <f>IF(SUM(Table10s2!AJ21,IFERROR(Table10s3!AJ21*28,0),IFERROR(Table10s4!AJ21*265,0),Table10s5!AJ11,Table10s5!AJ33,Table10s5!AJ47)=0,"NO",SUM(Table10s2!AJ21,IFERROR(Table10s3!AJ21*28,0),IFERROR(Table10s4!AJ21*265,0),Table10s5!AJ11,Table10s5!AJ33,Table10s5!AJ47))</f>
        <v>32881.707906762116</v>
      </c>
      <c r="AK22" s="4107">
        <f>IF(SUM(Table10s2!AK21,IFERROR(Table10s3!AK21*28,0),IFERROR(Table10s4!AK21*265,0),Table10s5!AK11,Table10s5!AK33,Table10s5!AK47)=0,"NO",SUM(Table10s2!AK21,IFERROR(Table10s3!AK21*28,0),IFERROR(Table10s4!AK21*265,0),Table10s5!AK11,Table10s5!AK33,Table10s5!AK47))</f>
        <v>32967.097841129464</v>
      </c>
      <c r="AL22" s="4080">
        <f>IF(AK22="NO",IF(E22="NO","NA",-100),IF(E22="NO",100,AK22/E22*100-100))</f>
        <v>31.273915171038624</v>
      </c>
    </row>
    <row r="23" spans="2:38" ht="18" customHeight="1" x14ac:dyDescent="0.2">
      <c r="B23" s="1129" t="s">
        <v>1932</v>
      </c>
      <c r="C23" s="2027"/>
      <c r="D23" s="2027"/>
      <c r="E23" s="4089">
        <f>IF(SUM(Table10s2!E22,IFERROR(Table10s3!E22*28,0),IFERROR(Table10s4!E22*265,0))=0,"NO",SUM(Table10s2!E22,IFERROR(Table10s3!E22*28,0),IFERROR(Table10s4!E22*265,0)))</f>
        <v>5489.5881371538135</v>
      </c>
      <c r="F23" s="4089">
        <f>IF(SUM(Table10s2!F22,IFERROR(Table10s3!F22*28,0),IFERROR(Table10s4!F22*265,0))=0,"NO",SUM(Table10s2!F22,IFERROR(Table10s3!F22*28,0),IFERROR(Table10s4!F22*265,0)))</f>
        <v>5152.3958590686525</v>
      </c>
      <c r="G23" s="4101">
        <f>IF(SUM(Table10s2!G22,IFERROR(Table10s3!G22*28,0),IFERROR(Table10s4!G22*265,0))=0,"NO",SUM(Table10s2!G22,IFERROR(Table10s3!G22*28,0),IFERROR(Table10s4!G22*265,0)))</f>
        <v>4966.195058905646</v>
      </c>
      <c r="H23" s="4101">
        <f>IF(SUM(Table10s2!H22,IFERROR(Table10s3!H22*28,0),IFERROR(Table10s4!H22*265,0))=0,"NO",SUM(Table10s2!H22,IFERROR(Table10s3!H22*28,0),IFERROR(Table10s4!H22*265,0)))</f>
        <v>5195.8065521548606</v>
      </c>
      <c r="I23" s="4101">
        <f>IF(SUM(Table10s2!I22,IFERROR(Table10s3!I22*28,0),IFERROR(Table10s4!I22*265,0))=0,"NO",SUM(Table10s2!I22,IFERROR(Table10s3!I22*28,0),IFERROR(Table10s4!I22*265,0)))</f>
        <v>5996.3007606972551</v>
      </c>
      <c r="J23" s="4101">
        <f>IF(SUM(Table10s2!J22,IFERROR(Table10s3!J22*28,0),IFERROR(Table10s4!J22*265,0))=0,"NO",SUM(Table10s2!J22,IFERROR(Table10s3!J22*28,0),IFERROR(Table10s4!J22*265,0)))</f>
        <v>5826.2709371596793</v>
      </c>
      <c r="K23" s="4101">
        <f>IF(SUM(Table10s2!K22,IFERROR(Table10s3!K22*28,0),IFERROR(Table10s4!K22*265,0))=0,"NO",SUM(Table10s2!K22,IFERROR(Table10s3!K22*28,0),IFERROR(Table10s4!K22*265,0)))</f>
        <v>5901.636801490803</v>
      </c>
      <c r="L23" s="4101">
        <f>IF(SUM(Table10s2!L22,IFERROR(Table10s3!L22*28,0),IFERROR(Table10s4!L22*265,0))=0,"NO",SUM(Table10s2!L22,IFERROR(Table10s3!L22*28,0),IFERROR(Table10s4!L22*265,0)))</f>
        <v>5977.0239216720511</v>
      </c>
      <c r="M23" s="4101">
        <f>IF(SUM(Table10s2!M22,IFERROR(Table10s3!M22*28,0),IFERROR(Table10s4!M22*265,0))=0,"NO",SUM(Table10s2!M22,IFERROR(Table10s3!M22*28,0),IFERROR(Table10s4!M22*265,0)))</f>
        <v>6357.0664970637499</v>
      </c>
      <c r="N23" s="4101">
        <f>IF(SUM(Table10s2!N22,IFERROR(Table10s3!N22*28,0),IFERROR(Table10s4!N22*265,0))=0,"NO",SUM(Table10s2!N22,IFERROR(Table10s3!N22*28,0),IFERROR(Table10s4!N22*265,0)))</f>
        <v>6439.3317149694594</v>
      </c>
      <c r="O23" s="4101">
        <f>IF(SUM(Table10s2!O22,IFERROR(Table10s3!O22*28,0),IFERROR(Table10s4!O22*265,0))=0,"NO",SUM(Table10s2!O22,IFERROR(Table10s3!O22*28,0),IFERROR(Table10s4!O22*265,0)))</f>
        <v>6231.9337366516957</v>
      </c>
      <c r="P23" s="4101">
        <f>IF(SUM(Table10s2!P22,IFERROR(Table10s3!P22*28,0),IFERROR(Table10s4!P22*265,0))=0,"NO",SUM(Table10s2!P22,IFERROR(Table10s3!P22*28,0),IFERROR(Table10s4!P22*265,0)))</f>
        <v>6238.6898869835759</v>
      </c>
      <c r="Q23" s="4101">
        <f>IF(SUM(Table10s2!Q22,IFERROR(Table10s3!Q22*28,0),IFERROR(Table10s4!Q22*265,0))=0,"NO",SUM(Table10s2!Q22,IFERROR(Table10s3!Q22*28,0),IFERROR(Table10s4!Q22*265,0)))</f>
        <v>6291.2170628710073</v>
      </c>
      <c r="R23" s="4101">
        <f>IF(SUM(Table10s2!R22,IFERROR(Table10s3!R22*28,0),IFERROR(Table10s4!R22*265,0))=0,"NO",SUM(Table10s2!R22,IFERROR(Table10s3!R22*28,0),IFERROR(Table10s4!R22*265,0)))</f>
        <v>6429.0336414871217</v>
      </c>
      <c r="S23" s="4101">
        <f>IF(SUM(Table10s2!S22,IFERROR(Table10s3!S22*28,0),IFERROR(Table10s4!S22*265,0))=0,"NO",SUM(Table10s2!S22,IFERROR(Table10s3!S22*28,0),IFERROR(Table10s4!S22*265,0)))</f>
        <v>6389.4246039360687</v>
      </c>
      <c r="T23" s="4101">
        <f>IF(SUM(Table10s2!T22,IFERROR(Table10s3!T22*28,0),IFERROR(Table10s4!T22*265,0))=0,"NO",SUM(Table10s2!T22,IFERROR(Table10s3!T22*28,0),IFERROR(Table10s4!T22*265,0)))</f>
        <v>6478.7569533611777</v>
      </c>
      <c r="U23" s="4101">
        <f>IF(SUM(Table10s2!U22,IFERROR(Table10s3!U22*28,0),IFERROR(Table10s4!U22*265,0))=0,"NO",SUM(Table10s2!U22,IFERROR(Table10s3!U22*28,0),IFERROR(Table10s4!U22*265,0)))</f>
        <v>6668.9977667490348</v>
      </c>
      <c r="V23" s="4101">
        <f>IF(SUM(Table10s2!V22,IFERROR(Table10s3!V22*28,0),IFERROR(Table10s4!V22*265,0))=0,"NO",SUM(Table10s2!V22,IFERROR(Table10s3!V22*28,0),IFERROR(Table10s4!V22*265,0)))</f>
        <v>6985.4738057376526</v>
      </c>
      <c r="W23" s="4101">
        <f>IF(SUM(Table10s2!W22,IFERROR(Table10s3!W22*28,0),IFERROR(Table10s4!W22*265,0))=0,"NO",SUM(Table10s2!W22,IFERROR(Table10s3!W22*28,0),IFERROR(Table10s4!W22*265,0)))</f>
        <v>6898.3975325174652</v>
      </c>
      <c r="X23" s="4101">
        <f>IF(SUM(Table10s2!X22,IFERROR(Table10s3!X22*28,0),IFERROR(Table10s4!X22*265,0))=0,"NO",SUM(Table10s2!X22,IFERROR(Table10s3!X22*28,0),IFERROR(Table10s4!X22*265,0)))</f>
        <v>6408.1365207979152</v>
      </c>
      <c r="Y23" s="4101">
        <f>IF(SUM(Table10s2!Y22,IFERROR(Table10s3!Y22*28,0),IFERROR(Table10s4!Y22*265,0))=0,"NO",SUM(Table10s2!Y22,IFERROR(Table10s3!Y22*28,0),IFERROR(Table10s4!Y22*265,0)))</f>
        <v>6303.975122199774</v>
      </c>
      <c r="Z23" s="4101">
        <f>IF(SUM(Table10s2!Z22,IFERROR(Table10s3!Z22*28,0),IFERROR(Table10s4!Z22*265,0))=0,"NO",SUM(Table10s2!Z22,IFERROR(Table10s3!Z22*28,0),IFERROR(Table10s4!Z22*265,0)))</f>
        <v>6453.9523771024305</v>
      </c>
      <c r="AA23" s="4101">
        <f>IF(SUM(Table10s2!AA22,IFERROR(Table10s3!AA22*28,0),IFERROR(Table10s4!AA22*265,0))=0,"NO",SUM(Table10s2!AA22,IFERROR(Table10s3!AA22*28,0),IFERROR(Table10s4!AA22*265,0)))</f>
        <v>6411.4555716656751</v>
      </c>
      <c r="AB23" s="4101">
        <f>IF(SUM(Table10s2!AB22,IFERROR(Table10s3!AB22*28,0),IFERROR(Table10s4!AB22*265,0))=0,"NO",SUM(Table10s2!AB22,IFERROR(Table10s3!AB22*28,0),IFERROR(Table10s4!AB22*265,0)))</f>
        <v>6105.2887144225651</v>
      </c>
      <c r="AC23" s="4101">
        <f>IF(SUM(Table10s2!AC22,IFERROR(Table10s3!AC22*28,0),IFERROR(Table10s4!AC22*265,0))=0,"NO",SUM(Table10s2!AC22,IFERROR(Table10s3!AC22*28,0),IFERROR(Table10s4!AC22*265,0)))</f>
        <v>6004.4444739685987</v>
      </c>
      <c r="AD23" s="4101">
        <f>IF(SUM(Table10s2!AD22,IFERROR(Table10s3!AD22*28,0),IFERROR(Table10s4!AD22*265,0))=0,"NO",SUM(Table10s2!AD22,IFERROR(Table10s3!AD22*28,0),IFERROR(Table10s4!AD22*265,0)))</f>
        <v>5878.5222930542859</v>
      </c>
      <c r="AE23" s="4101">
        <f>IF(SUM(Table10s2!AE22,IFERROR(Table10s3!AE22*28,0),IFERROR(Table10s4!AE22*265,0))=0,"NO",SUM(Table10s2!AE22,IFERROR(Table10s3!AE22*28,0),IFERROR(Table10s4!AE22*265,0)))</f>
        <v>5691.6016866448363</v>
      </c>
      <c r="AF23" s="4101">
        <f>IF(SUM(Table10s2!AF22,IFERROR(Table10s3!AF22*28,0),IFERROR(Table10s4!AF22*265,0))=0,"NO",SUM(Table10s2!AF22,IFERROR(Table10s3!AF22*28,0),IFERROR(Table10s4!AF22*265,0)))</f>
        <v>5599.4523046343256</v>
      </c>
      <c r="AG23" s="4101">
        <f>IF(SUM(Table10s2!AG22,IFERROR(Table10s3!AG22*28,0),IFERROR(Table10s4!AG22*265,0))=0,"NO",SUM(Table10s2!AG22,IFERROR(Table10s3!AG22*28,0),IFERROR(Table10s4!AG22*265,0)))</f>
        <v>5521.8884703989015</v>
      </c>
      <c r="AH23" s="4101">
        <f>IF(SUM(Table10s2!AH22,IFERROR(Table10s3!AH22*28,0),IFERROR(Table10s4!AH22*265,0))=0,"NO",SUM(Table10s2!AH22,IFERROR(Table10s3!AH22*28,0),IFERROR(Table10s4!AH22*265,0)))</f>
        <v>5588.898734328729</v>
      </c>
      <c r="AI23" s="4101">
        <f>IF(SUM(Table10s2!AI22,IFERROR(Table10s3!AI22*28,0),IFERROR(Table10s4!AI22*265,0))=0,"NO",SUM(Table10s2!AI22,IFERROR(Table10s3!AI22*28,0),IFERROR(Table10s4!AI22*265,0)))</f>
        <v>5230.4617644063874</v>
      </c>
      <c r="AJ23" s="4101">
        <f>IF(SUM(Table10s2!AJ22,IFERROR(Table10s3!AJ22*28,0),IFERROR(Table10s4!AJ22*265,0))=0,"NO",SUM(Table10s2!AJ22,IFERROR(Table10s3!AJ22*28,0),IFERROR(Table10s4!AJ22*265,0)))</f>
        <v>5613.9712902377578</v>
      </c>
      <c r="AK23" s="4101">
        <f>IF(SUM(Table10s2!AK22,IFERROR(Table10s3!AK22*28,0),IFERROR(Table10s4!AK22*265,0))=0,"NO",SUM(Table10s2!AK22,IFERROR(Table10s3!AK22*28,0),IFERROR(Table10s4!AK22*265,0)))</f>
        <v>5582.3786556946143</v>
      </c>
      <c r="AL23" s="4080">
        <f t="shared" ref="AL23:AL57" si="2">IF(AK23="NO",IF(E23="NO","NA",-100),IF(E23="NO",100,AK23/E23*100-100))</f>
        <v>1.6903001868717524</v>
      </c>
    </row>
    <row r="24" spans="2:38" ht="18" customHeight="1" x14ac:dyDescent="0.2">
      <c r="B24" s="1129" t="s">
        <v>846</v>
      </c>
      <c r="C24" s="2027"/>
      <c r="D24" s="2027"/>
      <c r="E24" s="4089">
        <v>3145.4487039529472</v>
      </c>
      <c r="F24" s="4089">
        <v>2997.9889777396638</v>
      </c>
      <c r="G24" s="4089">
        <v>3211.217990526372</v>
      </c>
      <c r="H24" s="4089">
        <v>3953.7772952506593</v>
      </c>
      <c r="I24" s="4089">
        <v>3298.4113707182237</v>
      </c>
      <c r="J24" s="4089">
        <v>3417.9299531858132</v>
      </c>
      <c r="K24" s="4089">
        <v>2820.8604723727121</v>
      </c>
      <c r="L24" s="4089">
        <v>2839.3758371199328</v>
      </c>
      <c r="M24" s="4089">
        <v>3110.4487086567242</v>
      </c>
      <c r="N24" s="4089">
        <v>3053.5468215886772</v>
      </c>
      <c r="O24" s="4089">
        <v>3301.5151315856779</v>
      </c>
      <c r="P24" s="4089">
        <v>3870.3989525058996</v>
      </c>
      <c r="Q24" s="4089">
        <v>4019.1314086317661</v>
      </c>
      <c r="R24" s="4089">
        <v>4624.1484205421802</v>
      </c>
      <c r="S24" s="4089">
        <v>4777.8060193420597</v>
      </c>
      <c r="T24" s="4089">
        <v>5109.251867508583</v>
      </c>
      <c r="U24" s="4089">
        <v>5791.3972145867901</v>
      </c>
      <c r="V24" s="4089">
        <v>6468.2358868033589</v>
      </c>
      <c r="W24" s="4089">
        <v>6225.2064216930412</v>
      </c>
      <c r="X24" s="4089">
        <v>5868.0331767803673</v>
      </c>
      <c r="Y24" s="4089">
        <v>6389.2839090701455</v>
      </c>
      <c r="Z24" s="4089">
        <v>5820.7793911261761</v>
      </c>
      <c r="AA24" s="4089">
        <v>5389.7999608861728</v>
      </c>
      <c r="AB24" s="4089">
        <v>4463.5328448067512</v>
      </c>
      <c r="AC24" s="4089">
        <v>4387.3855798759259</v>
      </c>
      <c r="AD24" s="4089">
        <v>4609.6197568218868</v>
      </c>
      <c r="AE24" s="4089">
        <v>4371.0641682795977</v>
      </c>
      <c r="AF24" s="4089">
        <v>4434.4532481295864</v>
      </c>
      <c r="AG24" s="4089">
        <v>4897.4643583407706</v>
      </c>
      <c r="AH24" s="4089">
        <v>4813.8933417382859</v>
      </c>
      <c r="AI24" s="4089">
        <v>4730.6701780854146</v>
      </c>
      <c r="AJ24" s="4089">
        <v>4575.3393131807152</v>
      </c>
      <c r="AK24" s="4089">
        <v>4750.2295661456465</v>
      </c>
      <c r="AL24" s="4080">
        <f t="shared" si="2"/>
        <v>51.019139500699509</v>
      </c>
    </row>
    <row r="25" spans="2:38" ht="18" customHeight="1" x14ac:dyDescent="0.2">
      <c r="B25" s="1129" t="s">
        <v>637</v>
      </c>
      <c r="C25" s="2027"/>
      <c r="D25" s="2027"/>
      <c r="E25" s="4089">
        <v>15886.96728286994</v>
      </c>
      <c r="F25" s="4089">
        <v>15570.535653892883</v>
      </c>
      <c r="G25" s="4089">
        <v>16101.599053807467</v>
      </c>
      <c r="H25" s="4089">
        <v>14845.462742240126</v>
      </c>
      <c r="I25" s="4089">
        <v>14924.748977361181</v>
      </c>
      <c r="J25" s="4089">
        <v>14577.579024212959</v>
      </c>
      <c r="K25" s="4089">
        <v>14654.997585026913</v>
      </c>
      <c r="L25" s="4089">
        <v>14482.259636171344</v>
      </c>
      <c r="M25" s="4089">
        <v>14731.18387413026</v>
      </c>
      <c r="N25" s="4089">
        <v>14889.789928709863</v>
      </c>
      <c r="O25" s="4089">
        <v>14436.871284822324</v>
      </c>
      <c r="P25" s="4089">
        <v>14278.200345415902</v>
      </c>
      <c r="Q25" s="4089">
        <v>14129.888000825715</v>
      </c>
      <c r="R25" s="4089">
        <v>15353.627260450776</v>
      </c>
      <c r="S25" s="4089">
        <v>16004.562299109652</v>
      </c>
      <c r="T25" s="4089">
        <v>14220.836946977004</v>
      </c>
      <c r="U25" s="4089">
        <v>13452.044267403966</v>
      </c>
      <c r="V25" s="4089">
        <v>13944.65534139083</v>
      </c>
      <c r="W25" s="4089">
        <v>13695.281782482105</v>
      </c>
      <c r="X25" s="4089">
        <v>11535.151156034002</v>
      </c>
      <c r="Y25" s="4089">
        <v>13397.580964893867</v>
      </c>
      <c r="Z25" s="4089">
        <v>13949.012133689472</v>
      </c>
      <c r="AA25" s="4089">
        <v>11749.155857750873</v>
      </c>
      <c r="AB25" s="4089">
        <v>10371.828546301706</v>
      </c>
      <c r="AC25" s="4089">
        <v>9851.2954453819348</v>
      </c>
      <c r="AD25" s="4089">
        <v>10091.961248433736</v>
      </c>
      <c r="AE25" s="4089">
        <v>10183.91361100205</v>
      </c>
      <c r="AF25" s="4089">
        <v>10638.091937819951</v>
      </c>
      <c r="AG25" s="4089">
        <v>10957.434063017763</v>
      </c>
      <c r="AH25" s="4089">
        <v>10915.486617810544</v>
      </c>
      <c r="AI25" s="4089">
        <v>10487.245460694758</v>
      </c>
      <c r="AJ25" s="4089">
        <v>10673.718429712377</v>
      </c>
      <c r="AK25" s="4089">
        <v>11028.077628302422</v>
      </c>
      <c r="AL25" s="4080">
        <f t="shared" si="2"/>
        <v>-30.584123250550135</v>
      </c>
    </row>
    <row r="26" spans="2:38" ht="18" customHeight="1" x14ac:dyDescent="0.2">
      <c r="B26" s="1129" t="s">
        <v>1933</v>
      </c>
      <c r="C26" s="2027"/>
      <c r="D26" s="2027"/>
      <c r="E26" s="4089">
        <f>IF(SUM(Table10s2!E25,IFERROR(Table10s3!E25*28,0),IFERROR(Table10s4!E25*265,0))=0,"NO",SUM(Table10s2!E25,IFERROR(Table10s3!E25*28,0),IFERROR(Table10s4!E25*265,0)))</f>
        <v>281.30450949999999</v>
      </c>
      <c r="F26" s="4089">
        <f>IF(SUM(Table10s2!F25,IFERROR(Table10s3!F25*28,0),IFERROR(Table10s4!F25*265,0))=0,"NO",SUM(Table10s2!F25,IFERROR(Table10s3!F25*28,0),IFERROR(Table10s4!F25*265,0)))</f>
        <v>257.74698899999999</v>
      </c>
      <c r="G26" s="4101">
        <f>IF(SUM(Table10s2!G25,IFERROR(Table10s3!G25*28,0),IFERROR(Table10s4!G25*265,0))=0,"NO",SUM(Table10s2!G25,IFERROR(Table10s3!G25*28,0),IFERROR(Table10s4!G25*265,0)))</f>
        <v>256.36125249999998</v>
      </c>
      <c r="H26" s="4101">
        <f>IF(SUM(Table10s2!H25,IFERROR(Table10s3!H25*28,0),IFERROR(Table10s4!H25*265,0))=0,"NO",SUM(Table10s2!H25,IFERROR(Table10s3!H25*28,0),IFERROR(Table10s4!H25*265,0)))</f>
        <v>264.67567149999996</v>
      </c>
      <c r="I26" s="4101">
        <f>IF(SUM(Table10s2!I25,IFERROR(Table10s3!I25*28,0),IFERROR(Table10s4!I25*265,0))=0,"NO",SUM(Table10s2!I25,IFERROR(Table10s3!I25*28,0),IFERROR(Table10s4!I25*265,0)))</f>
        <v>268.83288099999999</v>
      </c>
      <c r="J26" s="4101">
        <f>IF(SUM(Table10s2!J25,IFERROR(Table10s3!J25*28,0),IFERROR(Table10s4!J25*265,0))=0,"NO",SUM(Table10s2!J25,IFERROR(Table10s3!J25*28,0),IFERROR(Table10s4!J25*265,0)))</f>
        <v>267.44714449999998</v>
      </c>
      <c r="K26" s="4101">
        <f>IF(SUM(Table10s2!K25,IFERROR(Table10s3!K25*28,0),IFERROR(Table10s4!K25*265,0))=0,"NO",SUM(Table10s2!K25,IFERROR(Table10s3!K25*28,0),IFERROR(Table10s4!K25*265,0)))</f>
        <v>281.30450949999999</v>
      </c>
      <c r="L26" s="4101">
        <f>IF(SUM(Table10s2!L25,IFERROR(Table10s3!L25*28,0),IFERROR(Table10s4!L25*265,0))=0,"NO",SUM(Table10s2!L25,IFERROR(Table10s3!L25*28,0),IFERROR(Table10s4!L25*265,0)))</f>
        <v>278.53303650000004</v>
      </c>
      <c r="M26" s="4101">
        <f>IF(SUM(Table10s2!M25,IFERROR(Table10s3!M25*28,0),IFERROR(Table10s4!M25*265,0))=0,"NO",SUM(Table10s2!M25,IFERROR(Table10s3!M25*28,0),IFERROR(Table10s4!M25*265,0)))</f>
        <v>278.53303649999992</v>
      </c>
      <c r="N26" s="4101">
        <f>IF(SUM(Table10s2!N25,IFERROR(Table10s3!N25*28,0),IFERROR(Table10s4!N25*265,0))=0,"NO",SUM(Table10s2!N25,IFERROR(Table10s3!N25*28,0),IFERROR(Table10s4!N25*265,0)))</f>
        <v>270.21861749999999</v>
      </c>
      <c r="O26" s="4101">
        <f>IF(SUM(Table10s2!O25,IFERROR(Table10s3!O25*28,0),IFERROR(Table10s4!O25*265,0))=0,"NO",SUM(Table10s2!O25,IFERROR(Table10s3!O25*28,0),IFERROR(Table10s4!O25*265,0)))</f>
        <v>284.07598249999995</v>
      </c>
      <c r="P26" s="4101">
        <f>IF(SUM(Table10s2!P25,IFERROR(Table10s3!P25*28,0),IFERROR(Table10s4!P25*265,0))=0,"NO",SUM(Table10s2!P25,IFERROR(Table10s3!P25*28,0),IFERROR(Table10s4!P25*265,0)))</f>
        <v>291.00466499999993</v>
      </c>
      <c r="Q26" s="4101">
        <f>IF(SUM(Table10s2!Q25,IFERROR(Table10s3!Q25*28,0),IFERROR(Table10s4!Q25*265,0))=0,"NO",SUM(Table10s2!Q25,IFERROR(Table10s3!Q25*28,0),IFERROR(Table10s4!Q25*265,0)))</f>
        <v>297.93334750000002</v>
      </c>
      <c r="R26" s="4101">
        <f>IF(SUM(Table10s2!R25,IFERROR(Table10s3!R25*28,0),IFERROR(Table10s4!R25*265,0))=0,"NO",SUM(Table10s2!R25,IFERROR(Table10s3!R25*28,0),IFERROR(Table10s4!R25*265,0)))</f>
        <v>304.86203</v>
      </c>
      <c r="S26" s="4101">
        <f>IF(SUM(Table10s2!S25,IFERROR(Table10s3!S25*28,0),IFERROR(Table10s4!S25*265,0))=0,"NO",SUM(Table10s2!S25,IFERROR(Table10s3!S25*28,0),IFERROR(Table10s4!S25*265,0)))</f>
        <v>331.19102350000003</v>
      </c>
      <c r="T26" s="4101">
        <f>IF(SUM(Table10s2!T25,IFERROR(Table10s3!T25*28,0),IFERROR(Table10s4!T25*265,0))=0,"NO",SUM(Table10s2!T25,IFERROR(Table10s3!T25*28,0),IFERROR(Table10s4!T25*265,0)))</f>
        <v>252.20404299999996</v>
      </c>
      <c r="U26" s="4101">
        <f>IF(SUM(Table10s2!U25,IFERROR(Table10s3!U25*28,0),IFERROR(Table10s4!U25*265,0))=0,"NO",SUM(Table10s2!U25,IFERROR(Table10s3!U25*28,0),IFERROR(Table10s4!U25*265,0)))</f>
        <v>242.50388750000002</v>
      </c>
      <c r="V26" s="4101">
        <f>IF(SUM(Table10s2!V25,IFERROR(Table10s3!V25*28,0),IFERROR(Table10s4!V25*265,0))=0,"NO",SUM(Table10s2!V25,IFERROR(Table10s3!V25*28,0),IFERROR(Table10s4!V25*265,0)))</f>
        <v>225.87504949999993</v>
      </c>
      <c r="W26" s="4101">
        <f>IF(SUM(Table10s2!W25,IFERROR(Table10s3!W25*28,0),IFERROR(Table10s4!W25*265,0))=0,"NO",SUM(Table10s2!W25,IFERROR(Table10s3!W25*28,0),IFERROR(Table10s4!W25*265,0)))</f>
        <v>236.96094150000002</v>
      </c>
      <c r="X26" s="4101">
        <f>IF(SUM(Table10s2!X25,IFERROR(Table10s3!X25*28,0),IFERROR(Table10s4!X25*265,0))=0,"NO",SUM(Table10s2!X25,IFERROR(Table10s3!X25*28,0),IFERROR(Table10s4!X25*265,0)))</f>
        <v>238.76239894999998</v>
      </c>
      <c r="Y26" s="4101">
        <f>IF(SUM(Table10s2!Y25,IFERROR(Table10s3!Y25*28,0),IFERROR(Table10s4!Y25*265,0))=0,"NO",SUM(Table10s2!Y25,IFERROR(Table10s3!Y25*28,0),IFERROR(Table10s4!Y25*265,0)))</f>
        <v>247.53411099499993</v>
      </c>
      <c r="Z26" s="4101">
        <f>IF(SUM(Table10s2!Z25,IFERROR(Table10s3!Z25*28,0),IFERROR(Table10s4!Z25*265,0))=0,"NO",SUM(Table10s2!Z25,IFERROR(Table10s3!Z25*28,0),IFERROR(Table10s4!Z25*265,0)))</f>
        <v>232.16629320999996</v>
      </c>
      <c r="AA26" s="4101">
        <f>IF(SUM(Table10s2!AA25,IFERROR(Table10s3!AA25*28,0),IFERROR(Table10s4!AA25*265,0))=0,"NO",SUM(Table10s2!AA25,IFERROR(Table10s3!AA25*28,0),IFERROR(Table10s4!AA25*265,0)))</f>
        <v>192.64508823</v>
      </c>
      <c r="AB26" s="4101">
        <f>IF(SUM(Table10s2!AB25,IFERROR(Table10s3!AB25*28,0),IFERROR(Table10s4!AB25*265,0))=0,"NO",SUM(Table10s2!AB25,IFERROR(Table10s3!AB25*28,0),IFERROR(Table10s4!AB25*265,0)))</f>
        <v>209.32935569</v>
      </c>
      <c r="AC26" s="4101">
        <f>IF(SUM(Table10s2!AC25,IFERROR(Table10s3!AC25*28,0),IFERROR(Table10s4!AC25*265,0))=0,"NO",SUM(Table10s2!AC25,IFERROR(Table10s3!AC25*28,0),IFERROR(Table10s4!AC25*265,0)))</f>
        <v>228.05065580499999</v>
      </c>
      <c r="AD26" s="4101">
        <f>IF(SUM(Table10s2!AD25,IFERROR(Table10s3!AD25*28,0),IFERROR(Table10s4!AD25*265,0))=0,"NO",SUM(Table10s2!AD25,IFERROR(Table10s3!AD25*28,0),IFERROR(Table10s4!AD25*265,0)))</f>
        <v>219.12651274499996</v>
      </c>
      <c r="AE26" s="4101">
        <f>IF(SUM(Table10s2!AE25,IFERROR(Table10s3!AE25*28,0),IFERROR(Table10s4!AE25*265,0))=0,"NO",SUM(Table10s2!AE25,IFERROR(Table10s3!AE25*28,0),IFERROR(Table10s4!AE25*265,0)))</f>
        <v>211.18624259999999</v>
      </c>
      <c r="AF26" s="4101">
        <f>IF(SUM(Table10s2!AF25,IFERROR(Table10s3!AF25*28,0),IFERROR(Table10s4!AF25*265,0))=0,"NO",SUM(Table10s2!AF25,IFERROR(Table10s3!AF25*28,0),IFERROR(Table10s4!AF25*265,0)))</f>
        <v>226.52634565499997</v>
      </c>
      <c r="AG26" s="4101">
        <f>IF(SUM(Table10s2!AG25,IFERROR(Table10s3!AG25*28,0),IFERROR(Table10s4!AG25*265,0))=0,"NO",SUM(Table10s2!AG25,IFERROR(Table10s3!AG25*28,0),IFERROR(Table10s4!AG25*265,0)))</f>
        <v>173.43878034000002</v>
      </c>
      <c r="AH26" s="4101">
        <f>IF(SUM(Table10s2!AH25,IFERROR(Table10s3!AH25*28,0),IFERROR(Table10s4!AH25*265,0))=0,"NO",SUM(Table10s2!AH25,IFERROR(Table10s3!AH25*28,0),IFERROR(Table10s4!AH25*265,0)))</f>
        <v>182.59849860500003</v>
      </c>
      <c r="AI26" s="4101">
        <f>IF(SUM(Table10s2!AI25,IFERROR(Table10s3!AI25*28,0),IFERROR(Table10s4!AI25*265,0))=0,"NO",SUM(Table10s2!AI25,IFERROR(Table10s3!AI25*28,0),IFERROR(Table10s4!AI25*265,0)))</f>
        <v>178.35814491499997</v>
      </c>
      <c r="AJ26" s="4101">
        <f>IF(SUM(Table10s2!AJ25,IFERROR(Table10s3!AJ25*28,0),IFERROR(Table10s4!AJ25*265,0))=0,"NO",SUM(Table10s2!AJ25,IFERROR(Table10s3!AJ25*28,0),IFERROR(Table10s4!AJ25*265,0)))</f>
        <v>162.71317983</v>
      </c>
      <c r="AK26" s="4101">
        <f>IF(SUM(Table10s2!AK25,IFERROR(Table10s3!AK25*28,0),IFERROR(Table10s4!AK25*265,0))=0,"NO",SUM(Table10s2!AK25,IFERROR(Table10s3!AK25*28,0),IFERROR(Table10s4!AK25*265,0)))</f>
        <v>178.36308899999997</v>
      </c>
      <c r="AL26" s="4080">
        <f t="shared" si="2"/>
        <v>-36.594301557046329</v>
      </c>
    </row>
    <row r="27" spans="2:38" ht="18" customHeight="1" x14ac:dyDescent="0.2">
      <c r="B27" s="1129" t="s">
        <v>1934</v>
      </c>
      <c r="C27" s="2027"/>
      <c r="D27" s="2027"/>
      <c r="E27" s="4089" t="str">
        <f>IF(SUM(Table10s2!E26,IFERROR(Table10s3!E26*28,0),IFERROR(Table10s4!E26*265,0))=0,"NO",SUM(Table10s2!E26,IFERROR(Table10s3!E26*28,0),IFERROR(Table10s4!E26*265,0)))</f>
        <v>NO</v>
      </c>
      <c r="F27" s="4089" t="str">
        <f>IF(SUM(Table10s2!F26,IFERROR(Table10s3!F26*28,0),IFERROR(Table10s4!F26*265,0))=0,"NO",SUM(Table10s2!F26,IFERROR(Table10s3!F26*28,0),IFERROR(Table10s4!F26*265,0)))</f>
        <v>NO</v>
      </c>
      <c r="G27" s="4101" t="str">
        <f>IF(SUM(Table10s2!G26,IFERROR(Table10s3!G26*28,0),IFERROR(Table10s4!G26*265,0))=0,"NO",SUM(Table10s2!G26,IFERROR(Table10s3!G26*28,0),IFERROR(Table10s4!G26*265,0)))</f>
        <v>NO</v>
      </c>
      <c r="H27" s="4101" t="str">
        <f>IF(SUM(Table10s2!H26,IFERROR(Table10s3!H26*28,0),IFERROR(Table10s4!H26*265,0))=0,"NO",SUM(Table10s2!H26,IFERROR(Table10s3!H26*28,0),IFERROR(Table10s4!H26*265,0)))</f>
        <v>NO</v>
      </c>
      <c r="I27" s="4101" t="str">
        <f>IF(SUM(Table10s2!I26,IFERROR(Table10s3!I26*28,0),IFERROR(Table10s4!I26*265,0))=0,"NO",SUM(Table10s2!I26,IFERROR(Table10s3!I26*28,0),IFERROR(Table10s4!I26*265,0)))</f>
        <v>NO</v>
      </c>
      <c r="J27" s="4101" t="str">
        <f>IF(SUM(Table10s2!J26,IFERROR(Table10s3!J26*28,0),IFERROR(Table10s4!J26*265,0))=0,"NO",SUM(Table10s2!J26,IFERROR(Table10s3!J26*28,0),IFERROR(Table10s4!J26*265,0)))</f>
        <v>NO</v>
      </c>
      <c r="K27" s="4101" t="str">
        <f>IF(SUM(Table10s2!K26,IFERROR(Table10s3!K26*28,0),IFERROR(Table10s4!K26*265,0))=0,"NO",SUM(Table10s2!K26,IFERROR(Table10s3!K26*28,0),IFERROR(Table10s4!K26*265,0)))</f>
        <v>NO</v>
      </c>
      <c r="L27" s="4101" t="str">
        <f>IF(SUM(Table10s2!L26,IFERROR(Table10s3!L26*28,0),IFERROR(Table10s4!L26*265,0))=0,"NO",SUM(Table10s2!L26,IFERROR(Table10s3!L26*28,0),IFERROR(Table10s4!L26*265,0)))</f>
        <v>NO</v>
      </c>
      <c r="M27" s="4101" t="str">
        <f>IF(SUM(Table10s2!M26,IFERROR(Table10s3!M26*28,0),IFERROR(Table10s4!M26*265,0))=0,"NO",SUM(Table10s2!M26,IFERROR(Table10s3!M26*28,0),IFERROR(Table10s4!M26*265,0)))</f>
        <v>NO</v>
      </c>
      <c r="N27" s="4101" t="str">
        <f>IF(SUM(Table10s2!N26,IFERROR(Table10s3!N26*28,0),IFERROR(Table10s4!N26*265,0))=0,"NO",SUM(Table10s2!N26,IFERROR(Table10s3!N26*28,0),IFERROR(Table10s4!N26*265,0)))</f>
        <v>NO</v>
      </c>
      <c r="O27" s="4101" t="str">
        <f>IF(SUM(Table10s2!O26,IFERROR(Table10s3!O26*28,0),IFERROR(Table10s4!O26*265,0))=0,"NO",SUM(Table10s2!O26,IFERROR(Table10s3!O26*28,0),IFERROR(Table10s4!O26*265,0)))</f>
        <v>NO</v>
      </c>
      <c r="P27" s="4101" t="str">
        <f>IF(SUM(Table10s2!P26,IFERROR(Table10s3!P26*28,0),IFERROR(Table10s4!P26*265,0))=0,"NO",SUM(Table10s2!P26,IFERROR(Table10s3!P26*28,0),IFERROR(Table10s4!P26*265,0)))</f>
        <v>NO</v>
      </c>
      <c r="Q27" s="4101" t="str">
        <f>IF(SUM(Table10s2!Q26,IFERROR(Table10s3!Q26*28,0),IFERROR(Table10s4!Q26*265,0))=0,"NO",SUM(Table10s2!Q26,IFERROR(Table10s3!Q26*28,0),IFERROR(Table10s4!Q26*265,0)))</f>
        <v>NO</v>
      </c>
      <c r="R27" s="4101" t="str">
        <f>IF(SUM(Table10s2!R26,IFERROR(Table10s3!R26*28,0),IFERROR(Table10s4!R26*265,0))=0,"NO",SUM(Table10s2!R26,IFERROR(Table10s3!R26*28,0),IFERROR(Table10s4!R26*265,0)))</f>
        <v>NO</v>
      </c>
      <c r="S27" s="4101" t="str">
        <f>IF(SUM(Table10s2!S26,IFERROR(Table10s3!S26*28,0),IFERROR(Table10s4!S26*265,0))=0,"NO",SUM(Table10s2!S26,IFERROR(Table10s3!S26*28,0),IFERROR(Table10s4!S26*265,0)))</f>
        <v>NO</v>
      </c>
      <c r="T27" s="4101" t="str">
        <f>IF(SUM(Table10s2!T26,IFERROR(Table10s3!T26*28,0),IFERROR(Table10s4!T26*265,0))=0,"NO",SUM(Table10s2!T26,IFERROR(Table10s3!T26*28,0),IFERROR(Table10s4!T26*265,0)))</f>
        <v>NO</v>
      </c>
      <c r="U27" s="4101" t="str">
        <f>IF(SUM(Table10s2!U26,IFERROR(Table10s3!U26*28,0),IFERROR(Table10s4!U26*265,0))=0,"NO",SUM(Table10s2!U26,IFERROR(Table10s3!U26*28,0),IFERROR(Table10s4!U26*265,0)))</f>
        <v>NO</v>
      </c>
      <c r="V27" s="4101" t="str">
        <f>IF(SUM(Table10s2!V26,IFERROR(Table10s3!V26*28,0),IFERROR(Table10s4!V26*265,0))=0,"NO",SUM(Table10s2!V26,IFERROR(Table10s3!V26*28,0),IFERROR(Table10s4!V26*265,0)))</f>
        <v>NO</v>
      </c>
      <c r="W27" s="4101" t="str">
        <f>IF(SUM(Table10s2!W26,IFERROR(Table10s3!W26*28,0),IFERROR(Table10s4!W26*265,0))=0,"NO",SUM(Table10s2!W26,IFERROR(Table10s3!W26*28,0),IFERROR(Table10s4!W26*265,0)))</f>
        <v>NO</v>
      </c>
      <c r="X27" s="4101" t="str">
        <f>IF(SUM(Table10s2!X26,IFERROR(Table10s3!X26*28,0),IFERROR(Table10s4!X26*265,0))=0,"NO",SUM(Table10s2!X26,IFERROR(Table10s3!X26*28,0),IFERROR(Table10s4!X26*265,0)))</f>
        <v>NO</v>
      </c>
      <c r="Y27" s="4101" t="str">
        <f>IF(SUM(Table10s2!Y26,IFERROR(Table10s3!Y26*28,0),IFERROR(Table10s4!Y26*265,0))=0,"NO",SUM(Table10s2!Y26,IFERROR(Table10s3!Y26*28,0),IFERROR(Table10s4!Y26*265,0)))</f>
        <v>NO</v>
      </c>
      <c r="Z27" s="4101" t="str">
        <f>IF(SUM(Table10s2!Z26,IFERROR(Table10s3!Z26*28,0),IFERROR(Table10s4!Z26*265,0))=0,"NO",SUM(Table10s2!Z26,IFERROR(Table10s3!Z26*28,0),IFERROR(Table10s4!Z26*265,0)))</f>
        <v>NO</v>
      </c>
      <c r="AA27" s="4101" t="str">
        <f>IF(SUM(Table10s2!AA26,IFERROR(Table10s3!AA26*28,0),IFERROR(Table10s4!AA26*265,0))=0,"NO",SUM(Table10s2!AA26,IFERROR(Table10s3!AA26*28,0),IFERROR(Table10s4!AA26*265,0)))</f>
        <v>NO</v>
      </c>
      <c r="AB27" s="4101" t="str">
        <f>IF(SUM(Table10s2!AB26,IFERROR(Table10s3!AB26*28,0),IFERROR(Table10s4!AB26*265,0))=0,"NO",SUM(Table10s2!AB26,IFERROR(Table10s3!AB26*28,0),IFERROR(Table10s4!AB26*265,0)))</f>
        <v>NO</v>
      </c>
      <c r="AC27" s="4101" t="str">
        <f>IF(SUM(Table10s2!AC26,IFERROR(Table10s3!AC26*28,0),IFERROR(Table10s4!AC26*265,0))=0,"NO",SUM(Table10s2!AC26,IFERROR(Table10s3!AC26*28,0),IFERROR(Table10s4!AC26*265,0)))</f>
        <v>NO</v>
      </c>
      <c r="AD27" s="4101" t="str">
        <f>IF(SUM(Table10s2!AD26,IFERROR(Table10s3!AD26*28,0),IFERROR(Table10s4!AD26*265,0))=0,"NO",SUM(Table10s2!AD26,IFERROR(Table10s3!AD26*28,0),IFERROR(Table10s4!AD26*265,0)))</f>
        <v>NO</v>
      </c>
      <c r="AE27" s="4101" t="str">
        <f>IF(SUM(Table10s2!AE26,IFERROR(Table10s3!AE26*28,0),IFERROR(Table10s4!AE26*265,0))=0,"NO",SUM(Table10s2!AE26,IFERROR(Table10s3!AE26*28,0),IFERROR(Table10s4!AE26*265,0)))</f>
        <v>NO</v>
      </c>
      <c r="AF27" s="4101" t="str">
        <f>IF(SUM(Table10s2!AF26,IFERROR(Table10s3!AF26*28,0),IFERROR(Table10s4!AF26*265,0))=0,"NO",SUM(Table10s2!AF26,IFERROR(Table10s3!AF26*28,0),IFERROR(Table10s4!AF26*265,0)))</f>
        <v>NO</v>
      </c>
      <c r="AG27" s="4101" t="str">
        <f>IF(SUM(Table10s2!AG26,IFERROR(Table10s3!AG26*28,0),IFERROR(Table10s4!AG26*265,0))=0,"NO",SUM(Table10s2!AG26,IFERROR(Table10s3!AG26*28,0),IFERROR(Table10s4!AG26*265,0)))</f>
        <v>NO</v>
      </c>
      <c r="AH27" s="4101" t="str">
        <f>IF(SUM(Table10s2!AH26,IFERROR(Table10s3!AH26*28,0),IFERROR(Table10s4!AH26*265,0))=0,"NO",SUM(Table10s2!AH26,IFERROR(Table10s3!AH26*28,0),IFERROR(Table10s4!AH26*265,0)))</f>
        <v>NO</v>
      </c>
      <c r="AI27" s="4101" t="str">
        <f>IF(SUM(Table10s2!AI26,IFERROR(Table10s3!AI26*28,0),IFERROR(Table10s4!AI26*265,0))=0,"NO",SUM(Table10s2!AI26,IFERROR(Table10s3!AI26*28,0),IFERROR(Table10s4!AI26*265,0)))</f>
        <v>NO</v>
      </c>
      <c r="AJ27" s="4101" t="str">
        <f>IF(SUM(Table10s2!AJ26,IFERROR(Table10s3!AJ26*28,0),IFERROR(Table10s4!AJ26*265,0))=0,"NO",SUM(Table10s2!AJ26,IFERROR(Table10s3!AJ26*28,0),IFERROR(Table10s4!AJ26*265,0)))</f>
        <v>NO</v>
      </c>
      <c r="AK27" s="4101" t="str">
        <f>IF(SUM(Table10s2!AK26,IFERROR(Table10s3!AK26*28,0),IFERROR(Table10s4!AK26*265,0))=0,"NO",SUM(Table10s2!AK26,IFERROR(Table10s3!AK26*28,0),IFERROR(Table10s4!AK26*265,0)))</f>
        <v>NO</v>
      </c>
      <c r="AL27" s="4080" t="str">
        <f t="shared" si="2"/>
        <v>NA</v>
      </c>
    </row>
    <row r="28" spans="2:38" ht="18" customHeight="1" x14ac:dyDescent="0.2">
      <c r="B28" s="1129" t="s">
        <v>1935</v>
      </c>
      <c r="C28" s="2027"/>
      <c r="D28" s="2027"/>
      <c r="E28" s="4089" t="s">
        <v>199</v>
      </c>
      <c r="F28" s="4089" t="s">
        <v>199</v>
      </c>
      <c r="G28" s="4089" t="s">
        <v>199</v>
      </c>
      <c r="H28" s="4089" t="s">
        <v>199</v>
      </c>
      <c r="I28" s="4089">
        <v>1.247732867952545</v>
      </c>
      <c r="J28" s="4089">
        <v>100.42499757385144</v>
      </c>
      <c r="K28" s="4089">
        <v>255.36317863094871</v>
      </c>
      <c r="L28" s="4089">
        <v>426.82299941723289</v>
      </c>
      <c r="M28" s="4089">
        <v>607.01723476613245</v>
      </c>
      <c r="N28" s="4089">
        <v>904.91759376843322</v>
      </c>
      <c r="O28" s="4089">
        <v>1150.4928811431278</v>
      </c>
      <c r="P28" s="4089">
        <v>1547.7184967079183</v>
      </c>
      <c r="Q28" s="4089">
        <v>1939.884053930544</v>
      </c>
      <c r="R28" s="4089">
        <v>2431.4413681307883</v>
      </c>
      <c r="S28" s="4089">
        <v>2925.3286647757277</v>
      </c>
      <c r="T28" s="4089">
        <v>3699.5141646572256</v>
      </c>
      <c r="U28" s="4089">
        <v>4108.7147366727786</v>
      </c>
      <c r="V28" s="4089">
        <v>4706.3765189513406</v>
      </c>
      <c r="W28" s="4089">
        <v>5286.3167534213198</v>
      </c>
      <c r="X28" s="4089">
        <v>6141.5462216641945</v>
      </c>
      <c r="Y28" s="4089">
        <v>6735.3322595752734</v>
      </c>
      <c r="Z28" s="4089">
        <v>7409.8286793700472</v>
      </c>
      <c r="AA28" s="4089">
        <v>7816.4186628708094</v>
      </c>
      <c r="AB28" s="4089">
        <v>8187.2588327414205</v>
      </c>
      <c r="AC28" s="4089">
        <v>8837.371668775806</v>
      </c>
      <c r="AD28" s="4089">
        <v>9343.4630293335158</v>
      </c>
      <c r="AE28" s="4089">
        <v>9705.2434129086087</v>
      </c>
      <c r="AF28" s="4089">
        <v>9922.2936700768241</v>
      </c>
      <c r="AG28" s="4089">
        <v>9891.611728511516</v>
      </c>
      <c r="AH28" s="4089">
        <v>10688.479613937494</v>
      </c>
      <c r="AI28" s="4089">
        <v>10949.191718307846</v>
      </c>
      <c r="AJ28" s="4089">
        <v>11437.453695274016</v>
      </c>
      <c r="AK28" s="4089">
        <v>11047.190949396581</v>
      </c>
      <c r="AL28" s="4080">
        <f t="shared" si="2"/>
        <v>100</v>
      </c>
    </row>
    <row r="29" spans="2:38" ht="18" customHeight="1" x14ac:dyDescent="0.2">
      <c r="B29" s="1129" t="s">
        <v>662</v>
      </c>
      <c r="C29" s="2027"/>
      <c r="D29" s="2027"/>
      <c r="E29" s="4089">
        <v>227.33126391232889</v>
      </c>
      <c r="F29" s="4089">
        <v>246.69030699012214</v>
      </c>
      <c r="G29" s="4089">
        <v>266.03666522364358</v>
      </c>
      <c r="H29" s="4089">
        <v>285.3688949537343</v>
      </c>
      <c r="I29" s="4089">
        <v>304.68198692506843</v>
      </c>
      <c r="J29" s="4089">
        <v>325.92330345973716</v>
      </c>
      <c r="K29" s="4089">
        <v>289.51363341418613</v>
      </c>
      <c r="L29" s="4089">
        <v>269.08845974170822</v>
      </c>
      <c r="M29" s="4089">
        <v>243.98668354023923</v>
      </c>
      <c r="N29" s="4089">
        <v>214.25096856722661</v>
      </c>
      <c r="O29" s="4089">
        <v>216.59870006999836</v>
      </c>
      <c r="P29" s="4089">
        <v>225.51312817449531</v>
      </c>
      <c r="Q29" s="4089">
        <v>232.00612349094484</v>
      </c>
      <c r="R29" s="4089">
        <v>236.14843822233468</v>
      </c>
      <c r="S29" s="4089">
        <v>237.74641315441517</v>
      </c>
      <c r="T29" s="4089">
        <v>202.23967297118685</v>
      </c>
      <c r="U29" s="4089">
        <v>191.78131355969191</v>
      </c>
      <c r="V29" s="4089">
        <v>180.50437484164183</v>
      </c>
      <c r="W29" s="4089">
        <v>168.33889499727522</v>
      </c>
      <c r="X29" s="4089">
        <v>151.50594481761419</v>
      </c>
      <c r="Y29" s="4089">
        <v>144.54462849354337</v>
      </c>
      <c r="Z29" s="4089">
        <v>130.89618775970047</v>
      </c>
      <c r="AA29" s="4089">
        <v>117.94335057564615</v>
      </c>
      <c r="AB29" s="4089">
        <v>107.66365548460661</v>
      </c>
      <c r="AC29" s="4089">
        <v>102.16723809781716</v>
      </c>
      <c r="AD29" s="4089">
        <v>119.37044161100978</v>
      </c>
      <c r="AE29" s="4089">
        <v>126.56289777205671</v>
      </c>
      <c r="AF29" s="4089">
        <v>132.48027163548571</v>
      </c>
      <c r="AG29" s="4089">
        <v>163.31878925136422</v>
      </c>
      <c r="AH29" s="4089">
        <v>128.95488205842807</v>
      </c>
      <c r="AI29" s="4089">
        <v>102.28646355522085</v>
      </c>
      <c r="AJ29" s="4089">
        <v>192.73345070777478</v>
      </c>
      <c r="AK29" s="4089">
        <v>157.64169725926149</v>
      </c>
      <c r="AL29" s="4080">
        <f t="shared" si="2"/>
        <v>-30.655513656029044</v>
      </c>
    </row>
    <row r="30" spans="2:38" ht="18" customHeight="1" thickBot="1" x14ac:dyDescent="0.25">
      <c r="B30" s="1374" t="s">
        <v>2380</v>
      </c>
      <c r="C30" s="2043"/>
      <c r="D30" s="2043"/>
      <c r="E30" s="4087">
        <f>IF(SUM(Table10s2!E29,IFERROR(Table10s3!E29*28,0),IFERROR(Table10s4!E29*265,0))=0,"NO",SUM(Table10s2!E29,IFERROR(Table10s3!E29*28,0),IFERROR(Table10s4!E29*265,0)))</f>
        <v>82.573034651705768</v>
      </c>
      <c r="F30" s="4087">
        <f>IF(SUM(Table10s2!F29,IFERROR(Table10s3!F29*28,0),IFERROR(Table10s4!F29*265,0))=0,"NO",SUM(Table10s2!F29,IFERROR(Table10s3!F29*28,0),IFERROR(Table10s4!F29*265,0)))</f>
        <v>85.06805102123964</v>
      </c>
      <c r="G30" s="4104">
        <f>IF(SUM(Table10s2!G29,IFERROR(Table10s3!G29*28,0),IFERROR(Table10s4!G29*265,0))=0,"NO",SUM(Table10s2!G29,IFERROR(Table10s3!G29*28,0),IFERROR(Table10s4!G29*265,0)))</f>
        <v>87.563067390773512</v>
      </c>
      <c r="H30" s="4104">
        <f>IF(SUM(Table10s2!H29,IFERROR(Table10s3!H29*28,0),IFERROR(Table10s4!H29*265,0))=0,"NO",SUM(Table10s2!H29,IFERROR(Table10s3!H29*28,0),IFERROR(Table10s4!H29*265,0)))</f>
        <v>90.058083760307383</v>
      </c>
      <c r="I30" s="4104">
        <f>IF(SUM(Table10s2!I29,IFERROR(Table10s3!I29*28,0),IFERROR(Table10s4!I29*265,0))=0,"NO",SUM(Table10s2!I29,IFERROR(Table10s3!I29*28,0),IFERROR(Table10s4!I29*265,0)))</f>
        <v>92.553100129841269</v>
      </c>
      <c r="J30" s="4104">
        <f>IF(SUM(Table10s2!J29,IFERROR(Table10s3!J29*28,0),IFERROR(Table10s4!J29*265,0))=0,"NO",SUM(Table10s2!J29,IFERROR(Table10s3!J29*28,0),IFERROR(Table10s4!J29*265,0)))</f>
        <v>138.84811649937512</v>
      </c>
      <c r="K30" s="4104">
        <f>IF(SUM(Table10s2!K29,IFERROR(Table10s3!K29*28,0),IFERROR(Table10s4!K29*265,0))=0,"NO",SUM(Table10s2!K29,IFERROR(Table10s3!K29*28,0),IFERROR(Table10s4!K29*265,0)))</f>
        <v>139.15682964310255</v>
      </c>
      <c r="L30" s="4104">
        <f>IF(SUM(Table10s2!L29,IFERROR(Table10s3!L29*28,0),IFERROR(Table10s4!L29*265,0))=0,"NO",SUM(Table10s2!L29,IFERROR(Table10s3!L29*28,0),IFERROR(Table10s4!L29*265,0)))</f>
        <v>142.58883310941064</v>
      </c>
      <c r="M30" s="4104">
        <f>IF(SUM(Table10s2!M29,IFERROR(Table10s3!M29*28,0),IFERROR(Table10s4!M29*265,0))=0,"NO",SUM(Table10s2!M29,IFERROR(Table10s3!M29*28,0),IFERROR(Table10s4!M29*265,0)))</f>
        <v>140.46137980152514</v>
      </c>
      <c r="N30" s="4104">
        <f>IF(SUM(Table10s2!N29,IFERROR(Table10s3!N29*28,0),IFERROR(Table10s4!N29*265,0))=0,"NO",SUM(Table10s2!N29,IFERROR(Table10s3!N29*28,0),IFERROR(Table10s4!N29*265,0)))</f>
        <v>142.79295785880095</v>
      </c>
      <c r="O30" s="4104">
        <f>IF(SUM(Table10s2!O29,IFERROR(Table10s3!O29*28,0),IFERROR(Table10s4!O29*265,0))=0,"NO",SUM(Table10s2!O29,IFERROR(Table10s3!O29*28,0),IFERROR(Table10s4!O29*265,0)))</f>
        <v>145.12453591607675</v>
      </c>
      <c r="P30" s="4104">
        <f>IF(SUM(Table10s2!P29,IFERROR(Table10s3!P29*28,0),IFERROR(Table10s4!P29*265,0))=0,"NO",SUM(Table10s2!P29,IFERROR(Table10s3!P29*28,0),IFERROR(Table10s4!P29*265,0)))</f>
        <v>147.45611397335256</v>
      </c>
      <c r="Q30" s="4104">
        <f>IF(SUM(Table10s2!Q29,IFERROR(Table10s3!Q29*28,0),IFERROR(Table10s4!Q29*265,0))=0,"NO",SUM(Table10s2!Q29,IFERROR(Table10s3!Q29*28,0),IFERROR(Table10s4!Q29*265,0)))</f>
        <v>149.78769203062836</v>
      </c>
      <c r="R30" s="4104">
        <f>IF(SUM(Table10s2!R29,IFERROR(Table10s3!R29*28,0),IFERROR(Table10s4!R29*265,0))=0,"NO",SUM(Table10s2!R29,IFERROR(Table10s3!R29*28,0),IFERROR(Table10s4!R29*265,0)))</f>
        <v>151.85917290120341</v>
      </c>
      <c r="S30" s="4104">
        <f>IF(SUM(Table10s2!S29,IFERROR(Table10s3!S29*28,0),IFERROR(Table10s4!S29*265,0))=0,"NO",SUM(Table10s2!S29,IFERROR(Table10s3!S29*28,0),IFERROR(Table10s4!S29*265,0)))</f>
        <v>165.00635080543125</v>
      </c>
      <c r="T30" s="4104">
        <f>IF(SUM(Table10s2!T29,IFERROR(Table10s3!T29*28,0),IFERROR(Table10s4!T29*265,0))=0,"NO",SUM(Table10s2!T29,IFERROR(Table10s3!T29*28,0),IFERROR(Table10s4!T29*265,0)))</f>
        <v>167.46870708773244</v>
      </c>
      <c r="U30" s="4104">
        <f>IF(SUM(Table10s2!U29,IFERROR(Table10s3!U29*28,0),IFERROR(Table10s4!U29*265,0))=0,"NO",SUM(Table10s2!U29,IFERROR(Table10s3!U29*28,0),IFERROR(Table10s4!U29*265,0)))</f>
        <v>160.49409054511213</v>
      </c>
      <c r="V30" s="4104">
        <f>IF(SUM(Table10s2!V29,IFERROR(Table10s3!V29*28,0),IFERROR(Table10s4!V29*265,0))=0,"NO",SUM(Table10s2!V29,IFERROR(Table10s3!V29*28,0),IFERROR(Table10s4!V29*265,0)))</f>
        <v>148.28584415160208</v>
      </c>
      <c r="W30" s="4104">
        <f>IF(SUM(Table10s2!W29,IFERROR(Table10s3!W29*28,0),IFERROR(Table10s4!W29*265,0))=0,"NO",SUM(Table10s2!W29,IFERROR(Table10s3!W29*28,0),IFERROR(Table10s4!W29*265,0)))</f>
        <v>163.37983983135788</v>
      </c>
      <c r="X30" s="4104">
        <f>IF(SUM(Table10s2!X29,IFERROR(Table10s3!X29*28,0),IFERROR(Table10s4!X29*265,0))=0,"NO",SUM(Table10s2!X29,IFERROR(Table10s3!X29*28,0),IFERROR(Table10s4!X29*265,0)))</f>
        <v>161.40890909572053</v>
      </c>
      <c r="Y30" s="4104">
        <f>IF(SUM(Table10s2!Y29,IFERROR(Table10s3!Y29*28,0),IFERROR(Table10s4!Y29*265,0))=0,"NO",SUM(Table10s2!Y29,IFERROR(Table10s3!Y29*28,0),IFERROR(Table10s4!Y29*265,0)))</f>
        <v>231.45286901003672</v>
      </c>
      <c r="Z30" s="4104">
        <f>IF(SUM(Table10s2!Z29,IFERROR(Table10s3!Z29*28,0),IFERROR(Table10s4!Z29*265,0))=0,"NO",SUM(Table10s2!Z29,IFERROR(Table10s3!Z29*28,0),IFERROR(Table10s4!Z29*265,0)))</f>
        <v>261.5775182716128</v>
      </c>
      <c r="AA30" s="4104">
        <f>IF(SUM(Table10s2!AA29,IFERROR(Table10s3!AA29*28,0),IFERROR(Table10s4!AA29*265,0))=0,"NO",SUM(Table10s2!AA29,IFERROR(Table10s3!AA29*28,0),IFERROR(Table10s4!AA29*265,0)))</f>
        <v>218.00598284134924</v>
      </c>
      <c r="AB30" s="4104">
        <f>IF(SUM(Table10s2!AB29,IFERROR(Table10s3!AB29*28,0),IFERROR(Table10s4!AB29*265,0))=0,"NO",SUM(Table10s2!AB29,IFERROR(Table10s3!AB29*28,0),IFERROR(Table10s4!AB29*265,0)))</f>
        <v>240.36833455150557</v>
      </c>
      <c r="AC30" s="4104">
        <f>IF(SUM(Table10s2!AC29,IFERROR(Table10s3!AC29*28,0),IFERROR(Table10s4!AC29*265,0))=0,"NO",SUM(Table10s2!AC29,IFERROR(Table10s3!AC29*28,0),IFERROR(Table10s4!AC29*265,0)))</f>
        <v>201.69877278028781</v>
      </c>
      <c r="AD30" s="4104">
        <f>IF(SUM(Table10s2!AD29,IFERROR(Table10s3!AD29*28,0),IFERROR(Table10s4!AD29*265,0))=0,"NO",SUM(Table10s2!AD29,IFERROR(Table10s3!AD29*28,0),IFERROR(Table10s4!AD29*265,0)))</f>
        <v>215.73207564860138</v>
      </c>
      <c r="AE30" s="4104">
        <f>IF(SUM(Table10s2!AE29,IFERROR(Table10s3!AE29*28,0),IFERROR(Table10s4!AE29*265,0))=0,"NO",SUM(Table10s2!AE29,IFERROR(Table10s3!AE29*28,0),IFERROR(Table10s4!AE29*265,0)))</f>
        <v>272.83433454819283</v>
      </c>
      <c r="AF30" s="4104">
        <f>IF(SUM(Table10s2!AF29,IFERROR(Table10s3!AF29*28,0),IFERROR(Table10s4!AF29*265,0))=0,"NO",SUM(Table10s2!AF29,IFERROR(Table10s3!AF29*28,0),IFERROR(Table10s4!AF29*265,0)))</f>
        <v>213.3027035481928</v>
      </c>
      <c r="AG30" s="4104">
        <f>IF(SUM(Table10s2!AG29,IFERROR(Table10s3!AG29*28,0),IFERROR(Table10s4!AG29*265,0))=0,"NO",SUM(Table10s2!AG29,IFERROR(Table10s3!AG29*28,0),IFERROR(Table10s4!AG29*265,0)))</f>
        <v>218.8972661822873</v>
      </c>
      <c r="AH30" s="4104">
        <f>IF(SUM(Table10s2!AH29,IFERROR(Table10s3!AH29*28,0),IFERROR(Table10s4!AH29*265,0))=0,"NO",SUM(Table10s2!AH29,IFERROR(Table10s3!AH29*28,0),IFERROR(Table10s4!AH29*265,0)))</f>
        <v>218.99463518228731</v>
      </c>
      <c r="AI30" s="4104">
        <f>IF(SUM(Table10s2!AI29,IFERROR(Table10s3!AI29*28,0),IFERROR(Table10s4!AI29*265,0))=0,"NO",SUM(Table10s2!AI29,IFERROR(Table10s3!AI29*28,0),IFERROR(Table10s4!AI29*265,0)))</f>
        <v>213.54650957533741</v>
      </c>
      <c r="AJ30" s="4104">
        <f>IF(SUM(Table10s2!AJ29,IFERROR(Table10s3!AJ29*28,0),IFERROR(Table10s4!AJ29*265,0))=0,"NO",SUM(Table10s2!AJ29,IFERROR(Table10s3!AJ29*28,0),IFERROR(Table10s4!AJ29*265,0)))</f>
        <v>225.77854781948912</v>
      </c>
      <c r="AK30" s="4104">
        <f>IF(SUM(Table10s2!AK29,IFERROR(Table10s3!AK29*28,0),IFERROR(Table10s4!AK29*265,0))=0,"NO",SUM(Table10s2!AK29,IFERROR(Table10s3!AK29*28,0),IFERROR(Table10s4!AK29*265,0)))</f>
        <v>223.21625533094004</v>
      </c>
      <c r="AL30" s="4086">
        <f t="shared" si="2"/>
        <v>170.32584701830251</v>
      </c>
    </row>
    <row r="31" spans="2:38" ht="18" customHeight="1" x14ac:dyDescent="0.2">
      <c r="B31" s="774" t="s">
        <v>1937</v>
      </c>
      <c r="C31" s="2026"/>
      <c r="D31" s="2026"/>
      <c r="E31" s="4106">
        <f>IF(SUM(Table10s2!E30,IFERROR(Table10s3!E30*28,0),IFERROR(Table10s4!E30*265,0))=0,"NO",SUM(Table10s2!E30,IFERROR(Table10s3!E30*28,0),IFERROR(Table10s4!E30*265,0)))</f>
        <v>91159.226078578096</v>
      </c>
      <c r="F31" s="4106">
        <f>IF(SUM(Table10s2!F30,IFERROR(Table10s3!F30*28,0),IFERROR(Table10s4!F30*265,0))=0,"NO",SUM(Table10s2!F30,IFERROR(Table10s3!F30*28,0),IFERROR(Table10s4!F30*265,0)))</f>
        <v>90438.276011869006</v>
      </c>
      <c r="G31" s="4109">
        <f>IF(SUM(Table10s2!G30,IFERROR(Table10s3!G30*28,0),IFERROR(Table10s4!G30*265,0))=0,"NO",SUM(Table10s2!G30,IFERROR(Table10s3!G30*28,0),IFERROR(Table10s4!G30*265,0)))</f>
        <v>87600.022957614667</v>
      </c>
      <c r="H31" s="4109">
        <f>IF(SUM(Table10s2!H30,IFERROR(Table10s3!H30*28,0),IFERROR(Table10s4!H30*265,0))=0,"NO",SUM(Table10s2!H30,IFERROR(Table10s3!H30*28,0),IFERROR(Table10s4!H30*265,0)))</f>
        <v>85143.779776073046</v>
      </c>
      <c r="I31" s="4109">
        <f>IF(SUM(Table10s2!I30,IFERROR(Table10s3!I30*28,0),IFERROR(Table10s4!I30*265,0))=0,"NO",SUM(Table10s2!I30,IFERROR(Table10s3!I30*28,0),IFERROR(Table10s4!I30*265,0)))</f>
        <v>85022.935884797349</v>
      </c>
      <c r="J31" s="4109">
        <f>IF(SUM(Table10s2!J30,IFERROR(Table10s3!J30*28,0),IFERROR(Table10s4!J30*265,0))=0,"NO",SUM(Table10s2!J30,IFERROR(Table10s3!J30*28,0),IFERROR(Table10s4!J30*265,0)))</f>
        <v>81490.839766843608</v>
      </c>
      <c r="K31" s="4109">
        <f>IF(SUM(Table10s2!K30,IFERROR(Table10s3!K30*28,0),IFERROR(Table10s4!K30*265,0))=0,"NO",SUM(Table10s2!K30,IFERROR(Table10s3!K30*28,0),IFERROR(Table10s4!K30*265,0)))</f>
        <v>83369.508074069483</v>
      </c>
      <c r="L31" s="4109">
        <f>IF(SUM(Table10s2!L30,IFERROR(Table10s3!L30*28,0),IFERROR(Table10s4!L30*265,0))=0,"NO",SUM(Table10s2!L30,IFERROR(Table10s3!L30*28,0),IFERROR(Table10s4!L30*265,0)))</f>
        <v>84381.881643172106</v>
      </c>
      <c r="M31" s="4109">
        <f>IF(SUM(Table10s2!M30,IFERROR(Table10s3!M30*28,0),IFERROR(Table10s4!M30*265,0))=0,"NO",SUM(Table10s2!M30,IFERROR(Table10s3!M30*28,0),IFERROR(Table10s4!M30*265,0)))</f>
        <v>84374.212698797593</v>
      </c>
      <c r="N31" s="4109">
        <f>IF(SUM(Table10s2!N30,IFERROR(Table10s3!N30*28,0),IFERROR(Table10s4!N30*265,0))=0,"NO",SUM(Table10s2!N30,IFERROR(Table10s3!N30*28,0),IFERROR(Table10s4!N30*265,0)))</f>
        <v>84302.340984213559</v>
      </c>
      <c r="O31" s="4109">
        <f>IF(SUM(Table10s2!O30,IFERROR(Table10s3!O30*28,0),IFERROR(Table10s4!O30*265,0))=0,"NO",SUM(Table10s2!O30,IFERROR(Table10s3!O30*28,0),IFERROR(Table10s4!O30*265,0)))</f>
        <v>87598.980736773607</v>
      </c>
      <c r="P31" s="4109">
        <f>IF(SUM(Table10s2!P30,IFERROR(Table10s3!P30*28,0),IFERROR(Table10s4!P30*265,0))=0,"NO",SUM(Table10s2!P30,IFERROR(Table10s3!P30*28,0),IFERROR(Table10s4!P30*265,0)))</f>
        <v>86606.473022230144</v>
      </c>
      <c r="Q31" s="4109">
        <f>IF(SUM(Table10s2!Q30,IFERROR(Table10s3!Q30*28,0),IFERROR(Table10s4!Q30*265,0))=0,"NO",SUM(Table10s2!Q30,IFERROR(Table10s3!Q30*28,0),IFERROR(Table10s4!Q30*265,0)))</f>
        <v>86316.449838386674</v>
      </c>
      <c r="R31" s="4109">
        <f>IF(SUM(Table10s2!R30,IFERROR(Table10s3!R30*28,0),IFERROR(Table10s4!R30*265,0))=0,"NO",SUM(Table10s2!R30,IFERROR(Table10s3!R30*28,0),IFERROR(Table10s4!R30*265,0)))</f>
        <v>81077.147088864993</v>
      </c>
      <c r="S31" s="4109">
        <f>IF(SUM(Table10s2!S30,IFERROR(Table10s3!S30*28,0),IFERROR(Table10s4!S30*265,0))=0,"NO",SUM(Table10s2!S30,IFERROR(Table10s3!S30*28,0),IFERROR(Table10s4!S30*265,0)))</f>
        <v>84138.967618959796</v>
      </c>
      <c r="T31" s="4109">
        <f>IF(SUM(Table10s2!T30,IFERROR(Table10s3!T30*28,0),IFERROR(Table10s4!T30*265,0))=0,"NO",SUM(Table10s2!T30,IFERROR(Table10s3!T30*28,0),IFERROR(Table10s4!T30*265,0)))</f>
        <v>84915.004934917248</v>
      </c>
      <c r="U31" s="4109">
        <f>IF(SUM(Table10s2!U30,IFERROR(Table10s3!U30*28,0),IFERROR(Table10s4!U30*265,0))=0,"NO",SUM(Table10s2!U30,IFERROR(Table10s3!U30*28,0),IFERROR(Table10s4!U30*265,0)))</f>
        <v>83060.278626504907</v>
      </c>
      <c r="V31" s="4109">
        <f>IF(SUM(Table10s2!V30,IFERROR(Table10s3!V30*28,0),IFERROR(Table10s4!V30*265,0))=0,"NO",SUM(Table10s2!V30,IFERROR(Table10s3!V30*28,0),IFERROR(Table10s4!V30*265,0)))</f>
        <v>79546.303253791586</v>
      </c>
      <c r="W31" s="4109">
        <f>IF(SUM(Table10s2!W30,IFERROR(Table10s3!W30*28,0),IFERROR(Table10s4!W30*265,0))=0,"NO",SUM(Table10s2!W30,IFERROR(Table10s3!W30*28,0),IFERROR(Table10s4!W30*265,0)))</f>
        <v>76541.991764915685</v>
      </c>
      <c r="X31" s="4109">
        <f>IF(SUM(Table10s2!X30,IFERROR(Table10s3!X30*28,0),IFERROR(Table10s4!X30*265,0))=0,"NO",SUM(Table10s2!X30,IFERROR(Table10s3!X30*28,0),IFERROR(Table10s4!X30*265,0)))</f>
        <v>76498.017824166978</v>
      </c>
      <c r="Y31" s="4109">
        <f>IF(SUM(Table10s2!Y30,IFERROR(Table10s3!Y30*28,0),IFERROR(Table10s4!Y30*265,0))=0,"NO",SUM(Table10s2!Y30,IFERROR(Table10s3!Y30*28,0),IFERROR(Table10s4!Y30*265,0)))</f>
        <v>74014.202309551139</v>
      </c>
      <c r="Z31" s="4109">
        <f>IF(SUM(Table10s2!Z30,IFERROR(Table10s3!Z30*28,0),IFERROR(Table10s4!Z30*265,0))=0,"NO",SUM(Table10s2!Z30,IFERROR(Table10s3!Z30*28,0),IFERROR(Table10s4!Z30*265,0)))</f>
        <v>78632.268988982687</v>
      </c>
      <c r="AA31" s="4109">
        <f>IF(SUM(Table10s2!AA30,IFERROR(Table10s3!AA30*28,0),IFERROR(Table10s4!AA30*265,0))=0,"NO",SUM(Table10s2!AA30,IFERROR(Table10s3!AA30*28,0),IFERROR(Table10s4!AA30*265,0)))</f>
        <v>79935.090074144726</v>
      </c>
      <c r="AB31" s="4109">
        <f>IF(SUM(Table10s2!AB30,IFERROR(Table10s3!AB30*28,0),IFERROR(Table10s4!AB30*265,0))=0,"NO",SUM(Table10s2!AB30,IFERROR(Table10s3!AB30*28,0),IFERROR(Table10s4!AB30*265,0)))</f>
        <v>80399.359548504523</v>
      </c>
      <c r="AC31" s="4109">
        <f>IF(SUM(Table10s2!AC30,IFERROR(Table10s3!AC30*28,0),IFERROR(Table10s4!AC30*265,0))=0,"NO",SUM(Table10s2!AC30,IFERROR(Table10s3!AC30*28,0),IFERROR(Table10s4!AC30*265,0)))</f>
        <v>80733.739379075574</v>
      </c>
      <c r="AD31" s="4109">
        <f>IF(SUM(Table10s2!AD30,IFERROR(Table10s3!AD30*28,0),IFERROR(Table10s4!AD30*265,0))=0,"NO",SUM(Table10s2!AD30,IFERROR(Table10s3!AD30*28,0),IFERROR(Table10s4!AD30*265,0)))</f>
        <v>77667.898435156691</v>
      </c>
      <c r="AE31" s="4109">
        <f>IF(SUM(Table10s2!AE30,IFERROR(Table10s3!AE30*28,0),IFERROR(Table10s4!AE30*265,0))=0,"NO",SUM(Table10s2!AE30,IFERROR(Table10s3!AE30*28,0),IFERROR(Table10s4!AE30*265,0)))</f>
        <v>76674.180031118551</v>
      </c>
      <c r="AF31" s="4109">
        <f>IF(SUM(Table10s2!AF30,IFERROR(Table10s3!AF30*28,0),IFERROR(Table10s4!AF30*265,0))=0,"NO",SUM(Table10s2!AF30,IFERROR(Table10s3!AF30*28,0),IFERROR(Table10s4!AF30*265,0)))</f>
        <v>80151.879923155138</v>
      </c>
      <c r="AG31" s="4109">
        <f>IF(SUM(Table10s2!AG30,IFERROR(Table10s3!AG30*28,0),IFERROR(Table10s4!AG30*265,0))=0,"NO",SUM(Table10s2!AG30,IFERROR(Table10s3!AG30*28,0),IFERROR(Table10s4!AG30*265,0)))</f>
        <v>79229.889917800858</v>
      </c>
      <c r="AH31" s="4109">
        <f>IF(SUM(Table10s2!AH30,IFERROR(Table10s3!AH30*28,0),IFERROR(Table10s4!AH30*265,0))=0,"NO",SUM(Table10s2!AH30,IFERROR(Table10s3!AH30*28,0),IFERROR(Table10s4!AH30*265,0)))</f>
        <v>73746.838941729002</v>
      </c>
      <c r="AI31" s="4109">
        <f>IF(SUM(Table10s2!AI30,IFERROR(Table10s3!AI30*28,0),IFERROR(Table10s4!AI30*265,0))=0,"NO",SUM(Table10s2!AI30,IFERROR(Table10s3!AI30*28,0),IFERROR(Table10s4!AI30*265,0)))</f>
        <v>71574.860850593323</v>
      </c>
      <c r="AJ31" s="4109">
        <f>IF(SUM(Table10s2!AJ30,IFERROR(Table10s3!AJ30*28,0),IFERROR(Table10s4!AJ30*265,0))=0,"NO",SUM(Table10s2!AJ30,IFERROR(Table10s3!AJ30*28,0),IFERROR(Table10s4!AJ30*265,0)))</f>
        <v>76617.128418981447</v>
      </c>
      <c r="AK31" s="4109">
        <f>IF(SUM(Table10s2!AK30,IFERROR(Table10s3!AK30*28,0),IFERROR(Table10s4!AK30*265,0))=0,"NO",SUM(Table10s2!AK30,IFERROR(Table10s3!AK30*28,0),IFERROR(Table10s4!AK30*265,0)))</f>
        <v>77450.850443893476</v>
      </c>
      <c r="AL31" s="4080">
        <f t="shared" si="2"/>
        <v>-15.037836787763183</v>
      </c>
    </row>
    <row r="32" spans="2:38" ht="18" customHeight="1" x14ac:dyDescent="0.2">
      <c r="B32" s="1131" t="s">
        <v>1938</v>
      </c>
      <c r="C32" s="2027"/>
      <c r="D32" s="2027"/>
      <c r="E32" s="4089">
        <f>IF(SUM(Table10s2!E31,IFERROR(Table10s3!E31*28,0),IFERROR(Table10s4!E31*265,0))=0,"NO",SUM(Table10s2!E31,IFERROR(Table10s3!E31*28,0),IFERROR(Table10s4!E31*265,0)))</f>
        <v>72388.855630241276</v>
      </c>
      <c r="F32" s="4089">
        <f>IF(SUM(Table10s2!F31,IFERROR(Table10s3!F31*28,0),IFERROR(Table10s4!F31*265,0))=0,"NO",SUM(Table10s2!F31,IFERROR(Table10s3!F31*28,0),IFERROR(Table10s4!F31*265,0)))</f>
        <v>71942.905081333622</v>
      </c>
      <c r="G32" s="4101">
        <f>IF(SUM(Table10s2!G31,IFERROR(Table10s3!G31*28,0),IFERROR(Table10s4!G31*265,0))=0,"NO",SUM(Table10s2!G31,IFERROR(Table10s3!G31*28,0),IFERROR(Table10s4!G31*265,0)))</f>
        <v>69372.533398599189</v>
      </c>
      <c r="H32" s="4101">
        <f>IF(SUM(Table10s2!H31,IFERROR(Table10s3!H31*28,0),IFERROR(Table10s4!H31*265,0))=0,"NO",SUM(Table10s2!H31,IFERROR(Table10s3!H31*28,0),IFERROR(Table10s4!H31*265,0)))</f>
        <v>67083.763600577935</v>
      </c>
      <c r="I32" s="4101">
        <f>IF(SUM(Table10s2!I31,IFERROR(Table10s3!I31*28,0),IFERROR(Table10s4!I31*265,0))=0,"NO",SUM(Table10s2!I31,IFERROR(Table10s3!I31*28,0),IFERROR(Table10s4!I31*265,0)))</f>
        <v>66501.978291400708</v>
      </c>
      <c r="J32" s="4101">
        <f>IF(SUM(Table10s2!J31,IFERROR(Table10s3!J31*28,0),IFERROR(Table10s4!J31*265,0))=0,"NO",SUM(Table10s2!J31,IFERROR(Table10s3!J31*28,0),IFERROR(Table10s4!J31*265,0)))</f>
        <v>64110.095741667472</v>
      </c>
      <c r="K32" s="4101">
        <f>IF(SUM(Table10s2!K31,IFERROR(Table10s3!K31*28,0),IFERROR(Table10s4!K31*265,0))=0,"NO",SUM(Table10s2!K31,IFERROR(Table10s3!K31*28,0),IFERROR(Table10s4!K31*265,0)))</f>
        <v>65184.522540685604</v>
      </c>
      <c r="L32" s="4101">
        <f>IF(SUM(Table10s2!L31,IFERROR(Table10s3!L31*28,0),IFERROR(Table10s4!L31*265,0))=0,"NO",SUM(Table10s2!L31,IFERROR(Table10s3!L31*28,0),IFERROR(Table10s4!L31*265,0)))</f>
        <v>65448.138284692308</v>
      </c>
      <c r="M32" s="4101">
        <f>IF(SUM(Table10s2!M31,IFERROR(Table10s3!M31*28,0),IFERROR(Table10s4!M31*265,0))=0,"NO",SUM(Table10s2!M31,IFERROR(Table10s3!M31*28,0),IFERROR(Table10s4!M31*265,0)))</f>
        <v>65196.389235733659</v>
      </c>
      <c r="N32" s="4101">
        <f>IF(SUM(Table10s2!N31,IFERROR(Table10s3!N31*28,0),IFERROR(Table10s4!N31*265,0))=0,"NO",SUM(Table10s2!N31,IFERROR(Table10s3!N31*28,0),IFERROR(Table10s4!N31*265,0)))</f>
        <v>64685.154963918707</v>
      </c>
      <c r="O32" s="4101">
        <f>IF(SUM(Table10s2!O31,IFERROR(Table10s3!O31*28,0),IFERROR(Table10s4!O31*265,0))=0,"NO",SUM(Table10s2!O31,IFERROR(Table10s3!O31*28,0),IFERROR(Table10s4!O31*265,0)))</f>
        <v>67093.508119634833</v>
      </c>
      <c r="P32" s="4101">
        <f>IF(SUM(Table10s2!P31,IFERROR(Table10s3!P31*28,0),IFERROR(Table10s4!P31*265,0))=0,"NO",SUM(Table10s2!P31,IFERROR(Table10s3!P31*28,0),IFERROR(Table10s4!P31*265,0)))</f>
        <v>65555.480579126437</v>
      </c>
      <c r="Q32" s="4101">
        <f>IF(SUM(Table10s2!Q31,IFERROR(Table10s3!Q31*28,0),IFERROR(Table10s4!Q31*265,0))=0,"NO",SUM(Table10s2!Q31,IFERROR(Table10s3!Q31*28,0),IFERROR(Table10s4!Q31*265,0)))</f>
        <v>65130.183496241167</v>
      </c>
      <c r="R32" s="4101">
        <f>IF(SUM(Table10s2!R31,IFERROR(Table10s3!R31*28,0),IFERROR(Table10s4!R31*265,0))=0,"NO",SUM(Table10s2!R31,IFERROR(Table10s3!R31*28,0),IFERROR(Table10s4!R31*265,0)))</f>
        <v>62003.535671899677</v>
      </c>
      <c r="S32" s="4101">
        <f>IF(SUM(Table10s2!S31,IFERROR(Table10s3!S31*28,0),IFERROR(Table10s4!S31*265,0))=0,"NO",SUM(Table10s2!S31,IFERROR(Table10s3!S31*28,0),IFERROR(Table10s4!S31*265,0)))</f>
        <v>63611.225066302235</v>
      </c>
      <c r="T32" s="4101">
        <f>IF(SUM(Table10s2!T31,IFERROR(Table10s3!T31*28,0),IFERROR(Table10s4!T31*265,0))=0,"NO",SUM(Table10s2!T31,IFERROR(Table10s3!T31*28,0),IFERROR(Table10s4!T31*265,0)))</f>
        <v>64251.044269160098</v>
      </c>
      <c r="U32" s="4101">
        <f>IF(SUM(Table10s2!U31,IFERROR(Table10s3!U31*28,0),IFERROR(Table10s4!U31*265,0))=0,"NO",SUM(Table10s2!U31,IFERROR(Table10s3!U31*28,0),IFERROR(Table10s4!U31*265,0)))</f>
        <v>62465.227507263589</v>
      </c>
      <c r="V32" s="4101">
        <f>IF(SUM(Table10s2!V31,IFERROR(Table10s3!V31*28,0),IFERROR(Table10s4!V31*265,0))=0,"NO",SUM(Table10s2!V31,IFERROR(Table10s3!V31*28,0),IFERROR(Table10s4!V31*265,0)))</f>
        <v>60784.847687596397</v>
      </c>
      <c r="W32" s="4101">
        <f>IF(SUM(Table10s2!W31,IFERROR(Table10s3!W31*28,0),IFERROR(Table10s4!W31*265,0))=0,"NO",SUM(Table10s2!W31,IFERROR(Table10s3!W31*28,0),IFERROR(Table10s4!W31*265,0)))</f>
        <v>58417.006486717306</v>
      </c>
      <c r="X32" s="4101">
        <f>IF(SUM(Table10s2!X31,IFERROR(Table10s3!X31*28,0),IFERROR(Table10s4!X31*265,0))=0,"NO",SUM(Table10s2!X31,IFERROR(Table10s3!X31*28,0),IFERROR(Table10s4!X31*265,0)))</f>
        <v>57978.533657850538</v>
      </c>
      <c r="Y32" s="4101">
        <f>IF(SUM(Table10s2!Y31,IFERROR(Table10s3!Y31*28,0),IFERROR(Table10s4!Y31*265,0))=0,"NO",SUM(Table10s2!Y31,IFERROR(Table10s3!Y31*28,0),IFERROR(Table10s4!Y31*265,0)))</f>
        <v>55261.450143362061</v>
      </c>
      <c r="Z32" s="4101">
        <f>IF(SUM(Table10s2!Z31,IFERROR(Table10s3!Z31*28,0),IFERROR(Table10s4!Z31*265,0))=0,"NO",SUM(Table10s2!Z31,IFERROR(Table10s3!Z31*28,0),IFERROR(Table10s4!Z31*265,0)))</f>
        <v>58542.948397874294</v>
      </c>
      <c r="AA32" s="4101">
        <f>IF(SUM(Table10s2!AA31,IFERROR(Table10s3!AA31*28,0),IFERROR(Table10s4!AA31*265,0))=0,"NO",SUM(Table10s2!AA31,IFERROR(Table10s3!AA31*28,0),IFERROR(Table10s4!AA31*265,0)))</f>
        <v>59481.05033928981</v>
      </c>
      <c r="AB32" s="4101">
        <f>IF(SUM(Table10s2!AB31,IFERROR(Table10s3!AB31*28,0),IFERROR(Table10s4!AB31*265,0))=0,"NO",SUM(Table10s2!AB31,IFERROR(Table10s3!AB31*28,0),IFERROR(Table10s4!AB31*265,0)))</f>
        <v>59906.922941693978</v>
      </c>
      <c r="AC32" s="4101">
        <f>IF(SUM(Table10s2!AC31,IFERROR(Table10s3!AC31*28,0),IFERROR(Table10s4!AC31*265,0))=0,"NO",SUM(Table10s2!AC31,IFERROR(Table10s3!AC31*28,0),IFERROR(Table10s4!AC31*265,0)))</f>
        <v>59312.623537164516</v>
      </c>
      <c r="AD32" s="4101">
        <f>IF(SUM(Table10s2!AD31,IFERROR(Table10s3!AD31*28,0),IFERROR(Table10s4!AD31*265,0))=0,"NO",SUM(Table10s2!AD31,IFERROR(Table10s3!AD31*28,0),IFERROR(Table10s4!AD31*265,0)))</f>
        <v>56896.452095520726</v>
      </c>
      <c r="AE32" s="4101">
        <f>IF(SUM(Table10s2!AE31,IFERROR(Table10s3!AE31*28,0),IFERROR(Table10s4!AE31*265,0))=0,"NO",SUM(Table10s2!AE31,IFERROR(Table10s3!AE31*28,0),IFERROR(Table10s4!AE31*265,0)))</f>
        <v>55979.312209413038</v>
      </c>
      <c r="AF32" s="4101">
        <f>IF(SUM(Table10s2!AF31,IFERROR(Table10s3!AF31*28,0),IFERROR(Table10s4!AF31*265,0))=0,"NO",SUM(Table10s2!AF31,IFERROR(Table10s3!AF31*28,0),IFERROR(Table10s4!AF31*265,0)))</f>
        <v>57727.91599764055</v>
      </c>
      <c r="AG32" s="4101">
        <f>IF(SUM(Table10s2!AG31,IFERROR(Table10s3!AG31*28,0),IFERROR(Table10s4!AG31*265,0))=0,"NO",SUM(Table10s2!AG31,IFERROR(Table10s3!AG31*28,0),IFERROR(Table10s4!AG31*265,0)))</f>
        <v>57868.491608471777</v>
      </c>
      <c r="AH32" s="4101">
        <f>IF(SUM(Table10s2!AH31,IFERROR(Table10s3!AH31*28,0),IFERROR(Table10s4!AH31*265,0))=0,"NO",SUM(Table10s2!AH31,IFERROR(Table10s3!AH31*28,0),IFERROR(Table10s4!AH31*265,0)))</f>
        <v>53994.483921424217</v>
      </c>
      <c r="AI32" s="4101">
        <f>IF(SUM(Table10s2!AI31,IFERROR(Table10s3!AI31*28,0),IFERROR(Table10s4!AI31*265,0))=0,"NO",SUM(Table10s2!AI31,IFERROR(Table10s3!AI31*28,0),IFERROR(Table10s4!AI31*265,0)))</f>
        <v>51795.592178724328</v>
      </c>
      <c r="AJ32" s="4101">
        <f>IF(SUM(Table10s2!AJ31,IFERROR(Table10s3!AJ31*28,0),IFERROR(Table10s4!AJ31*265,0))=0,"NO",SUM(Table10s2!AJ31,IFERROR(Table10s3!AJ31*28,0),IFERROR(Table10s4!AJ31*265,0)))</f>
        <v>54276.891962860187</v>
      </c>
      <c r="AK32" s="4101">
        <f>IF(SUM(Table10s2!AK31,IFERROR(Table10s3!AK31*28,0),IFERROR(Table10s4!AK31*265,0))=0,"NO",SUM(Table10s2!AK31,IFERROR(Table10s3!AK31*28,0),IFERROR(Table10s4!AK31*265,0)))</f>
        <v>54681.83059175052</v>
      </c>
      <c r="AL32" s="4080">
        <f t="shared" si="2"/>
        <v>-24.460982128157099</v>
      </c>
    </row>
    <row r="33" spans="2:38" ht="18" customHeight="1" x14ac:dyDescent="0.2">
      <c r="B33" s="1131" t="s">
        <v>1939</v>
      </c>
      <c r="C33" s="2027"/>
      <c r="D33" s="2027"/>
      <c r="E33" s="4089">
        <f>IF(SUM(Table10s2!E32,IFERROR(Table10s3!E32*28,0),IFERROR(Table10s4!E32*265,0))=0,"NO",SUM(Table10s2!E32,IFERROR(Table10s3!E32*28,0),IFERROR(Table10s4!E32*265,0)))</f>
        <v>7130.873030021613</v>
      </c>
      <c r="F33" s="4089">
        <f>IF(SUM(Table10s2!F32,IFERROR(Table10s3!F32*28,0),IFERROR(Table10s4!F32*265,0))=0,"NO",SUM(Table10s2!F32,IFERROR(Table10s3!F32*28,0),IFERROR(Table10s4!F32*265,0)))</f>
        <v>7052.487761077371</v>
      </c>
      <c r="G33" s="4101">
        <f>IF(SUM(Table10s2!G32,IFERROR(Table10s3!G32*28,0),IFERROR(Table10s4!G32*265,0))=0,"NO",SUM(Table10s2!G32,IFERROR(Table10s3!G32*28,0),IFERROR(Table10s4!G32*265,0)))</f>
        <v>6946.4001109833671</v>
      </c>
      <c r="H33" s="4101">
        <f>IF(SUM(Table10s2!H32,IFERROR(Table10s3!H32*28,0),IFERROR(Table10s4!H32*265,0))=0,"NO",SUM(Table10s2!H32,IFERROR(Table10s3!H32*28,0),IFERROR(Table10s4!H32*265,0)))</f>
        <v>6834.0081519201904</v>
      </c>
      <c r="I33" s="4101">
        <f>IF(SUM(Table10s2!I32,IFERROR(Table10s3!I32*28,0),IFERROR(Table10s4!I32*265,0))=0,"NO",SUM(Table10s2!I32,IFERROR(Table10s3!I32*28,0),IFERROR(Table10s4!I32*265,0)))</f>
        <v>6903.0618657456571</v>
      </c>
      <c r="J33" s="4101">
        <f>IF(SUM(Table10s2!J32,IFERROR(Table10s3!J32*28,0),IFERROR(Table10s4!J32*265,0))=0,"NO",SUM(Table10s2!J32,IFERROR(Table10s3!J32*28,0),IFERROR(Table10s4!J32*265,0)))</f>
        <v>6544.3122790067846</v>
      </c>
      <c r="K33" s="4101">
        <f>IF(SUM(Table10s2!K32,IFERROR(Table10s3!K32*28,0),IFERROR(Table10s4!K32*265,0))=0,"NO",SUM(Table10s2!K32,IFERROR(Table10s3!K32*28,0),IFERROR(Table10s4!K32*265,0)))</f>
        <v>6537.8782990674799</v>
      </c>
      <c r="L33" s="4101">
        <f>IF(SUM(Table10s2!L32,IFERROR(Table10s3!L32*28,0),IFERROR(Table10s4!L32*265,0))=0,"NO",SUM(Table10s2!L32,IFERROR(Table10s3!L32*28,0),IFERROR(Table10s4!L32*265,0)))</f>
        <v>6593.4555277886611</v>
      </c>
      <c r="M33" s="4101">
        <f>IF(SUM(Table10s2!M32,IFERROR(Table10s3!M32*28,0),IFERROR(Table10s4!M32*265,0))=0,"NO",SUM(Table10s2!M32,IFERROR(Table10s3!M32*28,0),IFERROR(Table10s4!M32*265,0)))</f>
        <v>6804.3439572573543</v>
      </c>
      <c r="N33" s="4101">
        <f>IF(SUM(Table10s2!N32,IFERROR(Table10s3!N32*28,0),IFERROR(Table10s4!N32*265,0))=0,"NO",SUM(Table10s2!N32,IFERROR(Table10s3!N32*28,0),IFERROR(Table10s4!N32*265,0)))</f>
        <v>6714.8583491560275</v>
      </c>
      <c r="O33" s="4101">
        <f>IF(SUM(Table10s2!O32,IFERROR(Table10s3!O32*28,0),IFERROR(Table10s4!O32*265,0))=0,"NO",SUM(Table10s2!O32,IFERROR(Table10s3!O32*28,0),IFERROR(Table10s4!O32*265,0)))</f>
        <v>6987.8348559768438</v>
      </c>
      <c r="P33" s="4101">
        <f>IF(SUM(Table10s2!P32,IFERROR(Table10s3!P32*28,0),IFERROR(Table10s4!P32*265,0))=0,"NO",SUM(Table10s2!P32,IFERROR(Table10s3!P32*28,0),IFERROR(Table10s4!P32*265,0)))</f>
        <v>7325.9822887535311</v>
      </c>
      <c r="Q33" s="4101">
        <f>IF(SUM(Table10s2!Q32,IFERROR(Table10s3!Q32*28,0),IFERROR(Table10s4!Q32*265,0))=0,"NO",SUM(Table10s2!Q32,IFERROR(Table10s3!Q32*28,0),IFERROR(Table10s4!Q32*265,0)))</f>
        <v>7453.7730192478393</v>
      </c>
      <c r="R33" s="4101">
        <f>IF(SUM(Table10s2!R32,IFERROR(Table10s3!R32*28,0),IFERROR(Table10s4!R32*265,0))=0,"NO",SUM(Table10s2!R32,IFERROR(Table10s3!R32*28,0),IFERROR(Table10s4!R32*265,0)))</f>
        <v>7028.3867971198306</v>
      </c>
      <c r="S33" s="4101">
        <f>IF(SUM(Table10s2!S32,IFERROR(Table10s3!S32*28,0),IFERROR(Table10s4!S32*265,0))=0,"NO",SUM(Table10s2!S32,IFERROR(Table10s3!S32*28,0),IFERROR(Table10s4!S32*265,0)))</f>
        <v>7133.6251467105121</v>
      </c>
      <c r="T33" s="4101">
        <f>IF(SUM(Table10s2!T32,IFERROR(Table10s3!T32*28,0),IFERROR(Table10s4!T32*265,0))=0,"NO",SUM(Table10s2!T32,IFERROR(Table10s3!T32*28,0),IFERROR(Table10s4!T32*265,0)))</f>
        <v>7691.6480377458438</v>
      </c>
      <c r="U33" s="4101">
        <f>IF(SUM(Table10s2!U32,IFERROR(Table10s3!U32*28,0),IFERROR(Table10s4!U32*265,0))=0,"NO",SUM(Table10s2!U32,IFERROR(Table10s3!U32*28,0),IFERROR(Table10s4!U32*265,0)))</f>
        <v>7671.2841994795926</v>
      </c>
      <c r="V33" s="4101">
        <f>IF(SUM(Table10s2!V32,IFERROR(Table10s3!V32*28,0),IFERROR(Table10s4!V32*265,0))=0,"NO",SUM(Table10s2!V32,IFERROR(Table10s3!V32*28,0),IFERROR(Table10s4!V32*265,0)))</f>
        <v>7507.0800473543868</v>
      </c>
      <c r="W33" s="4101">
        <f>IF(SUM(Table10s2!W32,IFERROR(Table10s3!W32*28,0),IFERROR(Table10s4!W32*265,0))=0,"NO",SUM(Table10s2!W32,IFERROR(Table10s3!W32*28,0),IFERROR(Table10s4!W32*265,0)))</f>
        <v>7133.7426698129957</v>
      </c>
      <c r="X33" s="4101">
        <f>IF(SUM(Table10s2!X32,IFERROR(Table10s3!X32*28,0),IFERROR(Table10s4!X32*265,0))=0,"NO",SUM(Table10s2!X32,IFERROR(Table10s3!X32*28,0),IFERROR(Table10s4!X32*265,0)))</f>
        <v>7062.0857780799815</v>
      </c>
      <c r="Y33" s="4101">
        <f>IF(SUM(Table10s2!Y32,IFERROR(Table10s3!Y32*28,0),IFERROR(Table10s4!Y32*265,0))=0,"NO",SUM(Table10s2!Y32,IFERROR(Table10s3!Y32*28,0),IFERROR(Table10s4!Y32*265,0)))</f>
        <v>7082.4496311467774</v>
      </c>
      <c r="Z33" s="4101">
        <f>IF(SUM(Table10s2!Z32,IFERROR(Table10s3!Z32*28,0),IFERROR(Table10s4!Z32*265,0))=0,"NO",SUM(Table10s2!Z32,IFERROR(Table10s3!Z32*28,0),IFERROR(Table10s4!Z32*265,0)))</f>
        <v>7176.2896254391917</v>
      </c>
      <c r="AA33" s="4101">
        <f>IF(SUM(Table10s2!AA32,IFERROR(Table10s3!AA32*28,0),IFERROR(Table10s4!AA32*265,0))=0,"NO",SUM(Table10s2!AA32,IFERROR(Table10s3!AA32*28,0),IFERROR(Table10s4!AA32*265,0)))</f>
        <v>7385.7993196685338</v>
      </c>
      <c r="AB33" s="4101">
        <f>IF(SUM(Table10s2!AB32,IFERROR(Table10s3!AB32*28,0),IFERROR(Table10s4!AB32*265,0))=0,"NO",SUM(Table10s2!AB32,IFERROR(Table10s3!AB32*28,0),IFERROR(Table10s4!AB32*265,0)))</f>
        <v>7389.1241328685992</v>
      </c>
      <c r="AC33" s="4101">
        <f>IF(SUM(Table10s2!AC32,IFERROR(Table10s3!AC32*28,0),IFERROR(Table10s4!AC32*265,0))=0,"NO",SUM(Table10s2!AC32,IFERROR(Table10s3!AC32*28,0),IFERROR(Table10s4!AC32*265,0)))</f>
        <v>7547.0280281077921</v>
      </c>
      <c r="AD33" s="4101">
        <f>IF(SUM(Table10s2!AD32,IFERROR(Table10s3!AD32*28,0),IFERROR(Table10s4!AD32*265,0))=0,"NO",SUM(Table10s2!AD32,IFERROR(Table10s3!AD32*28,0),IFERROR(Table10s4!AD32*265,0)))</f>
        <v>7321.909029222601</v>
      </c>
      <c r="AE33" s="4101">
        <f>IF(SUM(Table10s2!AE32,IFERROR(Table10s3!AE32*28,0),IFERROR(Table10s4!AE32*265,0))=0,"NO",SUM(Table10s2!AE32,IFERROR(Table10s3!AE32*28,0),IFERROR(Table10s4!AE32*265,0)))</f>
        <v>7164.085922030702</v>
      </c>
      <c r="AF33" s="4101">
        <f>IF(SUM(Table10s2!AF32,IFERROR(Table10s3!AF32*28,0),IFERROR(Table10s4!AF32*265,0))=0,"NO",SUM(Table10s2!AF32,IFERROR(Table10s3!AF32*28,0),IFERROR(Table10s4!AF32*265,0)))</f>
        <v>7396.2733430528233</v>
      </c>
      <c r="AG33" s="4101">
        <f>IF(SUM(Table10s2!AG32,IFERROR(Table10s3!AG32*28,0),IFERROR(Table10s4!AG32*265,0))=0,"NO",SUM(Table10s2!AG32,IFERROR(Table10s3!AG32*28,0),IFERROR(Table10s4!AG32*265,0)))</f>
        <v>7528.85980567157</v>
      </c>
      <c r="AH33" s="4101">
        <f>IF(SUM(Table10s2!AH32,IFERROR(Table10s3!AH32*28,0),IFERROR(Table10s4!AH32*265,0))=0,"NO",SUM(Table10s2!AH32,IFERROR(Table10s3!AH32*28,0),IFERROR(Table10s4!AH32*265,0)))</f>
        <v>7053.8197598513962</v>
      </c>
      <c r="AI33" s="4101">
        <f>IF(SUM(Table10s2!AI32,IFERROR(Table10s3!AI32*28,0),IFERROR(Table10s4!AI32*265,0))=0,"NO",SUM(Table10s2!AI32,IFERROR(Table10s3!AI32*28,0),IFERROR(Table10s4!AI32*265,0)))</f>
        <v>6806.2849893563935</v>
      </c>
      <c r="AJ33" s="4101">
        <f>IF(SUM(Table10s2!AJ32,IFERROR(Table10s3!AJ32*28,0),IFERROR(Table10s4!AJ32*265,0))=0,"NO",SUM(Table10s2!AJ32,IFERROR(Table10s3!AJ32*28,0),IFERROR(Table10s4!AJ32*265,0)))</f>
        <v>7185.5966488046388</v>
      </c>
      <c r="AK33" s="4101">
        <f>IF(SUM(Table10s2!AK32,IFERROR(Table10s3!AK32*28,0),IFERROR(Table10s4!AK32*265,0))=0,"NO",SUM(Table10s2!AK32,IFERROR(Table10s3!AK32*28,0),IFERROR(Table10s4!AK32*265,0)))</f>
        <v>7184.2744646167121</v>
      </c>
      <c r="AL33" s="4080">
        <f t="shared" si="2"/>
        <v>0.74887653125044551</v>
      </c>
    </row>
    <row r="34" spans="2:38" ht="18" customHeight="1" x14ac:dyDescent="0.2">
      <c r="B34" s="1131" t="s">
        <v>1940</v>
      </c>
      <c r="C34" s="2027"/>
      <c r="D34" s="2027"/>
      <c r="E34" s="4089">
        <f>IF(SUM(Table10s2!E33,IFERROR(Table10s3!E33*28,0),IFERROR(Table10s4!E33*265,0))=0,"NO",SUM(Table10s2!E33,IFERROR(Table10s3!E33*28,0),IFERROR(Table10s4!E33*265,0)))</f>
        <v>532.69558007436797</v>
      </c>
      <c r="F34" s="4089">
        <f>IF(SUM(Table10s2!F33,IFERROR(Table10s3!F33*28,0),IFERROR(Table10s4!F33*265,0))=0,"NO",SUM(Table10s2!F33,IFERROR(Table10s3!F33*28,0),IFERROR(Table10s4!F33*265,0)))</f>
        <v>429.68050177907804</v>
      </c>
      <c r="G34" s="4101">
        <f>IF(SUM(Table10s2!G33,IFERROR(Table10s3!G33*28,0),IFERROR(Table10s4!G33*265,0))=0,"NO",SUM(Table10s2!G33,IFERROR(Table10s3!G33*28,0),IFERROR(Table10s4!G33*265,0)))</f>
        <v>576.2438312995539</v>
      </c>
      <c r="H34" s="4101">
        <f>IF(SUM(Table10s2!H33,IFERROR(Table10s3!H33*28,0),IFERROR(Table10s4!H33*265,0))=0,"NO",SUM(Table10s2!H33,IFERROR(Table10s3!H33*28,0),IFERROR(Table10s4!H33*265,0)))</f>
        <v>569.71758944769476</v>
      </c>
      <c r="I34" s="4101">
        <f>IF(SUM(Table10s2!I33,IFERROR(Table10s3!I33*28,0),IFERROR(Table10s4!I33*265,0))=0,"NO",SUM(Table10s2!I33,IFERROR(Table10s3!I33*28,0),IFERROR(Table10s4!I33*265,0)))</f>
        <v>614.3996830066435</v>
      </c>
      <c r="J34" s="4101">
        <f>IF(SUM(Table10s2!J33,IFERROR(Table10s3!J33*28,0),IFERROR(Table10s4!J33*265,0))=0,"NO",SUM(Table10s2!J33,IFERROR(Table10s3!J33*28,0),IFERROR(Table10s4!J33*265,0)))</f>
        <v>598.86698757917713</v>
      </c>
      <c r="K34" s="4101">
        <f>IF(SUM(Table10s2!K33,IFERROR(Table10s3!K33*28,0),IFERROR(Table10s4!K33*265,0))=0,"NO",SUM(Table10s2!K33,IFERROR(Table10s3!K33*28,0),IFERROR(Table10s4!K33*265,0)))</f>
        <v>694.67663610609816</v>
      </c>
      <c r="L34" s="4101">
        <f>IF(SUM(Table10s2!L33,IFERROR(Table10s3!L33*28,0),IFERROR(Table10s4!L33*265,0))=0,"NO",SUM(Table10s2!L33,IFERROR(Table10s3!L33*28,0),IFERROR(Table10s4!L33*265,0)))</f>
        <v>771.72499204224096</v>
      </c>
      <c r="M34" s="4101">
        <f>IF(SUM(Table10s2!M33,IFERROR(Table10s3!M33*28,0),IFERROR(Table10s4!M33*265,0))=0,"NO",SUM(Table10s2!M33,IFERROR(Table10s3!M33*28,0),IFERROR(Table10s4!M33*265,0)))</f>
        <v>656.90213400000005</v>
      </c>
      <c r="N34" s="4101">
        <f>IF(SUM(Table10s2!N33,IFERROR(Table10s3!N33*28,0),IFERROR(Table10s4!N33*265,0))=0,"NO",SUM(Table10s2!N33,IFERROR(Table10s3!N33*28,0),IFERROR(Table10s4!N33*265,0)))</f>
        <v>661.52930199999992</v>
      </c>
      <c r="O34" s="4101">
        <f>IF(SUM(Table10s2!O33,IFERROR(Table10s3!O33*28,0),IFERROR(Table10s4!O33*265,0))=0,"NO",SUM(Table10s2!O33,IFERROR(Table10s3!O33*28,0),IFERROR(Table10s4!O33*265,0)))</f>
        <v>582.84519999999998</v>
      </c>
      <c r="P34" s="4101">
        <f>IF(SUM(Table10s2!P33,IFERROR(Table10s3!P33*28,0),IFERROR(Table10s4!P33*265,0))=0,"NO",SUM(Table10s2!P33,IFERROR(Table10s3!P33*28,0),IFERROR(Table10s4!P33*265,0)))</f>
        <v>786.81837357200004</v>
      </c>
      <c r="Q34" s="4101">
        <f>IF(SUM(Table10s2!Q33,IFERROR(Table10s3!Q33*28,0),IFERROR(Table10s4!Q33*265,0))=0,"NO",SUM(Table10s2!Q33,IFERROR(Table10s3!Q33*28,0),IFERROR(Table10s4!Q33*265,0)))</f>
        <v>643.19414879999999</v>
      </c>
      <c r="R34" s="4101">
        <f>IF(SUM(Table10s2!R33,IFERROR(Table10s3!R33*28,0),IFERROR(Table10s4!R33*265,0))=0,"NO",SUM(Table10s2!R33,IFERROR(Table10s3!R33*28,0),IFERROR(Table10s4!R33*265,0)))</f>
        <v>204.12573664000001</v>
      </c>
      <c r="S34" s="4101">
        <f>IF(SUM(Table10s2!S33,IFERROR(Table10s3!S33*28,0),IFERROR(Table10s4!S33*265,0))=0,"NO",SUM(Table10s2!S33,IFERROR(Table10s3!S33*28,0),IFERROR(Table10s4!S33*265,0)))</f>
        <v>296.79589883999995</v>
      </c>
      <c r="T34" s="4101">
        <f>IF(SUM(Table10s2!T33,IFERROR(Table10s3!T33*28,0),IFERROR(Table10s4!T33*265,0))=0,"NO",SUM(Table10s2!T33,IFERROR(Table10s3!T33*28,0),IFERROR(Table10s4!T33*265,0)))</f>
        <v>230.09482720000005</v>
      </c>
      <c r="U34" s="4101">
        <f>IF(SUM(Table10s2!U33,IFERROR(Table10s3!U33*28,0),IFERROR(Table10s4!U33*265,0))=0,"NO",SUM(Table10s2!U33,IFERROR(Table10s3!U33*28,0),IFERROR(Table10s4!U33*265,0)))</f>
        <v>454.09758729999999</v>
      </c>
      <c r="V34" s="4101">
        <f>IF(SUM(Table10s2!V33,IFERROR(Table10s3!V33*28,0),IFERROR(Table10s4!V33*265,0))=0,"NO",SUM(Table10s2!V33,IFERROR(Table10s3!V33*28,0),IFERROR(Table10s4!V33*265,0)))</f>
        <v>88.47180809599999</v>
      </c>
      <c r="W34" s="4101">
        <f>IF(SUM(Table10s2!W33,IFERROR(Table10s3!W33*28,0),IFERROR(Table10s4!W33*265,0))=0,"NO",SUM(Table10s2!W33,IFERROR(Table10s3!W33*28,0),IFERROR(Table10s4!W33*265,0)))</f>
        <v>9.2187424</v>
      </c>
      <c r="X34" s="4101">
        <f>IF(SUM(Table10s2!X33,IFERROR(Table10s3!X33*28,0),IFERROR(Table10s4!X33*265,0))=0,"NO",SUM(Table10s2!X33,IFERROR(Table10s3!X33*28,0),IFERROR(Table10s4!X33*265,0)))</f>
        <v>32.007544799999998</v>
      </c>
      <c r="Y34" s="4101">
        <f>IF(SUM(Table10s2!Y33,IFERROR(Table10s3!Y33*28,0),IFERROR(Table10s4!Y33*265,0))=0,"NO",SUM(Table10s2!Y33,IFERROR(Table10s3!Y33*28,0),IFERROR(Table10s4!Y33*265,0)))</f>
        <v>84.227805200000006</v>
      </c>
      <c r="Z34" s="4101">
        <f>IF(SUM(Table10s2!Z33,IFERROR(Table10s3!Z33*28,0),IFERROR(Table10s4!Z33*265,0))=0,"NO",SUM(Table10s2!Z33,IFERROR(Table10s3!Z33*28,0),IFERROR(Table10s4!Z33*265,0)))</f>
        <v>337.17817280000003</v>
      </c>
      <c r="AA34" s="4101">
        <f>IF(SUM(Table10s2!AA33,IFERROR(Table10s3!AA33*28,0),IFERROR(Table10s4!AA33*265,0))=0,"NO",SUM(Table10s2!AA33,IFERROR(Table10s3!AA33*28,0),IFERROR(Table10s4!AA33*265,0)))</f>
        <v>458.77925800000003</v>
      </c>
      <c r="AB34" s="4101">
        <f>IF(SUM(Table10s2!AB33,IFERROR(Table10s3!AB33*28,0),IFERROR(Table10s4!AB33*265,0))=0,"NO",SUM(Table10s2!AB33,IFERROR(Table10s3!AB33*28,0),IFERROR(Table10s4!AB33*265,0)))</f>
        <v>505.59930190000011</v>
      </c>
      <c r="AC34" s="4101">
        <f>IF(SUM(Table10s2!AC33,IFERROR(Table10s3!AC33*28,0),IFERROR(Table10s4!AC33*265,0))=0,"NO",SUM(Table10s2!AC33,IFERROR(Table10s3!AC33*28,0),IFERROR(Table10s4!AC33*265,0)))</f>
        <v>341.22009303200002</v>
      </c>
      <c r="AD34" s="4101">
        <f>IF(SUM(Table10s2!AD33,IFERROR(Table10s3!AD33*28,0),IFERROR(Table10s4!AD33*265,0))=0,"NO",SUM(Table10s2!AD33,IFERROR(Table10s3!AD33*28,0),IFERROR(Table10s4!AD33*265,0)))</f>
        <v>309.94857938800004</v>
      </c>
      <c r="AE34" s="4101">
        <f>IF(SUM(Table10s2!AE33,IFERROR(Table10s3!AE33*28,0),IFERROR(Table10s4!AE33*265,0))=0,"NO",SUM(Table10s2!AE33,IFERROR(Table10s3!AE33*28,0),IFERROR(Table10s4!AE33*265,0)))</f>
        <v>123.61396064038937</v>
      </c>
      <c r="AF34" s="4101">
        <f>IF(SUM(Table10s2!AF33,IFERROR(Table10s3!AF33*28,0),IFERROR(Table10s4!AF33*265,0))=0,"NO",SUM(Table10s2!AF33,IFERROR(Table10s3!AF33*28,0),IFERROR(Table10s4!AF33*265,0)))</f>
        <v>382.73417857010435</v>
      </c>
      <c r="AG34" s="4101">
        <f>IF(SUM(Table10s2!AG33,IFERROR(Table10s3!AG33*28,0),IFERROR(Table10s4!AG33*265,0))=0,"NO",SUM(Table10s2!AG33,IFERROR(Table10s3!AG33*28,0),IFERROR(Table10s4!AG33*265,0)))</f>
        <v>284.51610894531336</v>
      </c>
      <c r="AH34" s="4101">
        <f>IF(SUM(Table10s2!AH33,IFERROR(Table10s3!AH33*28,0),IFERROR(Table10s4!AH33*265,0))=0,"NO",SUM(Table10s2!AH33,IFERROR(Table10s3!AH33*28,0),IFERROR(Table10s4!AH33*265,0)))</f>
        <v>35.301356239568591</v>
      </c>
      <c r="AI34" s="4101">
        <f>IF(SUM(Table10s2!AI33,IFERROR(Table10s3!AI33*28,0),IFERROR(Table10s4!AI33*265,0))=0,"NO",SUM(Table10s2!AI33,IFERROR(Table10s3!AI33*28,0),IFERROR(Table10s4!AI33*265,0)))</f>
        <v>23.157966502413792</v>
      </c>
      <c r="AJ34" s="4101">
        <f>IF(SUM(Table10s2!AJ33,IFERROR(Table10s3!AJ33*28,0),IFERROR(Table10s4!AJ33*265,0))=0,"NO",SUM(Table10s2!AJ33,IFERROR(Table10s3!AJ33*28,0),IFERROR(Table10s4!AJ33*265,0)))</f>
        <v>209.74990068797402</v>
      </c>
      <c r="AK34" s="4101">
        <f>IF(SUM(Table10s2!AK33,IFERROR(Table10s3!AK33*28,0),IFERROR(Table10s4!AK33*265,0))=0,"NO",SUM(Table10s2!AK33,IFERROR(Table10s3!AK33*28,0),IFERROR(Table10s4!AK33*265,0)))</f>
        <v>291.07833697676176</v>
      </c>
      <c r="AL34" s="4080">
        <f t="shared" si="2"/>
        <v>-45.357470971295612</v>
      </c>
    </row>
    <row r="35" spans="2:38" ht="18" customHeight="1" x14ac:dyDescent="0.2">
      <c r="B35" s="1131" t="s">
        <v>1941</v>
      </c>
      <c r="C35" s="2027"/>
      <c r="D35" s="2027"/>
      <c r="E35" s="4089">
        <f>IF(SUM(Table10s2!E34,IFERROR(Table10s3!E34*28,0),IFERROR(Table10s4!E34*265,0))=0,"NO",SUM(Table10s2!E34,IFERROR(Table10s3!E34*28,0),IFERROR(Table10s4!E34*265,0)))</f>
        <v>10074.277712735842</v>
      </c>
      <c r="F35" s="4089">
        <f>IF(SUM(Table10s2!F34,IFERROR(Table10s3!F34*28,0),IFERROR(Table10s4!F34*265,0))=0,"NO",SUM(Table10s2!F34,IFERROR(Table10s3!F34*28,0),IFERROR(Table10s4!F34*265,0)))</f>
        <v>9933.9099740326656</v>
      </c>
      <c r="G35" s="4101">
        <f>IF(SUM(Table10s2!G34,IFERROR(Table10s3!G34*28,0),IFERROR(Table10s4!G34*265,0))=0,"NO",SUM(Table10s2!G34,IFERROR(Table10s3!G34*28,0),IFERROR(Table10s4!G34*265,0)))</f>
        <v>9601.5425196229862</v>
      </c>
      <c r="H35" s="4101">
        <f>IF(SUM(Table10s2!H34,IFERROR(Table10s3!H34*28,0),IFERROR(Table10s4!H34*265,0))=0,"NO",SUM(Table10s2!H34,IFERROR(Table10s3!H34*28,0),IFERROR(Table10s4!H34*265,0)))</f>
        <v>9391.8570957227985</v>
      </c>
      <c r="I35" s="4101">
        <f>IF(SUM(Table10s2!I34,IFERROR(Table10s3!I34*28,0),IFERROR(Table10s4!I34*265,0))=0,"NO",SUM(Table10s2!I34,IFERROR(Table10s3!I34*28,0),IFERROR(Table10s4!I34*265,0)))</f>
        <v>9565.3695851439534</v>
      </c>
      <c r="J35" s="4101">
        <f>IF(SUM(Table10s2!J34,IFERROR(Table10s3!J34*28,0),IFERROR(Table10s4!J34*265,0))=0,"NO",SUM(Table10s2!J34,IFERROR(Table10s3!J34*28,0),IFERROR(Table10s4!J34*265,0)))</f>
        <v>8989.0863432650931</v>
      </c>
      <c r="K35" s="4101">
        <f>IF(SUM(Table10s2!K34,IFERROR(Table10s3!K34*28,0),IFERROR(Table10s4!K34*265,0))=0,"NO",SUM(Table10s2!K34,IFERROR(Table10s3!K34*28,0),IFERROR(Table10s4!K34*265,0)))</f>
        <v>9501.3182693635717</v>
      </c>
      <c r="L35" s="4101">
        <f>IF(SUM(Table10s2!L34,IFERROR(Table10s3!L34*28,0),IFERROR(Table10s4!L34*265,0))=0,"NO",SUM(Table10s2!L34,IFERROR(Table10s3!L34*28,0),IFERROR(Table10s4!L34*265,0)))</f>
        <v>9801.1899016764146</v>
      </c>
      <c r="M35" s="4101">
        <f>IF(SUM(Table10s2!M34,IFERROR(Table10s3!M34*28,0),IFERROR(Table10s4!M34*265,0))=0,"NO",SUM(Table10s2!M34,IFERROR(Table10s3!M34*28,0),IFERROR(Table10s4!M34*265,0)))</f>
        <v>9834.1890373094848</v>
      </c>
      <c r="N35" s="4101">
        <f>IF(SUM(Table10s2!N34,IFERROR(Table10s3!N34*28,0),IFERROR(Table10s4!N34*265,0))=0,"NO",SUM(Table10s2!N34,IFERROR(Table10s3!N34*28,0),IFERROR(Table10s4!N34*265,0)))</f>
        <v>10127.09673417705</v>
      </c>
      <c r="O35" s="4101">
        <f>IF(SUM(Table10s2!O34,IFERROR(Table10s3!O34*28,0),IFERROR(Table10s4!O34*265,0))=0,"NO",SUM(Table10s2!O34,IFERROR(Table10s3!O34*28,0),IFERROR(Table10s4!O34*265,0)))</f>
        <v>10700.635972484588</v>
      </c>
      <c r="P35" s="4101">
        <f>IF(SUM(Table10s2!P34,IFERROR(Table10s3!P34*28,0),IFERROR(Table10s4!P34*265,0))=0,"NO",SUM(Table10s2!P34,IFERROR(Table10s3!P34*28,0),IFERROR(Table10s4!P34*265,0)))</f>
        <v>10581.393129687063</v>
      </c>
      <c r="Q35" s="4101">
        <f>IF(SUM(Table10s2!Q34,IFERROR(Table10s3!Q34*28,0),IFERROR(Table10s4!Q34*265,0))=0,"NO",SUM(Table10s2!Q34,IFERROR(Table10s3!Q34*28,0),IFERROR(Table10s4!Q34*265,0)))</f>
        <v>10604.087510085285</v>
      </c>
      <c r="R35" s="4101">
        <f>IF(SUM(Table10s2!R34,IFERROR(Table10s3!R34*28,0),IFERROR(Table10s4!R34*265,0))=0,"NO",SUM(Table10s2!R34,IFERROR(Table10s3!R34*28,0),IFERROR(Table10s4!R34*265,0)))</f>
        <v>9655.4562958757688</v>
      </c>
      <c r="S35" s="4101">
        <f>IF(SUM(Table10s2!S34,IFERROR(Table10s3!S34*28,0),IFERROR(Table10s4!S34*265,0))=0,"NO",SUM(Table10s2!S34,IFERROR(Table10s3!S34*28,0),IFERROR(Table10s4!S34*265,0)))</f>
        <v>10526.332701799472</v>
      </c>
      <c r="T35" s="4101">
        <f>IF(SUM(Table10s2!T34,IFERROR(Table10s3!T34*28,0),IFERROR(Table10s4!T34*265,0))=0,"NO",SUM(Table10s2!T34,IFERROR(Table10s3!T34*28,0),IFERROR(Table10s4!T34*265,0)))</f>
        <v>10425.47327759019</v>
      </c>
      <c r="U35" s="4101">
        <f>IF(SUM(Table10s2!U34,IFERROR(Table10s3!U34*28,0),IFERROR(Table10s4!U34*265,0))=0,"NO",SUM(Table10s2!U34,IFERROR(Table10s3!U34*28,0),IFERROR(Table10s4!U34*265,0)))</f>
        <v>10191.287067668058</v>
      </c>
      <c r="V35" s="4101">
        <f>IF(SUM(Table10s2!V34,IFERROR(Table10s3!V34*28,0),IFERROR(Table10s4!V34*265,0))=0,"NO",SUM(Table10s2!V34,IFERROR(Table10s3!V34*28,0),IFERROR(Table10s4!V34*265,0)))</f>
        <v>9153.8222543565171</v>
      </c>
      <c r="W35" s="4101">
        <f>IF(SUM(Table10s2!W34,IFERROR(Table10s3!W34*28,0),IFERROR(Table10s4!W34*265,0))=0,"NO",SUM(Table10s2!W34,IFERROR(Table10s3!W34*28,0),IFERROR(Table10s4!W34*265,0)))</f>
        <v>8904.1895891946278</v>
      </c>
      <c r="X35" s="4101">
        <f>IF(SUM(Table10s2!X34,IFERROR(Table10s3!X34*28,0),IFERROR(Table10s4!X34*265,0))=0,"NO",SUM(Table10s2!X34,IFERROR(Table10s3!X34*28,0),IFERROR(Table10s4!X34*265,0)))</f>
        <v>9176.0228358767417</v>
      </c>
      <c r="Y35" s="4101">
        <f>IF(SUM(Table10s2!Y34,IFERROR(Table10s3!Y34*28,0),IFERROR(Table10s4!Y34*265,0))=0,"NO",SUM(Table10s2!Y34,IFERROR(Table10s3!Y34*28,0),IFERROR(Table10s4!Y34*265,0)))</f>
        <v>9130.6905385329446</v>
      </c>
      <c r="Z35" s="4101">
        <f>IF(SUM(Table10s2!Z34,IFERROR(Table10s3!Z34*28,0),IFERROR(Table10s4!Z34*265,0))=0,"NO",SUM(Table10s2!Z34,IFERROR(Table10s3!Z34*28,0),IFERROR(Table10s4!Z34*265,0)))</f>
        <v>9983.0452092868345</v>
      </c>
      <c r="AA35" s="4101">
        <f>IF(SUM(Table10s2!AA34,IFERROR(Table10s3!AA34*28,0),IFERROR(Table10s4!AA34*265,0))=0,"NO",SUM(Table10s2!AA34,IFERROR(Table10s3!AA34*28,0),IFERROR(Table10s4!AA34*265,0)))</f>
        <v>10167.136498205238</v>
      </c>
      <c r="AB35" s="4101">
        <f>IF(SUM(Table10s2!AB34,IFERROR(Table10s3!AB34*28,0),IFERROR(Table10s4!AB34*265,0))=0,"NO",SUM(Table10s2!AB34,IFERROR(Table10s3!AB34*28,0),IFERROR(Table10s4!AB34*265,0)))</f>
        <v>10185.872484307498</v>
      </c>
      <c r="AC35" s="4101">
        <f>IF(SUM(Table10s2!AC34,IFERROR(Table10s3!AC34*28,0),IFERROR(Table10s4!AC34*265,0))=0,"NO",SUM(Table10s2!AC34,IFERROR(Table10s3!AC34*28,0),IFERROR(Table10s4!AC34*265,0)))</f>
        <v>10695.50452043951</v>
      </c>
      <c r="AD35" s="4101">
        <f>IF(SUM(Table10s2!AD34,IFERROR(Table10s3!AD34*28,0),IFERROR(Table10s4!AD34*265,0))=0,"NO",SUM(Table10s2!AD34,IFERROR(Table10s3!AD34*28,0),IFERROR(Table10s4!AD34*265,0)))</f>
        <v>10275.723104142473</v>
      </c>
      <c r="AE35" s="4101">
        <f>IF(SUM(Table10s2!AE34,IFERROR(Table10s3!AE34*28,0),IFERROR(Table10s4!AE34*265,0))=0,"NO",SUM(Table10s2!AE34,IFERROR(Table10s3!AE34*28,0),IFERROR(Table10s4!AE34*265,0)))</f>
        <v>10443.715727718441</v>
      </c>
      <c r="AF35" s="4101">
        <f>IF(SUM(Table10s2!AF34,IFERROR(Table10s3!AF34*28,0),IFERROR(Table10s4!AF34*265,0))=0,"NO",SUM(Table10s2!AF34,IFERROR(Table10s3!AF34*28,0),IFERROR(Table10s4!AF34*265,0)))</f>
        <v>11295.616496053743</v>
      </c>
      <c r="AG35" s="4101">
        <f>IF(SUM(Table10s2!AG34,IFERROR(Table10s3!AG34*28,0),IFERROR(Table10s4!AG34*265,0))=0,"NO",SUM(Table10s2!AG34,IFERROR(Table10s3!AG34*28,0),IFERROR(Table10s4!AG34*265,0)))</f>
        <v>10534.177671876461</v>
      </c>
      <c r="AH35" s="4101">
        <f>IF(SUM(Table10s2!AH34,IFERROR(Table10s3!AH34*28,0),IFERROR(Table10s4!AH34*265,0))=0,"NO",SUM(Table10s2!AH34,IFERROR(Table10s3!AH34*28,0),IFERROR(Table10s4!AH34*265,0)))</f>
        <v>9784.8430617891991</v>
      </c>
      <c r="AI35" s="4101">
        <f>IF(SUM(Table10s2!AI34,IFERROR(Table10s3!AI34*28,0),IFERROR(Table10s4!AI34*265,0))=0,"NO",SUM(Table10s2!AI34,IFERROR(Table10s3!AI34*28,0),IFERROR(Table10s4!AI34*265,0)))</f>
        <v>9929.1434866176569</v>
      </c>
      <c r="AJ35" s="4101">
        <f>IF(SUM(Table10s2!AJ34,IFERROR(Table10s3!AJ34*28,0),IFERROR(Table10s4!AJ34*265,0))=0,"NO",SUM(Table10s2!AJ34,IFERROR(Table10s3!AJ34*28,0),IFERROR(Table10s4!AJ34*265,0)))</f>
        <v>11387.271048765293</v>
      </c>
      <c r="AK35" s="4101">
        <f>IF(SUM(Table10s2!AK34,IFERROR(Table10s3!AK34*28,0),IFERROR(Table10s4!AK34*265,0))=0,"NO",SUM(Table10s2!AK34,IFERROR(Table10s3!AK34*28,0),IFERROR(Table10s4!AK34*265,0)))</f>
        <v>11584.740404299046</v>
      </c>
      <c r="AL35" s="4080">
        <f t="shared" si="2"/>
        <v>14.993260406685891</v>
      </c>
    </row>
    <row r="36" spans="2:38" ht="18" customHeight="1" x14ac:dyDescent="0.2">
      <c r="B36" s="1131" t="s">
        <v>1942</v>
      </c>
      <c r="C36" s="2027"/>
      <c r="D36" s="2027"/>
      <c r="E36" s="4089" t="str">
        <f>IF(SUM(Table10s2!E35,IFERROR(Table10s3!E35*28,0),IFERROR(Table10s4!E35*265,0))=0,"NO",SUM(Table10s2!E35,IFERROR(Table10s3!E35*28,0),IFERROR(Table10s4!E35*265,0)))</f>
        <v>NO</v>
      </c>
      <c r="F36" s="4089" t="str">
        <f>IF(SUM(Table10s2!F35,IFERROR(Table10s3!F35*28,0),IFERROR(Table10s4!F35*265,0))=0,"NO",SUM(Table10s2!F35,IFERROR(Table10s3!F35*28,0),IFERROR(Table10s4!F35*265,0)))</f>
        <v>NO</v>
      </c>
      <c r="G36" s="4101" t="str">
        <f>IF(SUM(Table10s2!G35,IFERROR(Table10s3!G35*28,0),IFERROR(Table10s4!G35*265,0))=0,"NO",SUM(Table10s2!G35,IFERROR(Table10s3!G35*28,0),IFERROR(Table10s4!G35*265,0)))</f>
        <v>NO</v>
      </c>
      <c r="H36" s="4101" t="str">
        <f>IF(SUM(Table10s2!H35,IFERROR(Table10s3!H35*28,0),IFERROR(Table10s4!H35*265,0))=0,"NO",SUM(Table10s2!H35,IFERROR(Table10s3!H35*28,0),IFERROR(Table10s4!H35*265,0)))</f>
        <v>NO</v>
      </c>
      <c r="I36" s="4101" t="str">
        <f>IF(SUM(Table10s2!I35,IFERROR(Table10s3!I35*28,0),IFERROR(Table10s4!I35*265,0))=0,"NO",SUM(Table10s2!I35,IFERROR(Table10s3!I35*28,0),IFERROR(Table10s4!I35*265,0)))</f>
        <v>NO</v>
      </c>
      <c r="J36" s="4101" t="str">
        <f>IF(SUM(Table10s2!J35,IFERROR(Table10s3!J35*28,0),IFERROR(Table10s4!J35*265,0))=0,"NO",SUM(Table10s2!J35,IFERROR(Table10s3!J35*28,0),IFERROR(Table10s4!J35*265,0)))</f>
        <v>NO</v>
      </c>
      <c r="K36" s="4101" t="str">
        <f>IF(SUM(Table10s2!K35,IFERROR(Table10s3!K35*28,0),IFERROR(Table10s4!K35*265,0))=0,"NO",SUM(Table10s2!K35,IFERROR(Table10s3!K35*28,0),IFERROR(Table10s4!K35*265,0)))</f>
        <v>NO</v>
      </c>
      <c r="L36" s="4101" t="str">
        <f>IF(SUM(Table10s2!L35,IFERROR(Table10s3!L35*28,0),IFERROR(Table10s4!L35*265,0))=0,"NO",SUM(Table10s2!L35,IFERROR(Table10s3!L35*28,0),IFERROR(Table10s4!L35*265,0)))</f>
        <v>NO</v>
      </c>
      <c r="M36" s="4101" t="str">
        <f>IF(SUM(Table10s2!M35,IFERROR(Table10s3!M35*28,0),IFERROR(Table10s4!M35*265,0))=0,"NO",SUM(Table10s2!M35,IFERROR(Table10s3!M35*28,0),IFERROR(Table10s4!M35*265,0)))</f>
        <v>NO</v>
      </c>
      <c r="N36" s="4101" t="str">
        <f>IF(SUM(Table10s2!N35,IFERROR(Table10s3!N35*28,0),IFERROR(Table10s4!N35*265,0))=0,"NO",SUM(Table10s2!N35,IFERROR(Table10s3!N35*28,0),IFERROR(Table10s4!N35*265,0)))</f>
        <v>NO</v>
      </c>
      <c r="O36" s="4101" t="str">
        <f>IF(SUM(Table10s2!O35,IFERROR(Table10s3!O35*28,0),IFERROR(Table10s4!O35*265,0))=0,"NO",SUM(Table10s2!O35,IFERROR(Table10s3!O35*28,0),IFERROR(Table10s4!O35*265,0)))</f>
        <v>NO</v>
      </c>
      <c r="P36" s="4101" t="str">
        <f>IF(SUM(Table10s2!P35,IFERROR(Table10s3!P35*28,0),IFERROR(Table10s4!P35*265,0))=0,"NO",SUM(Table10s2!P35,IFERROR(Table10s3!P35*28,0),IFERROR(Table10s4!P35*265,0)))</f>
        <v>NO</v>
      </c>
      <c r="Q36" s="4101" t="str">
        <f>IF(SUM(Table10s2!Q35,IFERROR(Table10s3!Q35*28,0),IFERROR(Table10s4!Q35*265,0))=0,"NO",SUM(Table10s2!Q35,IFERROR(Table10s3!Q35*28,0),IFERROR(Table10s4!Q35*265,0)))</f>
        <v>NO</v>
      </c>
      <c r="R36" s="4101" t="str">
        <f>IF(SUM(Table10s2!R35,IFERROR(Table10s3!R35*28,0),IFERROR(Table10s4!R35*265,0))=0,"NO",SUM(Table10s2!R35,IFERROR(Table10s3!R35*28,0),IFERROR(Table10s4!R35*265,0)))</f>
        <v>NO</v>
      </c>
      <c r="S36" s="4101" t="str">
        <f>IF(SUM(Table10s2!S35,IFERROR(Table10s3!S35*28,0),IFERROR(Table10s4!S35*265,0))=0,"NO",SUM(Table10s2!S35,IFERROR(Table10s3!S35*28,0),IFERROR(Table10s4!S35*265,0)))</f>
        <v>NO</v>
      </c>
      <c r="T36" s="4101" t="str">
        <f>IF(SUM(Table10s2!T35,IFERROR(Table10s3!T35*28,0),IFERROR(Table10s4!T35*265,0))=0,"NO",SUM(Table10s2!T35,IFERROR(Table10s3!T35*28,0),IFERROR(Table10s4!T35*265,0)))</f>
        <v>NO</v>
      </c>
      <c r="U36" s="4101" t="str">
        <f>IF(SUM(Table10s2!U35,IFERROR(Table10s3!U35*28,0),IFERROR(Table10s4!U35*265,0))=0,"NO",SUM(Table10s2!U35,IFERROR(Table10s3!U35*28,0),IFERROR(Table10s4!U35*265,0)))</f>
        <v>NO</v>
      </c>
      <c r="V36" s="4101" t="str">
        <f>IF(SUM(Table10s2!V35,IFERROR(Table10s3!V35*28,0),IFERROR(Table10s4!V35*265,0))=0,"NO",SUM(Table10s2!V35,IFERROR(Table10s3!V35*28,0),IFERROR(Table10s4!V35*265,0)))</f>
        <v>NO</v>
      </c>
      <c r="W36" s="4101" t="str">
        <f>IF(SUM(Table10s2!W35,IFERROR(Table10s3!W35*28,0),IFERROR(Table10s4!W35*265,0))=0,"NO",SUM(Table10s2!W35,IFERROR(Table10s3!W35*28,0),IFERROR(Table10s4!W35*265,0)))</f>
        <v>NO</v>
      </c>
      <c r="X36" s="4101" t="str">
        <f>IF(SUM(Table10s2!X35,IFERROR(Table10s3!X35*28,0),IFERROR(Table10s4!X35*265,0))=0,"NO",SUM(Table10s2!X35,IFERROR(Table10s3!X35*28,0),IFERROR(Table10s4!X35*265,0)))</f>
        <v>NO</v>
      </c>
      <c r="Y36" s="4101" t="str">
        <f>IF(SUM(Table10s2!Y35,IFERROR(Table10s3!Y35*28,0),IFERROR(Table10s4!Y35*265,0))=0,"NO",SUM(Table10s2!Y35,IFERROR(Table10s3!Y35*28,0),IFERROR(Table10s4!Y35*265,0)))</f>
        <v>NO</v>
      </c>
      <c r="Z36" s="4101" t="str">
        <f>IF(SUM(Table10s2!Z35,IFERROR(Table10s3!Z35*28,0),IFERROR(Table10s4!Z35*265,0))=0,"NO",SUM(Table10s2!Z35,IFERROR(Table10s3!Z35*28,0),IFERROR(Table10s4!Z35*265,0)))</f>
        <v>NO</v>
      </c>
      <c r="AA36" s="4101" t="str">
        <f>IF(SUM(Table10s2!AA35,IFERROR(Table10s3!AA35*28,0),IFERROR(Table10s4!AA35*265,0))=0,"NO",SUM(Table10s2!AA35,IFERROR(Table10s3!AA35*28,0),IFERROR(Table10s4!AA35*265,0)))</f>
        <v>NO</v>
      </c>
      <c r="AB36" s="4101" t="str">
        <f>IF(SUM(Table10s2!AB35,IFERROR(Table10s3!AB35*28,0),IFERROR(Table10s4!AB35*265,0))=0,"NO",SUM(Table10s2!AB35,IFERROR(Table10s3!AB35*28,0),IFERROR(Table10s4!AB35*265,0)))</f>
        <v>NO</v>
      </c>
      <c r="AC36" s="4101" t="str">
        <f>IF(SUM(Table10s2!AC35,IFERROR(Table10s3!AC35*28,0),IFERROR(Table10s4!AC35*265,0))=0,"NO",SUM(Table10s2!AC35,IFERROR(Table10s3!AC35*28,0),IFERROR(Table10s4!AC35*265,0)))</f>
        <v>NO</v>
      </c>
      <c r="AD36" s="4101" t="str">
        <f>IF(SUM(Table10s2!AD35,IFERROR(Table10s3!AD35*28,0),IFERROR(Table10s4!AD35*265,0))=0,"NO",SUM(Table10s2!AD35,IFERROR(Table10s3!AD35*28,0),IFERROR(Table10s4!AD35*265,0)))</f>
        <v>NO</v>
      </c>
      <c r="AE36" s="4101" t="str">
        <f>IF(SUM(Table10s2!AE35,IFERROR(Table10s3!AE35*28,0),IFERROR(Table10s4!AE35*265,0))=0,"NO",SUM(Table10s2!AE35,IFERROR(Table10s3!AE35*28,0),IFERROR(Table10s4!AE35*265,0)))</f>
        <v>NO</v>
      </c>
      <c r="AF36" s="4101" t="str">
        <f>IF(SUM(Table10s2!AF35,IFERROR(Table10s3!AF35*28,0),IFERROR(Table10s4!AF35*265,0))=0,"NO",SUM(Table10s2!AF35,IFERROR(Table10s3!AF35*28,0),IFERROR(Table10s4!AF35*265,0)))</f>
        <v>NO</v>
      </c>
      <c r="AG36" s="4101" t="str">
        <f>IF(SUM(Table10s2!AG35,IFERROR(Table10s3!AG35*28,0),IFERROR(Table10s4!AG35*265,0))=0,"NO",SUM(Table10s2!AG35,IFERROR(Table10s3!AG35*28,0),IFERROR(Table10s4!AG35*265,0)))</f>
        <v>NO</v>
      </c>
      <c r="AH36" s="4101" t="str">
        <f>IF(SUM(Table10s2!AH35,IFERROR(Table10s3!AH35*28,0),IFERROR(Table10s4!AH35*265,0))=0,"NO",SUM(Table10s2!AH35,IFERROR(Table10s3!AH35*28,0),IFERROR(Table10s4!AH35*265,0)))</f>
        <v>NO</v>
      </c>
      <c r="AI36" s="4101" t="str">
        <f>IF(SUM(Table10s2!AI35,IFERROR(Table10s3!AI35*28,0),IFERROR(Table10s4!AI35*265,0))=0,"NO",SUM(Table10s2!AI35,IFERROR(Table10s3!AI35*28,0),IFERROR(Table10s4!AI35*265,0)))</f>
        <v>NO</v>
      </c>
      <c r="AJ36" s="4101" t="str">
        <f>IF(SUM(Table10s2!AJ35,IFERROR(Table10s3!AJ35*28,0),IFERROR(Table10s4!AJ35*265,0))=0,"NO",SUM(Table10s2!AJ35,IFERROR(Table10s3!AJ35*28,0),IFERROR(Table10s4!AJ35*265,0)))</f>
        <v>NO</v>
      </c>
      <c r="AK36" s="4101" t="str">
        <f>IF(SUM(Table10s2!AK35,IFERROR(Table10s3!AK35*28,0),IFERROR(Table10s4!AK35*265,0))=0,"NO",SUM(Table10s2!AK35,IFERROR(Table10s3!AK35*28,0),IFERROR(Table10s4!AK35*265,0)))</f>
        <v>NO</v>
      </c>
      <c r="AL36" s="4080" t="str">
        <f t="shared" si="2"/>
        <v>NA</v>
      </c>
    </row>
    <row r="37" spans="2:38" ht="18" customHeight="1" x14ac:dyDescent="0.2">
      <c r="B37" s="1131" t="s">
        <v>1943</v>
      </c>
      <c r="C37" s="2027"/>
      <c r="D37" s="2027"/>
      <c r="E37" s="4089">
        <f>IF(SUM(Table10s2!E36,IFERROR(Table10s3!E36*28,0),IFERROR(Table10s4!E36*265,0))=0,"NO",SUM(Table10s2!E36,IFERROR(Table10s3!E36*28,0),IFERROR(Table10s4!E36*265,0)))</f>
        <v>450.51091612548237</v>
      </c>
      <c r="F37" s="4089">
        <f>IF(SUM(Table10s2!F36,IFERROR(Table10s3!F36*28,0),IFERROR(Table10s4!F36*265,0))=0,"NO",SUM(Table10s2!F36,IFERROR(Table10s3!F36*28,0),IFERROR(Table10s4!F36*265,0)))</f>
        <v>444.39655188621225</v>
      </c>
      <c r="G37" s="4101">
        <f>IF(SUM(Table10s2!G36,IFERROR(Table10s3!G36*28,0),IFERROR(Table10s4!G36*265,0))=0,"NO",SUM(Table10s2!G36,IFERROR(Table10s3!G36*28,0),IFERROR(Table10s4!G36*265,0)))</f>
        <v>413.49187407087135</v>
      </c>
      <c r="H37" s="4101">
        <f>IF(SUM(Table10s2!H36,IFERROR(Table10s3!H36*28,0),IFERROR(Table10s4!H36*265,0))=0,"NO",SUM(Table10s2!H36,IFERROR(Table10s3!H36*28,0),IFERROR(Table10s4!H36*265,0)))</f>
        <v>497.39872783616494</v>
      </c>
      <c r="I37" s="4101">
        <f>IF(SUM(Table10s2!I36,IFERROR(Table10s3!I36*28,0),IFERROR(Table10s4!I36*265,0))=0,"NO",SUM(Table10s2!I36,IFERROR(Table10s3!I36*28,0),IFERROR(Table10s4!I36*265,0)))</f>
        <v>569.34157676748487</v>
      </c>
      <c r="J37" s="4101">
        <f>IF(SUM(Table10s2!J36,IFERROR(Table10s3!J36*28,0),IFERROR(Table10s4!J36*265,0))=0,"NO",SUM(Table10s2!J36,IFERROR(Table10s3!J36*28,0),IFERROR(Table10s4!J36*265,0)))</f>
        <v>329.08100878987716</v>
      </c>
      <c r="K37" s="4101">
        <f>IF(SUM(Table10s2!K36,IFERROR(Table10s3!K36*28,0),IFERROR(Table10s4!K36*265,0))=0,"NO",SUM(Table10s2!K36,IFERROR(Table10s3!K36*28,0),IFERROR(Table10s4!K36*265,0)))</f>
        <v>505.5595589554207</v>
      </c>
      <c r="L37" s="4101">
        <f>IF(SUM(Table10s2!L36,IFERROR(Table10s3!L36*28,0),IFERROR(Table10s4!L36*265,0))=0,"NO",SUM(Table10s2!L36,IFERROR(Table10s3!L36*28,0),IFERROR(Table10s4!L36*265,0)))</f>
        <v>613.68661576635861</v>
      </c>
      <c r="M37" s="4101">
        <f>IF(SUM(Table10s2!M36,IFERROR(Table10s3!M36*28,0),IFERROR(Table10s4!M36*265,0))=0,"NO",SUM(Table10s2!M36,IFERROR(Table10s3!M36*28,0),IFERROR(Table10s4!M36*265,0)))</f>
        <v>553.66365688744281</v>
      </c>
      <c r="N37" s="4101">
        <f>IF(SUM(Table10s2!N36,IFERROR(Table10s3!N36*28,0),IFERROR(Table10s4!N36*265,0))=0,"NO",SUM(Table10s2!N36,IFERROR(Table10s3!N36*28,0),IFERROR(Table10s4!N36*265,0)))</f>
        <v>600.80198739999651</v>
      </c>
      <c r="O37" s="4101">
        <f>IF(SUM(Table10s2!O36,IFERROR(Table10s3!O36*28,0),IFERROR(Table10s4!O36*265,0))=0,"NO",SUM(Table10s2!O36,IFERROR(Table10s3!O36*28,0),IFERROR(Table10s4!O36*265,0)))</f>
        <v>533.03516149118832</v>
      </c>
      <c r="P37" s="4101">
        <f>IF(SUM(Table10s2!P36,IFERROR(Table10s3!P36*28,0),IFERROR(Table10s4!P36*265,0))=0,"NO",SUM(Table10s2!P36,IFERROR(Table10s3!P36*28,0),IFERROR(Table10s4!P36*265,0)))</f>
        <v>538.15530048200344</v>
      </c>
      <c r="Q37" s="4101">
        <f>IF(SUM(Table10s2!Q36,IFERROR(Table10s3!Q36*28,0),IFERROR(Table10s4!Q36*265,0))=0,"NO",SUM(Table10s2!Q36,IFERROR(Table10s3!Q36*28,0),IFERROR(Table10s4!Q36*265,0)))</f>
        <v>554.79886371423379</v>
      </c>
      <c r="R37" s="4101">
        <f>IF(SUM(Table10s2!R36,IFERROR(Table10s3!R36*28,0),IFERROR(Table10s4!R36*265,0))=0,"NO",SUM(Table10s2!R36,IFERROR(Table10s3!R36*28,0),IFERROR(Table10s4!R36*265,0)))</f>
        <v>259.7188409176722</v>
      </c>
      <c r="S37" s="4101">
        <f>IF(SUM(Table10s2!S36,IFERROR(Table10s3!S36*28,0),IFERROR(Table10s4!S36*265,0))=0,"NO",SUM(Table10s2!S36,IFERROR(Table10s3!S36*28,0),IFERROR(Table10s4!S36*265,0)))</f>
        <v>535.91873734525598</v>
      </c>
      <c r="T37" s="4101">
        <f>IF(SUM(Table10s2!T36,IFERROR(Table10s3!T36*28,0),IFERROR(Table10s4!T36*265,0))=0,"NO",SUM(Table10s2!T36,IFERROR(Table10s3!T36*28,0),IFERROR(Table10s4!T36*265,0)))</f>
        <v>353.29216472337316</v>
      </c>
      <c r="U37" s="4101">
        <f>IF(SUM(Table10s2!U36,IFERROR(Table10s3!U36*28,0),IFERROR(Table10s4!U36*265,0))=0,"NO",SUM(Table10s2!U36,IFERROR(Table10s3!U36*28,0),IFERROR(Table10s4!U36*265,0)))</f>
        <v>448.6911185923463</v>
      </c>
      <c r="V37" s="4101">
        <f>IF(SUM(Table10s2!V36,IFERROR(Table10s3!V36*28,0),IFERROR(Table10s4!V36*265,0))=0,"NO",SUM(Table10s2!V36,IFERROR(Table10s3!V36*28,0),IFERROR(Table10s4!V36*265,0)))</f>
        <v>196.29420175275149</v>
      </c>
      <c r="W37" s="4101">
        <f>IF(SUM(Table10s2!W36,IFERROR(Table10s3!W36*28,0),IFERROR(Table10s4!W36*265,0))=0,"NO",SUM(Table10s2!W36,IFERROR(Table10s3!W36*28,0),IFERROR(Table10s4!W36*265,0)))</f>
        <v>247.45180387281818</v>
      </c>
      <c r="X37" s="4101">
        <f>IF(SUM(Table10s2!X36,IFERROR(Table10s3!X36*28,0),IFERROR(Table10s4!X36*265,0))=0,"NO",SUM(Table10s2!X36,IFERROR(Table10s3!X36*28,0),IFERROR(Table10s4!X36*265,0)))</f>
        <v>306.18427497803395</v>
      </c>
      <c r="Y37" s="4101">
        <f>IF(SUM(Table10s2!Y36,IFERROR(Table10s3!Y36*28,0),IFERROR(Table10s4!Y36*265,0))=0,"NO",SUM(Table10s2!Y36,IFERROR(Table10s3!Y36*28,0),IFERROR(Table10s4!Y36*265,0)))</f>
        <v>266.24541792868729</v>
      </c>
      <c r="Z37" s="4101">
        <f>IF(SUM(Table10s2!Z36,IFERROR(Table10s3!Z36*28,0),IFERROR(Table10s4!Z36*265,0))=0,"NO",SUM(Table10s2!Z36,IFERROR(Table10s3!Z36*28,0),IFERROR(Table10s4!Z36*265,0)))</f>
        <v>392.25681909749733</v>
      </c>
      <c r="AA37" s="4101">
        <f>IF(SUM(Table10s2!AA36,IFERROR(Table10s3!AA36*28,0),IFERROR(Table10s4!AA36*265,0))=0,"NO",SUM(Table10s2!AA36,IFERROR(Table10s3!AA36*28,0),IFERROR(Table10s4!AA36*265,0)))</f>
        <v>397.25093154873588</v>
      </c>
      <c r="AB37" s="4101">
        <f>IF(SUM(Table10s2!AB36,IFERROR(Table10s3!AB36*28,0),IFERROR(Table10s4!AB36*265,0))=0,"NO",SUM(Table10s2!AB36,IFERROR(Table10s3!AB36*28,0),IFERROR(Table10s4!AB36*265,0)))</f>
        <v>373.72829765792312</v>
      </c>
      <c r="AC37" s="4101">
        <f>IF(SUM(Table10s2!AC36,IFERROR(Table10s3!AC36*28,0),IFERROR(Table10s4!AC36*265,0))=0,"NO",SUM(Table10s2!AC36,IFERROR(Table10s3!AC36*28,0),IFERROR(Table10s4!AC36*265,0)))</f>
        <v>346.45347479688871</v>
      </c>
      <c r="AD37" s="4101">
        <f>IF(SUM(Table10s2!AD36,IFERROR(Table10s3!AD36*28,0),IFERROR(Table10s4!AD36*265,0))=0,"NO",SUM(Table10s2!AD36,IFERROR(Table10s3!AD36*28,0),IFERROR(Table10s4!AD36*265,0)))</f>
        <v>330.89597841696695</v>
      </c>
      <c r="AE37" s="4101">
        <f>IF(SUM(Table10s2!AE36,IFERROR(Table10s3!AE36*28,0),IFERROR(Table10s4!AE36*265,0))=0,"NO",SUM(Table10s2!AE36,IFERROR(Table10s3!AE36*28,0),IFERROR(Table10s4!AE36*265,0)))</f>
        <v>300.20190505669871</v>
      </c>
      <c r="AF37" s="4101">
        <f>IF(SUM(Table10s2!AF36,IFERROR(Table10s3!AF36*28,0),IFERROR(Table10s4!AF36*265,0))=0,"NO",SUM(Table10s2!AF36,IFERROR(Table10s3!AF36*28,0),IFERROR(Table10s4!AF36*265,0)))</f>
        <v>487.60015910267634</v>
      </c>
      <c r="AG37" s="4101">
        <f>IF(SUM(Table10s2!AG36,IFERROR(Table10s3!AG36*28,0),IFERROR(Table10s4!AG36*265,0))=0,"NO",SUM(Table10s2!AG36,IFERROR(Table10s3!AG36*28,0),IFERROR(Table10s4!AG36*265,0)))</f>
        <v>339.13047314622133</v>
      </c>
      <c r="AH37" s="4101">
        <f>IF(SUM(Table10s2!AH36,IFERROR(Table10s3!AH36*28,0),IFERROR(Table10s4!AH36*265,0))=0,"NO",SUM(Table10s2!AH36,IFERROR(Table10s3!AH36*28,0),IFERROR(Table10s4!AH36*265,0)))</f>
        <v>213.00634444477612</v>
      </c>
      <c r="AI37" s="4101">
        <f>IF(SUM(Table10s2!AI36,IFERROR(Table10s3!AI36*28,0),IFERROR(Table10s4!AI36*265,0))=0,"NO",SUM(Table10s2!AI36,IFERROR(Table10s3!AI36*28,0),IFERROR(Table10s4!AI36*265,0)))</f>
        <v>224.13707616508512</v>
      </c>
      <c r="AJ37" s="4101">
        <f>IF(SUM(Table10s2!AJ36,IFERROR(Table10s3!AJ36*28,0),IFERROR(Table10s4!AJ36*265,0))=0,"NO",SUM(Table10s2!AJ36,IFERROR(Table10s3!AJ36*28,0),IFERROR(Table10s4!AJ36*265,0)))</f>
        <v>474.22862867525657</v>
      </c>
      <c r="AK37" s="4101">
        <f>IF(SUM(Table10s2!AK36,IFERROR(Table10s3!AK36*28,0),IFERROR(Table10s4!AK36*265,0))=0,"NO",SUM(Table10s2!AK36,IFERROR(Table10s3!AK36*28,0),IFERROR(Table10s4!AK36*265,0)))</f>
        <v>506.50975571825688</v>
      </c>
      <c r="AL37" s="4080">
        <f t="shared" si="2"/>
        <v>12.430073853566071</v>
      </c>
    </row>
    <row r="38" spans="2:38" ht="18" customHeight="1" x14ac:dyDescent="0.2">
      <c r="B38" s="1132" t="s">
        <v>955</v>
      </c>
      <c r="C38" s="2254"/>
      <c r="D38" s="2254"/>
      <c r="E38" s="4102">
        <f>IF(SUM(Table10s2!E37,IFERROR(Table10s3!E37*28,0),IFERROR(Table10s4!E37*265,0))=0,"NO",SUM(Table10s2!E37,IFERROR(Table10s3!E37*28,0),IFERROR(Table10s4!E37*265,0)))</f>
        <v>215.34654271285109</v>
      </c>
      <c r="F38" s="4102">
        <f>IF(SUM(Table10s2!F37,IFERROR(Table10s3!F37*28,0),IFERROR(Table10s4!F37*265,0))=0,"NO",SUM(Table10s2!F37,IFERROR(Table10s3!F37*28,0),IFERROR(Table10s4!F37*265,0)))</f>
        <v>260.25846060066385</v>
      </c>
      <c r="G38" s="4103">
        <f>IF(SUM(Table10s2!G37,IFERROR(Table10s3!G37*28,0),IFERROR(Table10s4!G37*265,0))=0,"NO",SUM(Table10s2!G37,IFERROR(Table10s3!G37*28,0),IFERROR(Table10s4!G37*265,0)))</f>
        <v>316.7677447778139</v>
      </c>
      <c r="H38" s="4103">
        <f>IF(SUM(Table10s2!H37,IFERROR(Table10s3!H37*28,0),IFERROR(Table10s4!H37*265,0))=0,"NO",SUM(Table10s2!H37,IFERROR(Table10s3!H37*28,0),IFERROR(Table10s4!H37*265,0)))</f>
        <v>382.83171201753419</v>
      </c>
      <c r="I38" s="4103">
        <f>IF(SUM(Table10s2!I37,IFERROR(Table10s3!I37*28,0),IFERROR(Table10s4!I37*265,0))=0,"NO",SUM(Table10s2!I37,IFERROR(Table10s3!I37*28,0),IFERROR(Table10s4!I37*265,0)))</f>
        <v>487.77038997925558</v>
      </c>
      <c r="J38" s="4103">
        <f>IF(SUM(Table10s2!J37,IFERROR(Table10s3!J37*28,0),IFERROR(Table10s4!J37*265,0))=0,"NO",SUM(Table10s2!J37,IFERROR(Table10s3!J37*28,0),IFERROR(Table10s4!J37*265,0)))</f>
        <v>439.54233407142647</v>
      </c>
      <c r="K38" s="4103">
        <f>IF(SUM(Table10s2!K37,IFERROR(Table10s3!K37*28,0),IFERROR(Table10s4!K37*265,0))=0,"NO",SUM(Table10s2!K37,IFERROR(Table10s3!K37*28,0),IFERROR(Table10s4!K37*265,0)))</f>
        <v>385.98755249999999</v>
      </c>
      <c r="L38" s="4103">
        <f>IF(SUM(Table10s2!L37,IFERROR(Table10s3!L37*28,0),IFERROR(Table10s4!L37*265,0))=0,"NO",SUM(Table10s2!L37,IFERROR(Table10s3!L37*28,0),IFERROR(Table10s4!L37*265,0)))</f>
        <v>485.71530671337609</v>
      </c>
      <c r="M38" s="4103">
        <f>IF(SUM(Table10s2!M37,IFERROR(Table10s3!M37*28,0),IFERROR(Table10s4!M37*265,0))=0,"NO",SUM(Table10s2!M37,IFERROR(Table10s3!M37*28,0),IFERROR(Table10s4!M37*265,0)))</f>
        <v>585.8261268850398</v>
      </c>
      <c r="N38" s="4103">
        <f>IF(SUM(Table10s2!N37,IFERROR(Table10s3!N37*28,0),IFERROR(Table10s4!N37*265,0))=0,"NO",SUM(Table10s2!N37,IFERROR(Table10s3!N37*28,0),IFERROR(Table10s4!N37*265,0)))</f>
        <v>720.58080698204878</v>
      </c>
      <c r="O38" s="4103">
        <f>IF(SUM(Table10s2!O37,IFERROR(Table10s3!O37*28,0),IFERROR(Table10s4!O37*265,0))=0,"NO",SUM(Table10s2!O37,IFERROR(Table10s3!O37*28,0),IFERROR(Table10s4!O37*265,0)))</f>
        <v>738.22287646151176</v>
      </c>
      <c r="P38" s="4103">
        <f>IF(SUM(Table10s2!P37,IFERROR(Table10s3!P37*28,0),IFERROR(Table10s4!P37*265,0))=0,"NO",SUM(Table10s2!P37,IFERROR(Table10s3!P37*28,0),IFERROR(Table10s4!P37*265,0)))</f>
        <v>761.68682887</v>
      </c>
      <c r="Q38" s="4103">
        <f>IF(SUM(Table10s2!Q37,IFERROR(Table10s3!Q37*28,0),IFERROR(Table10s4!Q37*265,0))=0,"NO",SUM(Table10s2!Q37,IFERROR(Table10s3!Q37*28,0),IFERROR(Table10s4!Q37*265,0)))</f>
        <v>1021.2878336833335</v>
      </c>
      <c r="R38" s="4103">
        <f>IF(SUM(Table10s2!R37,IFERROR(Table10s3!R37*28,0),IFERROR(Table10s4!R37*265,0))=0,"NO",SUM(Table10s2!R37,IFERROR(Table10s3!R37*28,0),IFERROR(Table10s4!R37*265,0)))</f>
        <v>1050.1937704120328</v>
      </c>
      <c r="S38" s="4103">
        <f>IF(SUM(Table10s2!S37,IFERROR(Table10s3!S37*28,0),IFERROR(Table10s4!S37*265,0))=0,"NO",SUM(Table10s2!S37,IFERROR(Table10s3!S37*28,0),IFERROR(Table10s4!S37*265,0)))</f>
        <v>1079.5133123531791</v>
      </c>
      <c r="T38" s="4103">
        <f>IF(SUM(Table10s2!T37,IFERROR(Table10s3!T37*28,0),IFERROR(Table10s4!T37*265,0))=0,"NO",SUM(Table10s2!T37,IFERROR(Table10s3!T37*28,0),IFERROR(Table10s4!T37*265,0)))</f>
        <v>1076.1779476621882</v>
      </c>
      <c r="U38" s="4103">
        <f>IF(SUM(Table10s2!U37,IFERROR(Table10s3!U37*28,0),IFERROR(Table10s4!U37*265,0))=0,"NO",SUM(Table10s2!U37,IFERROR(Table10s3!U37*28,0),IFERROR(Table10s4!U37*265,0)))</f>
        <v>1072.8425829711978</v>
      </c>
      <c r="V38" s="4103">
        <f>IF(SUM(Table10s2!V37,IFERROR(Table10s3!V37*28,0),IFERROR(Table10s4!V37*265,0))=0,"NO",SUM(Table10s2!V37,IFERROR(Table10s3!V37*28,0),IFERROR(Table10s4!V37*265,0)))</f>
        <v>1069.5072182802071</v>
      </c>
      <c r="W38" s="4103">
        <f>IF(SUM(Table10s2!W37,IFERROR(Table10s3!W37*28,0),IFERROR(Table10s4!W37*265,0))=0,"NO",SUM(Table10s2!W37,IFERROR(Table10s3!W37*28,0),IFERROR(Table10s4!W37*265,0)))</f>
        <v>1065.5307007157301</v>
      </c>
      <c r="X38" s="4103">
        <f>IF(SUM(Table10s2!X37,IFERROR(Table10s3!X37*28,0),IFERROR(Table10s4!X37*265,0))=0,"NO",SUM(Table10s2!X37,IFERROR(Table10s3!X37*28,0),IFERROR(Table10s4!X37*265,0)))</f>
        <v>1159.4904844523769</v>
      </c>
      <c r="Y38" s="4103">
        <f>IF(SUM(Table10s2!Y37,IFERROR(Table10s3!Y37*28,0),IFERROR(Table10s4!Y37*265,0))=0,"NO",SUM(Table10s2!Y37,IFERROR(Table10s3!Y37*28,0),IFERROR(Table10s4!Y37*265,0)))</f>
        <v>1252.8287349164823</v>
      </c>
      <c r="Z38" s="4103">
        <f>IF(SUM(Table10s2!Z37,IFERROR(Table10s3!Z37*28,0),IFERROR(Table10s4!Z37*265,0))=0,"NO",SUM(Table10s2!Z37,IFERROR(Table10s3!Z37*28,0),IFERROR(Table10s4!Z37*265,0)))</f>
        <v>1088.302771159184</v>
      </c>
      <c r="AA38" s="4103">
        <f>IF(SUM(Table10s2!AA37,IFERROR(Table10s3!AA37*28,0),IFERROR(Table10s4!AA37*265,0))=0,"NO",SUM(Table10s2!AA37,IFERROR(Table10s3!AA37*28,0),IFERROR(Table10s4!AA37*265,0)))</f>
        <v>924.61635380044606</v>
      </c>
      <c r="AB38" s="4103">
        <f>IF(SUM(Table10s2!AB37,IFERROR(Table10s3!AB37*28,0),IFERROR(Table10s4!AB37*265,0))=0,"NO",SUM(Table10s2!AB37,IFERROR(Table10s3!AB37*28,0),IFERROR(Table10s4!AB37*265,0)))</f>
        <v>760.31554032500014</v>
      </c>
      <c r="AC38" s="4103">
        <f>IF(SUM(Table10s2!AC37,IFERROR(Table10s3!AC37*28,0),IFERROR(Table10s4!AC37*265,0))=0,"NO",SUM(Table10s2!AC37,IFERROR(Table10s3!AC37*28,0),IFERROR(Table10s4!AC37*265,0)))</f>
        <v>1138.7434395518412</v>
      </c>
      <c r="AD38" s="4103">
        <f>IF(SUM(Table10s2!AD37,IFERROR(Table10s3!AD37*28,0),IFERROR(Table10s4!AD37*265,0))=0,"NO",SUM(Table10s2!AD37,IFERROR(Table10s3!AD37*28,0),IFERROR(Table10s4!AD37*265,0)))</f>
        <v>1224.3892800541203</v>
      </c>
      <c r="AE38" s="4103">
        <f>IF(SUM(Table10s2!AE37,IFERROR(Table10s3!AE37*28,0),IFERROR(Table10s4!AE37*265,0))=0,"NO",SUM(Table10s2!AE37,IFERROR(Table10s3!AE37*28,0),IFERROR(Table10s4!AE37*265,0)))</f>
        <v>1153.3920301118246</v>
      </c>
      <c r="AF38" s="4103">
        <f>IF(SUM(Table10s2!AF37,IFERROR(Table10s3!AF37*28,0),IFERROR(Table10s4!AF37*265,0))=0,"NO",SUM(Table10s2!AF37,IFERROR(Table10s3!AF37*28,0),IFERROR(Table10s4!AF37*265,0)))</f>
        <v>1318.3866247265748</v>
      </c>
      <c r="AG38" s="4103">
        <f>IF(SUM(Table10s2!AG37,IFERROR(Table10s3!AG37*28,0),IFERROR(Table10s4!AG37*265,0))=0,"NO",SUM(Table10s2!AG37,IFERROR(Table10s3!AG37*28,0),IFERROR(Table10s4!AG37*265,0)))</f>
        <v>1318.3866247265748</v>
      </c>
      <c r="AH38" s="4103">
        <f>IF(SUM(Table10s2!AH37,IFERROR(Table10s3!AH37*28,0),IFERROR(Table10s4!AH37*265,0))=0,"NO",SUM(Table10s2!AH37,IFERROR(Table10s3!AH37*28,0),IFERROR(Table10s4!AH37*265,0)))</f>
        <v>1318.3866247265748</v>
      </c>
      <c r="AI38" s="4103">
        <f>IF(SUM(Table10s2!AI37,IFERROR(Table10s3!AI37*28,0),IFERROR(Table10s4!AI37*265,0))=0,"NO",SUM(Table10s2!AI37,IFERROR(Table10s3!AI37*28,0),IFERROR(Table10s4!AI37*265,0)))</f>
        <v>1318.3866247265748</v>
      </c>
      <c r="AJ38" s="4103">
        <f>IF(SUM(Table10s2!AJ37,IFERROR(Table10s3!AJ37*28,0),IFERROR(Table10s4!AJ37*265,0))=0,"NO",SUM(Table10s2!AJ37,IFERROR(Table10s3!AJ37*28,0),IFERROR(Table10s4!AJ37*265,0)))</f>
        <v>1318.3866247265748</v>
      </c>
      <c r="AK38" s="4103">
        <f>IF(SUM(Table10s2!AK37,IFERROR(Table10s3!AK37*28,0),IFERROR(Table10s4!AK37*265,0))=0,"NO",SUM(Table10s2!AK37,IFERROR(Table10s3!AK37*28,0),IFERROR(Table10s4!AK37*265,0)))</f>
        <v>1318.3866247265748</v>
      </c>
      <c r="AL38" s="4080">
        <f t="shared" si="2"/>
        <v>512.2162947768087</v>
      </c>
    </row>
    <row r="39" spans="2:38" ht="18" customHeight="1" x14ac:dyDescent="0.2">
      <c r="B39" s="1132" t="s">
        <v>956</v>
      </c>
      <c r="C39" s="2254"/>
      <c r="D39" s="2254"/>
      <c r="E39" s="4102">
        <f>IF(SUM(Table10s2!E38,IFERROR(Table10s3!E38*28,0),IFERROR(Table10s4!E38*265,0))=0,"NO",SUM(Table10s2!E38,IFERROR(Table10s3!E38*28,0),IFERROR(Table10s4!E38*265,0)))</f>
        <v>366.66666666666663</v>
      </c>
      <c r="F39" s="4102">
        <f>IF(SUM(Table10s2!F38,IFERROR(Table10s3!F38*28,0),IFERROR(Table10s4!F38*265,0))=0,"NO",SUM(Table10s2!F38,IFERROR(Table10s3!F38*28,0),IFERROR(Table10s4!F38*265,0)))</f>
        <v>374.63768115942037</v>
      </c>
      <c r="G39" s="4103">
        <f>IF(SUM(Table10s2!G38,IFERROR(Table10s3!G38*28,0),IFERROR(Table10s4!G38*265,0))=0,"NO",SUM(Table10s2!G38,IFERROR(Table10s3!G38*28,0),IFERROR(Table10s4!G38*265,0)))</f>
        <v>373.04347826086962</v>
      </c>
      <c r="H39" s="4103">
        <f>IF(SUM(Table10s2!H38,IFERROR(Table10s3!H38*28,0),IFERROR(Table10s4!H38*265,0))=0,"NO",SUM(Table10s2!H38,IFERROR(Table10s3!H38*28,0),IFERROR(Table10s4!H38*265,0)))</f>
        <v>384.20289855072468</v>
      </c>
      <c r="I39" s="4103">
        <f>IF(SUM(Table10s2!I38,IFERROR(Table10s3!I38*28,0),IFERROR(Table10s4!I38*265,0))=0,"NO",SUM(Table10s2!I38,IFERROR(Table10s3!I38*28,0),IFERROR(Table10s4!I38*265,0)))</f>
        <v>381.01449275362324</v>
      </c>
      <c r="J39" s="4103">
        <f>IF(SUM(Table10s2!J38,IFERROR(Table10s3!J38*28,0),IFERROR(Table10s4!J38*265,0))=0,"NO",SUM(Table10s2!J38,IFERROR(Table10s3!J38*28,0),IFERROR(Table10s4!J38*265,0)))</f>
        <v>479.85507246376812</v>
      </c>
      <c r="K39" s="4103">
        <f>IF(SUM(Table10s2!K38,IFERROR(Table10s3!K38*28,0),IFERROR(Table10s4!K38*265,0))=0,"NO",SUM(Table10s2!K38,IFERROR(Table10s3!K38*28,0),IFERROR(Table10s4!K38*265,0)))</f>
        <v>559.56521739130449</v>
      </c>
      <c r="L39" s="4103">
        <f>IF(SUM(Table10s2!L38,IFERROR(Table10s3!L38*28,0),IFERROR(Table10s4!L38*265,0))=0,"NO",SUM(Table10s2!L38,IFERROR(Table10s3!L38*28,0),IFERROR(Table10s4!L38*265,0)))</f>
        <v>667.97101449275374</v>
      </c>
      <c r="M39" s="4103">
        <f>IF(SUM(Table10s2!M38,IFERROR(Table10s3!M38*28,0),IFERROR(Table10s4!M38*265,0))=0,"NO",SUM(Table10s2!M38,IFERROR(Table10s3!M38*28,0),IFERROR(Table10s4!M38*265,0)))</f>
        <v>742.89855072463774</v>
      </c>
      <c r="N39" s="4103">
        <f>IF(SUM(Table10s2!N38,IFERROR(Table10s3!N38*28,0),IFERROR(Table10s4!N38*265,0))=0,"NO",SUM(Table10s2!N38,IFERROR(Table10s3!N38*28,0),IFERROR(Table10s4!N38*265,0)))</f>
        <v>792.31884057971024</v>
      </c>
      <c r="O39" s="4103">
        <f>IF(SUM(Table10s2!O38,IFERROR(Table10s3!O38*28,0),IFERROR(Table10s4!O38*265,0))=0,"NO",SUM(Table10s2!O38,IFERROR(Table10s3!O38*28,0),IFERROR(Table10s4!O38*265,0)))</f>
        <v>962.89855072463774</v>
      </c>
      <c r="P39" s="4103">
        <f>IF(SUM(Table10s2!P38,IFERROR(Table10s3!P38*28,0),IFERROR(Table10s4!P38*265,0))=0,"NO",SUM(Table10s2!P38,IFERROR(Table10s3!P38*28,0),IFERROR(Table10s4!P38*265,0)))</f>
        <v>1056.9565217391305</v>
      </c>
      <c r="Q39" s="4103">
        <f>IF(SUM(Table10s2!Q38,IFERROR(Table10s3!Q38*28,0),IFERROR(Table10s4!Q38*265,0))=0,"NO",SUM(Table10s2!Q38,IFERROR(Table10s3!Q38*28,0),IFERROR(Table10s4!Q38*265,0)))</f>
        <v>909.124966614811</v>
      </c>
      <c r="R39" s="4103">
        <f>IF(SUM(Table10s2!R38,IFERROR(Table10s3!R38*28,0),IFERROR(Table10s4!R38*265,0))=0,"NO",SUM(Table10s2!R38,IFERROR(Table10s3!R38*28,0),IFERROR(Table10s4!R38*265,0)))</f>
        <v>875.72997600000019</v>
      </c>
      <c r="S39" s="4103">
        <f>IF(SUM(Table10s2!S38,IFERROR(Table10s3!S38*28,0),IFERROR(Table10s4!S38*265,0))=0,"NO",SUM(Table10s2!S38,IFERROR(Table10s3!S38*28,0),IFERROR(Table10s4!S38*265,0)))</f>
        <v>955.55675560913323</v>
      </c>
      <c r="T39" s="4103">
        <f>IF(SUM(Table10s2!T38,IFERROR(Table10s3!T38*28,0),IFERROR(Table10s4!T38*265,0))=0,"NO",SUM(Table10s2!T38,IFERROR(Table10s3!T38*28,0),IFERROR(Table10s4!T38*265,0)))</f>
        <v>887.27441083555368</v>
      </c>
      <c r="U39" s="4103">
        <f>IF(SUM(Table10s2!U38,IFERROR(Table10s3!U38*28,0),IFERROR(Table10s4!U38*265,0))=0,"NO",SUM(Table10s2!U38,IFERROR(Table10s3!U38*28,0),IFERROR(Table10s4!U38*265,0)))</f>
        <v>756.84856323012491</v>
      </c>
      <c r="V39" s="4103">
        <f>IF(SUM(Table10s2!V38,IFERROR(Table10s3!V38*28,0),IFERROR(Table10s4!V38*265,0))=0,"NO",SUM(Table10s2!V38,IFERROR(Table10s3!V38*28,0),IFERROR(Table10s4!V38*265,0)))</f>
        <v>746.28003635533344</v>
      </c>
      <c r="W39" s="4103">
        <f>IF(SUM(Table10s2!W38,IFERROR(Table10s3!W38*28,0),IFERROR(Table10s4!W38*265,0))=0,"NO",SUM(Table10s2!W38,IFERROR(Table10s3!W38*28,0),IFERROR(Table10s4!W38*265,0)))</f>
        <v>764.85177220220487</v>
      </c>
      <c r="X39" s="4103">
        <f>IF(SUM(Table10s2!X38,IFERROR(Table10s3!X38*28,0),IFERROR(Table10s4!X38*265,0))=0,"NO",SUM(Table10s2!X38,IFERROR(Table10s3!X38*28,0),IFERROR(Table10s4!X38*265,0)))</f>
        <v>783.69324812931677</v>
      </c>
      <c r="Y39" s="4103">
        <f>IF(SUM(Table10s2!Y38,IFERROR(Table10s3!Y38*28,0),IFERROR(Table10s4!Y38*265,0))=0,"NO",SUM(Table10s2!Y38,IFERROR(Table10s3!Y38*28,0),IFERROR(Table10s4!Y38*265,0)))</f>
        <v>936.31003846418662</v>
      </c>
      <c r="Z39" s="4103">
        <f>IF(SUM(Table10s2!Z38,IFERROR(Table10s3!Z38*28,0),IFERROR(Table10s4!Z38*265,0))=0,"NO",SUM(Table10s2!Z38,IFERROR(Table10s3!Z38*28,0),IFERROR(Table10s4!Z38*265,0)))</f>
        <v>1112.2479933256814</v>
      </c>
      <c r="AA39" s="4103">
        <f>IF(SUM(Table10s2!AA38,IFERROR(Table10s3!AA38*28,0),IFERROR(Table10s4!AA38*265,0))=0,"NO",SUM(Table10s2!AA38,IFERROR(Table10s3!AA38*28,0),IFERROR(Table10s4!AA38*265,0)))</f>
        <v>1120.457373631976</v>
      </c>
      <c r="AB39" s="4103">
        <f>IF(SUM(Table10s2!AB38,IFERROR(Table10s3!AB38*28,0),IFERROR(Table10s4!AB38*265,0))=0,"NO",SUM(Table10s2!AB38,IFERROR(Table10s3!AB38*28,0),IFERROR(Table10s4!AB38*265,0)))</f>
        <v>1277.7968497515212</v>
      </c>
      <c r="AC39" s="4103">
        <f>IF(SUM(Table10s2!AC38,IFERROR(Table10s3!AC38*28,0),IFERROR(Table10s4!AC38*265,0))=0,"NO",SUM(Table10s2!AC38,IFERROR(Table10s3!AC38*28,0),IFERROR(Table10s4!AC38*265,0)))</f>
        <v>1352.1662859830203</v>
      </c>
      <c r="AD39" s="4103">
        <f>IF(SUM(Table10s2!AD38,IFERROR(Table10s3!AD38*28,0),IFERROR(Table10s4!AD38*265,0))=0,"NO",SUM(Table10s2!AD38,IFERROR(Table10s3!AD38*28,0),IFERROR(Table10s4!AD38*265,0)))</f>
        <v>1308.5803684117998</v>
      </c>
      <c r="AE39" s="4103">
        <f>IF(SUM(Table10s2!AE38,IFERROR(Table10s3!AE38*28,0),IFERROR(Table10s4!AE38*265,0))=0,"NO",SUM(Table10s2!AE38,IFERROR(Table10s3!AE38*28,0),IFERROR(Table10s4!AE38*265,0)))</f>
        <v>1509.858276147467</v>
      </c>
      <c r="AF39" s="4103">
        <f>IF(SUM(Table10s2!AF38,IFERROR(Table10s3!AF38*28,0),IFERROR(Table10s4!AF38*265,0))=0,"NO",SUM(Table10s2!AF38,IFERROR(Table10s3!AF38*28,0),IFERROR(Table10s4!AF38*265,0)))</f>
        <v>1543.3531240086666</v>
      </c>
      <c r="AG39" s="4103">
        <f>IF(SUM(Table10s2!AG38,IFERROR(Table10s3!AG38*28,0),IFERROR(Table10s4!AG38*265,0))=0,"NO",SUM(Table10s2!AG38,IFERROR(Table10s3!AG38*28,0),IFERROR(Table10s4!AG38*265,0)))</f>
        <v>1356.3276249629334</v>
      </c>
      <c r="AH39" s="4103">
        <f>IF(SUM(Table10s2!AH38,IFERROR(Table10s3!AH38*28,0),IFERROR(Table10s4!AH38*265,0))=0,"NO",SUM(Table10s2!AH38,IFERROR(Table10s3!AH38*28,0),IFERROR(Table10s4!AH38*265,0)))</f>
        <v>1346.9978732532668</v>
      </c>
      <c r="AI39" s="4103">
        <f>IF(SUM(Table10s2!AI38,IFERROR(Table10s3!AI38*28,0),IFERROR(Table10s4!AI38*265,0))=0,"NO",SUM(Table10s2!AI38,IFERROR(Table10s3!AI38*28,0),IFERROR(Table10s4!AI38*265,0)))</f>
        <v>1478.1585285008669</v>
      </c>
      <c r="AJ39" s="4103">
        <f>IF(SUM(Table10s2!AJ38,IFERROR(Table10s3!AJ38*28,0),IFERROR(Table10s4!AJ38*265,0))=0,"NO",SUM(Table10s2!AJ38,IFERROR(Table10s3!AJ38*28,0),IFERROR(Table10s4!AJ38*265,0)))</f>
        <v>1765.0036044615335</v>
      </c>
      <c r="AK39" s="4103">
        <f>IF(SUM(Table10s2!AK38,IFERROR(Table10s3!AK38*28,0),IFERROR(Table10s4!AK38*265,0))=0,"NO",SUM(Table10s2!AK38,IFERROR(Table10s3!AK38*28,0),IFERROR(Table10s4!AK38*265,0)))</f>
        <v>1884.0302658056</v>
      </c>
      <c r="AL39" s="4080">
        <f t="shared" si="2"/>
        <v>413.82643612880008</v>
      </c>
    </row>
    <row r="40" spans="2:38" ht="18" customHeight="1" x14ac:dyDescent="0.2">
      <c r="B40" s="1132" t="s">
        <v>1944</v>
      </c>
      <c r="C40" s="2254"/>
      <c r="D40" s="2254"/>
      <c r="E40" s="4102" t="str">
        <f>IF(SUM(Table10s2!E39,IFERROR(Table10s3!E39*28,0),IFERROR(Table10s4!E39*265,0))=0,"NO",SUM(Table10s2!E39,IFERROR(Table10s3!E39*28,0),IFERROR(Table10s4!E39*265,0)))</f>
        <v>NO</v>
      </c>
      <c r="F40" s="4102" t="str">
        <f>IF(SUM(Table10s2!F39,IFERROR(Table10s3!F39*28,0),IFERROR(Table10s4!F39*265,0))=0,"NO",SUM(Table10s2!F39,IFERROR(Table10s3!F39*28,0),IFERROR(Table10s4!F39*265,0)))</f>
        <v>NO</v>
      </c>
      <c r="G40" s="4103" t="str">
        <f>IF(SUM(Table10s2!G39,IFERROR(Table10s3!G39*28,0),IFERROR(Table10s4!G39*265,0))=0,"NO",SUM(Table10s2!G39,IFERROR(Table10s3!G39*28,0),IFERROR(Table10s4!G39*265,0)))</f>
        <v>NO</v>
      </c>
      <c r="H40" s="4103" t="str">
        <f>IF(SUM(Table10s2!H39,IFERROR(Table10s3!H39*28,0),IFERROR(Table10s4!H39*265,0))=0,"NO",SUM(Table10s2!H39,IFERROR(Table10s3!H39*28,0),IFERROR(Table10s4!H39*265,0)))</f>
        <v>NO</v>
      </c>
      <c r="I40" s="4103" t="str">
        <f>IF(SUM(Table10s2!I39,IFERROR(Table10s3!I39*28,0),IFERROR(Table10s4!I39*265,0))=0,"NO",SUM(Table10s2!I39,IFERROR(Table10s3!I39*28,0),IFERROR(Table10s4!I39*265,0)))</f>
        <v>NO</v>
      </c>
      <c r="J40" s="4103" t="str">
        <f>IF(SUM(Table10s2!J39,IFERROR(Table10s3!J39*28,0),IFERROR(Table10s4!J39*265,0))=0,"NO",SUM(Table10s2!J39,IFERROR(Table10s3!J39*28,0),IFERROR(Table10s4!J39*265,0)))</f>
        <v>NO</v>
      </c>
      <c r="K40" s="4103" t="str">
        <f>IF(SUM(Table10s2!K39,IFERROR(Table10s3!K39*28,0),IFERROR(Table10s4!K39*265,0))=0,"NO",SUM(Table10s2!K39,IFERROR(Table10s3!K39*28,0),IFERROR(Table10s4!K39*265,0)))</f>
        <v>NO</v>
      </c>
      <c r="L40" s="4103" t="str">
        <f>IF(SUM(Table10s2!L39,IFERROR(Table10s3!L39*28,0),IFERROR(Table10s4!L39*265,0))=0,"NO",SUM(Table10s2!L39,IFERROR(Table10s3!L39*28,0),IFERROR(Table10s4!L39*265,0)))</f>
        <v>NO</v>
      </c>
      <c r="M40" s="4103" t="str">
        <f>IF(SUM(Table10s2!M39,IFERROR(Table10s3!M39*28,0),IFERROR(Table10s4!M39*265,0))=0,"NO",SUM(Table10s2!M39,IFERROR(Table10s3!M39*28,0),IFERROR(Table10s4!M39*265,0)))</f>
        <v>NO</v>
      </c>
      <c r="N40" s="4103" t="str">
        <f>IF(SUM(Table10s2!N39,IFERROR(Table10s3!N39*28,0),IFERROR(Table10s4!N39*265,0))=0,"NO",SUM(Table10s2!N39,IFERROR(Table10s3!N39*28,0),IFERROR(Table10s4!N39*265,0)))</f>
        <v>NO</v>
      </c>
      <c r="O40" s="4103" t="str">
        <f>IF(SUM(Table10s2!O39,IFERROR(Table10s3!O39*28,0),IFERROR(Table10s4!O39*265,0))=0,"NO",SUM(Table10s2!O39,IFERROR(Table10s3!O39*28,0),IFERROR(Table10s4!O39*265,0)))</f>
        <v>NO</v>
      </c>
      <c r="P40" s="4103" t="str">
        <f>IF(SUM(Table10s2!P39,IFERROR(Table10s3!P39*28,0),IFERROR(Table10s4!P39*265,0))=0,"NO",SUM(Table10s2!P39,IFERROR(Table10s3!P39*28,0),IFERROR(Table10s4!P39*265,0)))</f>
        <v>NO</v>
      </c>
      <c r="Q40" s="4103" t="str">
        <f>IF(SUM(Table10s2!Q39,IFERROR(Table10s3!Q39*28,0),IFERROR(Table10s4!Q39*265,0))=0,"NO",SUM(Table10s2!Q39,IFERROR(Table10s3!Q39*28,0),IFERROR(Table10s4!Q39*265,0)))</f>
        <v>NO</v>
      </c>
      <c r="R40" s="4103" t="str">
        <f>IF(SUM(Table10s2!R39,IFERROR(Table10s3!R39*28,0),IFERROR(Table10s4!R39*265,0))=0,"NO",SUM(Table10s2!R39,IFERROR(Table10s3!R39*28,0),IFERROR(Table10s4!R39*265,0)))</f>
        <v>NO</v>
      </c>
      <c r="S40" s="4103" t="str">
        <f>IF(SUM(Table10s2!S39,IFERROR(Table10s3!S39*28,0),IFERROR(Table10s4!S39*265,0))=0,"NO",SUM(Table10s2!S39,IFERROR(Table10s3!S39*28,0),IFERROR(Table10s4!S39*265,0)))</f>
        <v>NO</v>
      </c>
      <c r="T40" s="4103" t="str">
        <f>IF(SUM(Table10s2!T39,IFERROR(Table10s3!T39*28,0),IFERROR(Table10s4!T39*265,0))=0,"NO",SUM(Table10s2!T39,IFERROR(Table10s3!T39*28,0),IFERROR(Table10s4!T39*265,0)))</f>
        <v>NO</v>
      </c>
      <c r="U40" s="4103" t="str">
        <f>IF(SUM(Table10s2!U39,IFERROR(Table10s3!U39*28,0),IFERROR(Table10s4!U39*265,0))=0,"NO",SUM(Table10s2!U39,IFERROR(Table10s3!U39*28,0),IFERROR(Table10s4!U39*265,0)))</f>
        <v>NO</v>
      </c>
      <c r="V40" s="4103" t="str">
        <f>IF(SUM(Table10s2!V39,IFERROR(Table10s3!V39*28,0),IFERROR(Table10s4!V39*265,0))=0,"NO",SUM(Table10s2!V39,IFERROR(Table10s3!V39*28,0),IFERROR(Table10s4!V39*265,0)))</f>
        <v>NO</v>
      </c>
      <c r="W40" s="4103" t="str">
        <f>IF(SUM(Table10s2!W39,IFERROR(Table10s3!W39*28,0),IFERROR(Table10s4!W39*265,0))=0,"NO",SUM(Table10s2!W39,IFERROR(Table10s3!W39*28,0),IFERROR(Table10s4!W39*265,0)))</f>
        <v>NO</v>
      </c>
      <c r="X40" s="4103" t="str">
        <f>IF(SUM(Table10s2!X39,IFERROR(Table10s3!X39*28,0),IFERROR(Table10s4!X39*265,0))=0,"NO",SUM(Table10s2!X39,IFERROR(Table10s3!X39*28,0),IFERROR(Table10s4!X39*265,0)))</f>
        <v>NO</v>
      </c>
      <c r="Y40" s="4103" t="str">
        <f>IF(SUM(Table10s2!Y39,IFERROR(Table10s3!Y39*28,0),IFERROR(Table10s4!Y39*265,0))=0,"NO",SUM(Table10s2!Y39,IFERROR(Table10s3!Y39*28,0),IFERROR(Table10s4!Y39*265,0)))</f>
        <v>NO</v>
      </c>
      <c r="Z40" s="4103" t="str">
        <f>IF(SUM(Table10s2!Z39,IFERROR(Table10s3!Z39*28,0),IFERROR(Table10s4!Z39*265,0))=0,"NO",SUM(Table10s2!Z39,IFERROR(Table10s3!Z39*28,0),IFERROR(Table10s4!Z39*265,0)))</f>
        <v>NO</v>
      </c>
      <c r="AA40" s="4103" t="str">
        <f>IF(SUM(Table10s2!AA39,IFERROR(Table10s3!AA39*28,0),IFERROR(Table10s4!AA39*265,0))=0,"NO",SUM(Table10s2!AA39,IFERROR(Table10s3!AA39*28,0),IFERROR(Table10s4!AA39*265,0)))</f>
        <v>NO</v>
      </c>
      <c r="AB40" s="4103" t="str">
        <f>IF(SUM(Table10s2!AB39,IFERROR(Table10s3!AB39*28,0),IFERROR(Table10s4!AB39*265,0))=0,"NO",SUM(Table10s2!AB39,IFERROR(Table10s3!AB39*28,0),IFERROR(Table10s4!AB39*265,0)))</f>
        <v>NO</v>
      </c>
      <c r="AC40" s="4103" t="str">
        <f>IF(SUM(Table10s2!AC39,IFERROR(Table10s3!AC39*28,0),IFERROR(Table10s4!AC39*265,0))=0,"NO",SUM(Table10s2!AC39,IFERROR(Table10s3!AC39*28,0),IFERROR(Table10s4!AC39*265,0)))</f>
        <v>NO</v>
      </c>
      <c r="AD40" s="4103" t="str">
        <f>IF(SUM(Table10s2!AD39,IFERROR(Table10s3!AD39*28,0),IFERROR(Table10s4!AD39*265,0))=0,"NO",SUM(Table10s2!AD39,IFERROR(Table10s3!AD39*28,0),IFERROR(Table10s4!AD39*265,0)))</f>
        <v>NO</v>
      </c>
      <c r="AE40" s="4103" t="str">
        <f>IF(SUM(Table10s2!AE39,IFERROR(Table10s3!AE39*28,0),IFERROR(Table10s4!AE39*265,0))=0,"NO",SUM(Table10s2!AE39,IFERROR(Table10s3!AE39*28,0),IFERROR(Table10s4!AE39*265,0)))</f>
        <v>NO</v>
      </c>
      <c r="AF40" s="4103" t="str">
        <f>IF(SUM(Table10s2!AF39,IFERROR(Table10s3!AF39*28,0),IFERROR(Table10s4!AF39*265,0))=0,"NO",SUM(Table10s2!AF39,IFERROR(Table10s3!AF39*28,0),IFERROR(Table10s4!AF39*265,0)))</f>
        <v>NO</v>
      </c>
      <c r="AG40" s="4103" t="str">
        <f>IF(SUM(Table10s2!AG39,IFERROR(Table10s3!AG39*28,0),IFERROR(Table10s4!AG39*265,0))=0,"NO",SUM(Table10s2!AG39,IFERROR(Table10s3!AG39*28,0),IFERROR(Table10s4!AG39*265,0)))</f>
        <v>NO</v>
      </c>
      <c r="AH40" s="4103" t="str">
        <f>IF(SUM(Table10s2!AH39,IFERROR(Table10s3!AH39*28,0),IFERROR(Table10s4!AH39*265,0))=0,"NO",SUM(Table10s2!AH39,IFERROR(Table10s3!AH39*28,0),IFERROR(Table10s4!AH39*265,0)))</f>
        <v>NO</v>
      </c>
      <c r="AI40" s="4103" t="str">
        <f>IF(SUM(Table10s2!AI39,IFERROR(Table10s3!AI39*28,0),IFERROR(Table10s4!AI39*265,0))=0,"NO",SUM(Table10s2!AI39,IFERROR(Table10s3!AI39*28,0),IFERROR(Table10s4!AI39*265,0)))</f>
        <v>NO</v>
      </c>
      <c r="AJ40" s="4103" t="str">
        <f>IF(SUM(Table10s2!AJ39,IFERROR(Table10s3!AJ39*28,0),IFERROR(Table10s4!AJ39*265,0))=0,"NO",SUM(Table10s2!AJ39,IFERROR(Table10s3!AJ39*28,0),IFERROR(Table10s4!AJ39*265,0)))</f>
        <v>NO</v>
      </c>
      <c r="AK40" s="4103" t="str">
        <f>IF(SUM(Table10s2!AK39,IFERROR(Table10s3!AK39*28,0),IFERROR(Table10s4!AK39*265,0))=0,"NO",SUM(Table10s2!AK39,IFERROR(Table10s3!AK39*28,0),IFERROR(Table10s4!AK39*265,0)))</f>
        <v>NO</v>
      </c>
      <c r="AL40" s="4080" t="str">
        <f t="shared" si="2"/>
        <v>NA</v>
      </c>
    </row>
    <row r="41" spans="2:38" ht="18" customHeight="1" thickBot="1" x14ac:dyDescent="0.25">
      <c r="B41" s="1375" t="s">
        <v>1945</v>
      </c>
      <c r="C41" s="2254"/>
      <c r="D41" s="2254"/>
      <c r="E41" s="4102" t="str">
        <f>IF(SUM(Table10s2!E40,IFERROR(Table10s3!E40*28,0),IFERROR(Table10s4!E40*265,0))=0,"NO",SUM(Table10s2!E40,IFERROR(Table10s3!E40*28,0),IFERROR(Table10s4!E40*265,0)))</f>
        <v>NO</v>
      </c>
      <c r="F41" s="4102" t="str">
        <f>IF(SUM(Table10s2!F40,IFERROR(Table10s3!F40*28,0),IFERROR(Table10s4!F40*265,0))=0,"NO",SUM(Table10s2!F40,IFERROR(Table10s3!F40*28,0),IFERROR(Table10s4!F40*265,0)))</f>
        <v>NO</v>
      </c>
      <c r="G41" s="4103" t="str">
        <f>IF(SUM(Table10s2!G40,IFERROR(Table10s3!G40*28,0),IFERROR(Table10s4!G40*265,0))=0,"NO",SUM(Table10s2!G40,IFERROR(Table10s3!G40*28,0),IFERROR(Table10s4!G40*265,0)))</f>
        <v>NO</v>
      </c>
      <c r="H41" s="4103" t="str">
        <f>IF(SUM(Table10s2!H40,IFERROR(Table10s3!H40*28,0),IFERROR(Table10s4!H40*265,0))=0,"NO",SUM(Table10s2!H40,IFERROR(Table10s3!H40*28,0),IFERROR(Table10s4!H40*265,0)))</f>
        <v>NO</v>
      </c>
      <c r="I41" s="4103" t="str">
        <f>IF(SUM(Table10s2!I40,IFERROR(Table10s3!I40*28,0),IFERROR(Table10s4!I40*265,0))=0,"NO",SUM(Table10s2!I40,IFERROR(Table10s3!I40*28,0),IFERROR(Table10s4!I40*265,0)))</f>
        <v>NO</v>
      </c>
      <c r="J41" s="4103" t="str">
        <f>IF(SUM(Table10s2!J40,IFERROR(Table10s3!J40*28,0),IFERROR(Table10s4!J40*265,0))=0,"NO",SUM(Table10s2!J40,IFERROR(Table10s3!J40*28,0),IFERROR(Table10s4!J40*265,0)))</f>
        <v>NO</v>
      </c>
      <c r="K41" s="4103" t="str">
        <f>IF(SUM(Table10s2!K40,IFERROR(Table10s3!K40*28,0),IFERROR(Table10s4!K40*265,0))=0,"NO",SUM(Table10s2!K40,IFERROR(Table10s3!K40*28,0),IFERROR(Table10s4!K40*265,0)))</f>
        <v>NO</v>
      </c>
      <c r="L41" s="4103" t="str">
        <f>IF(SUM(Table10s2!L40,IFERROR(Table10s3!L40*28,0),IFERROR(Table10s4!L40*265,0))=0,"NO",SUM(Table10s2!L40,IFERROR(Table10s3!L40*28,0),IFERROR(Table10s4!L40*265,0)))</f>
        <v>NO</v>
      </c>
      <c r="M41" s="4103" t="str">
        <f>IF(SUM(Table10s2!M40,IFERROR(Table10s3!M40*28,0),IFERROR(Table10s4!M40*265,0))=0,"NO",SUM(Table10s2!M40,IFERROR(Table10s3!M40*28,0),IFERROR(Table10s4!M40*265,0)))</f>
        <v>NO</v>
      </c>
      <c r="N41" s="4103" t="str">
        <f>IF(SUM(Table10s2!N40,IFERROR(Table10s3!N40*28,0),IFERROR(Table10s4!N40*265,0))=0,"NO",SUM(Table10s2!N40,IFERROR(Table10s3!N40*28,0),IFERROR(Table10s4!N40*265,0)))</f>
        <v>NO</v>
      </c>
      <c r="O41" s="4103" t="str">
        <f>IF(SUM(Table10s2!O40,IFERROR(Table10s3!O40*28,0),IFERROR(Table10s4!O40*265,0))=0,"NO",SUM(Table10s2!O40,IFERROR(Table10s3!O40*28,0),IFERROR(Table10s4!O40*265,0)))</f>
        <v>NO</v>
      </c>
      <c r="P41" s="4103" t="str">
        <f>IF(SUM(Table10s2!P40,IFERROR(Table10s3!P40*28,0),IFERROR(Table10s4!P40*265,0))=0,"NO",SUM(Table10s2!P40,IFERROR(Table10s3!P40*28,0),IFERROR(Table10s4!P40*265,0)))</f>
        <v>NO</v>
      </c>
      <c r="Q41" s="4103" t="str">
        <f>IF(SUM(Table10s2!Q40,IFERROR(Table10s3!Q40*28,0),IFERROR(Table10s4!Q40*265,0))=0,"NO",SUM(Table10s2!Q40,IFERROR(Table10s3!Q40*28,0),IFERROR(Table10s4!Q40*265,0)))</f>
        <v>NO</v>
      </c>
      <c r="R41" s="4103" t="str">
        <f>IF(SUM(Table10s2!R40,IFERROR(Table10s3!R40*28,0),IFERROR(Table10s4!R40*265,0))=0,"NO",SUM(Table10s2!R40,IFERROR(Table10s3!R40*28,0),IFERROR(Table10s4!R40*265,0)))</f>
        <v>NO</v>
      </c>
      <c r="S41" s="4103" t="str">
        <f>IF(SUM(Table10s2!S40,IFERROR(Table10s3!S40*28,0),IFERROR(Table10s4!S40*265,0))=0,"NO",SUM(Table10s2!S40,IFERROR(Table10s3!S40*28,0),IFERROR(Table10s4!S40*265,0)))</f>
        <v>NO</v>
      </c>
      <c r="T41" s="4103" t="str">
        <f>IF(SUM(Table10s2!T40,IFERROR(Table10s3!T40*28,0),IFERROR(Table10s4!T40*265,0))=0,"NO",SUM(Table10s2!T40,IFERROR(Table10s3!T40*28,0),IFERROR(Table10s4!T40*265,0)))</f>
        <v>NO</v>
      </c>
      <c r="U41" s="4103" t="str">
        <f>IF(SUM(Table10s2!U40,IFERROR(Table10s3!U40*28,0),IFERROR(Table10s4!U40*265,0))=0,"NO",SUM(Table10s2!U40,IFERROR(Table10s3!U40*28,0),IFERROR(Table10s4!U40*265,0)))</f>
        <v>NO</v>
      </c>
      <c r="V41" s="4103" t="str">
        <f>IF(SUM(Table10s2!V40,IFERROR(Table10s3!V40*28,0),IFERROR(Table10s4!V40*265,0))=0,"NO",SUM(Table10s2!V40,IFERROR(Table10s3!V40*28,0),IFERROR(Table10s4!V40*265,0)))</f>
        <v>NO</v>
      </c>
      <c r="W41" s="4103" t="str">
        <f>IF(SUM(Table10s2!W40,IFERROR(Table10s3!W40*28,0),IFERROR(Table10s4!W40*265,0))=0,"NO",SUM(Table10s2!W40,IFERROR(Table10s3!W40*28,0),IFERROR(Table10s4!W40*265,0)))</f>
        <v>NO</v>
      </c>
      <c r="X41" s="4103" t="str">
        <f>IF(SUM(Table10s2!X40,IFERROR(Table10s3!X40*28,0),IFERROR(Table10s4!X40*265,0))=0,"NO",SUM(Table10s2!X40,IFERROR(Table10s3!X40*28,0),IFERROR(Table10s4!X40*265,0)))</f>
        <v>NO</v>
      </c>
      <c r="Y41" s="4103" t="str">
        <f>IF(SUM(Table10s2!Y40,IFERROR(Table10s3!Y40*28,0),IFERROR(Table10s4!Y40*265,0))=0,"NO",SUM(Table10s2!Y40,IFERROR(Table10s3!Y40*28,0),IFERROR(Table10s4!Y40*265,0)))</f>
        <v>NO</v>
      </c>
      <c r="Z41" s="4103" t="str">
        <f>IF(SUM(Table10s2!Z40,IFERROR(Table10s3!Z40*28,0),IFERROR(Table10s4!Z40*265,0))=0,"NO",SUM(Table10s2!Z40,IFERROR(Table10s3!Z40*28,0),IFERROR(Table10s4!Z40*265,0)))</f>
        <v>NO</v>
      </c>
      <c r="AA41" s="4103" t="str">
        <f>IF(SUM(Table10s2!AA40,IFERROR(Table10s3!AA40*28,0),IFERROR(Table10s4!AA40*265,0))=0,"NO",SUM(Table10s2!AA40,IFERROR(Table10s3!AA40*28,0),IFERROR(Table10s4!AA40*265,0)))</f>
        <v>NO</v>
      </c>
      <c r="AB41" s="4103" t="str">
        <f>IF(SUM(Table10s2!AB40,IFERROR(Table10s3!AB40*28,0),IFERROR(Table10s4!AB40*265,0))=0,"NO",SUM(Table10s2!AB40,IFERROR(Table10s3!AB40*28,0),IFERROR(Table10s4!AB40*265,0)))</f>
        <v>NO</v>
      </c>
      <c r="AC41" s="4103" t="str">
        <f>IF(SUM(Table10s2!AC40,IFERROR(Table10s3!AC40*28,0),IFERROR(Table10s4!AC40*265,0))=0,"NO",SUM(Table10s2!AC40,IFERROR(Table10s3!AC40*28,0),IFERROR(Table10s4!AC40*265,0)))</f>
        <v>NO</v>
      </c>
      <c r="AD41" s="4103" t="str">
        <f>IF(SUM(Table10s2!AD40,IFERROR(Table10s3!AD40*28,0),IFERROR(Table10s4!AD40*265,0))=0,"NO",SUM(Table10s2!AD40,IFERROR(Table10s3!AD40*28,0),IFERROR(Table10s4!AD40*265,0)))</f>
        <v>NO</v>
      </c>
      <c r="AE41" s="4103" t="str">
        <f>IF(SUM(Table10s2!AE40,IFERROR(Table10s3!AE40*28,0),IFERROR(Table10s4!AE40*265,0))=0,"NO",SUM(Table10s2!AE40,IFERROR(Table10s3!AE40*28,0),IFERROR(Table10s4!AE40*265,0)))</f>
        <v>NO</v>
      </c>
      <c r="AF41" s="4103" t="str">
        <f>IF(SUM(Table10s2!AF40,IFERROR(Table10s3!AF40*28,0),IFERROR(Table10s4!AF40*265,0))=0,"NO",SUM(Table10s2!AF40,IFERROR(Table10s3!AF40*28,0),IFERROR(Table10s4!AF40*265,0)))</f>
        <v>NO</v>
      </c>
      <c r="AG41" s="4103" t="str">
        <f>IF(SUM(Table10s2!AG40,IFERROR(Table10s3!AG40*28,0),IFERROR(Table10s4!AG40*265,0))=0,"NO",SUM(Table10s2!AG40,IFERROR(Table10s3!AG40*28,0),IFERROR(Table10s4!AG40*265,0)))</f>
        <v>NO</v>
      </c>
      <c r="AH41" s="4103" t="str">
        <f>IF(SUM(Table10s2!AH40,IFERROR(Table10s3!AH40*28,0),IFERROR(Table10s4!AH40*265,0))=0,"NO",SUM(Table10s2!AH40,IFERROR(Table10s3!AH40*28,0),IFERROR(Table10s4!AH40*265,0)))</f>
        <v>NO</v>
      </c>
      <c r="AI41" s="4103" t="str">
        <f>IF(SUM(Table10s2!AI40,IFERROR(Table10s3!AI40*28,0),IFERROR(Table10s4!AI40*265,0))=0,"NO",SUM(Table10s2!AI40,IFERROR(Table10s3!AI40*28,0),IFERROR(Table10s4!AI40*265,0)))</f>
        <v>NO</v>
      </c>
      <c r="AJ41" s="4103" t="str">
        <f>IF(SUM(Table10s2!AJ40,IFERROR(Table10s3!AJ40*28,0),IFERROR(Table10s4!AJ40*265,0))=0,"NO",SUM(Table10s2!AJ40,IFERROR(Table10s3!AJ40*28,0),IFERROR(Table10s4!AJ40*265,0)))</f>
        <v>NO</v>
      </c>
      <c r="AK41" s="4103" t="str">
        <f>IF(SUM(Table10s2!AK40,IFERROR(Table10s3!AK40*28,0),IFERROR(Table10s4!AK40*265,0))=0,"NO",SUM(Table10s2!AK40,IFERROR(Table10s3!AK40*28,0),IFERROR(Table10s4!AK40*265,0)))</f>
        <v>NO</v>
      </c>
      <c r="AL41" s="4086" t="str">
        <f t="shared" si="2"/>
        <v>NA</v>
      </c>
    </row>
    <row r="42" spans="2:38" ht="18" customHeight="1" x14ac:dyDescent="0.2">
      <c r="B42" s="774" t="s">
        <v>2381</v>
      </c>
      <c r="C42" s="2029"/>
      <c r="D42" s="2029"/>
      <c r="E42" s="4107">
        <f>IF(SUM(Table10s2!E41,IFERROR(Table10s3!E41*28,0),IFERROR(Table10s4!E41*265,0))=0,"NO",SUM(Table10s2!E41,IFERROR(Table10s3!E41*28,0),IFERROR(Table10s4!E41*265,0)))</f>
        <v>178267.23733913744</v>
      </c>
      <c r="F42" s="4107">
        <f>IF(SUM(Table10s2!F41,IFERROR(Table10s3!F41*28,0),IFERROR(Table10s4!F41*265,0))=0,"NO",SUM(Table10s2!F41,IFERROR(Table10s3!F41*28,0),IFERROR(Table10s4!F41*265,0)))</f>
        <v>157770.15908337274</v>
      </c>
      <c r="G42" s="4108">
        <f>IF(SUM(Table10s2!G41,IFERROR(Table10s3!G41*28,0),IFERROR(Table10s4!G41*265,0))=0,"NO",SUM(Table10s2!G41,IFERROR(Table10s3!G41*28,0),IFERROR(Table10s4!G41*265,0)))</f>
        <v>113479.06780806679</v>
      </c>
      <c r="H42" s="4108">
        <f>IF(SUM(Table10s2!H41,IFERROR(Table10s3!H41*28,0),IFERROR(Table10s4!H41*265,0))=0,"NO",SUM(Table10s2!H41,IFERROR(Table10s3!H41*28,0),IFERROR(Table10s4!H41*265,0)))</f>
        <v>92158.091919229963</v>
      </c>
      <c r="I42" s="4108">
        <f>IF(SUM(Table10s2!I41,IFERROR(Table10s3!I41*28,0),IFERROR(Table10s4!I41*265,0))=0,"NO",SUM(Table10s2!I41,IFERROR(Table10s3!I41*28,0),IFERROR(Table10s4!I41*265,0)))</f>
        <v>81785.945737792194</v>
      </c>
      <c r="J42" s="4108">
        <f>IF(SUM(Table10s2!J41,IFERROR(Table10s3!J41*28,0),IFERROR(Table10s4!J41*265,0))=0,"NO",SUM(Table10s2!J41,IFERROR(Table10s3!J41*28,0),IFERROR(Table10s4!J41*265,0)))</f>
        <v>60696.652258854847</v>
      </c>
      <c r="K42" s="4108">
        <f>IF(SUM(Table10s2!K41,IFERROR(Table10s3!K41*28,0),IFERROR(Table10s4!K41*265,0))=0,"NO",SUM(Table10s2!K41,IFERROR(Table10s3!K41*28,0),IFERROR(Table10s4!K41*265,0)))</f>
        <v>55732.067239983568</v>
      </c>
      <c r="L42" s="4108">
        <f>IF(SUM(Table10s2!L41,IFERROR(Table10s3!L41*28,0),IFERROR(Table10s4!L41*265,0))=0,"NO",SUM(Table10s2!L41,IFERROR(Table10s3!L41*28,0),IFERROR(Table10s4!L41*265,0)))</f>
        <v>41815.746560017898</v>
      </c>
      <c r="M42" s="4108">
        <f>IF(SUM(Table10s2!M41,IFERROR(Table10s3!M41*28,0),IFERROR(Table10s4!M41*265,0))=0,"NO",SUM(Table10s2!M41,IFERROR(Table10s3!M41*28,0),IFERROR(Table10s4!M41*265,0)))</f>
        <v>44974.910565597267</v>
      </c>
      <c r="N42" s="4108">
        <f>IF(SUM(Table10s2!N41,IFERROR(Table10s3!N41*28,0),IFERROR(Table10s4!N41*265,0))=0,"NO",SUM(Table10s2!N41,IFERROR(Table10s3!N41*28,0),IFERROR(Table10s4!N41*265,0)))</f>
        <v>59471.286420731878</v>
      </c>
      <c r="O42" s="4108">
        <f>IF(SUM(Table10s2!O41,IFERROR(Table10s3!O41*28,0),IFERROR(Table10s4!O41*265,0))=0,"NO",SUM(Table10s2!O41,IFERROR(Table10s3!O41*28,0),IFERROR(Table10s4!O41*265,0)))</f>
        <v>69373.672784290044</v>
      </c>
      <c r="P42" s="4108">
        <f>IF(SUM(Table10s2!P41,IFERROR(Table10s3!P41*28,0),IFERROR(Table10s4!P41*265,0))=0,"NO",SUM(Table10s2!P41,IFERROR(Table10s3!P41*28,0),IFERROR(Table10s4!P41*265,0)))</f>
        <v>78068.719155430561</v>
      </c>
      <c r="Q42" s="4108">
        <f>IF(SUM(Table10s2!Q41,IFERROR(Table10s3!Q41*28,0),IFERROR(Table10s4!Q41*265,0))=0,"NO",SUM(Table10s2!Q41,IFERROR(Table10s3!Q41*28,0),IFERROR(Table10s4!Q41*265,0)))</f>
        <v>78955.688614674495</v>
      </c>
      <c r="R42" s="4108">
        <f>IF(SUM(Table10s2!R41,IFERROR(Table10s3!R41*28,0),IFERROR(Table10s4!R41*265,0))=0,"NO",SUM(Table10s2!R41,IFERROR(Table10s3!R41*28,0),IFERROR(Table10s4!R41*265,0)))</f>
        <v>79273.171377050618</v>
      </c>
      <c r="S42" s="4108">
        <f>IF(SUM(Table10s2!S41,IFERROR(Table10s3!S41*28,0),IFERROR(Table10s4!S41*265,0))=0,"NO",SUM(Table10s2!S41,IFERROR(Table10s3!S41*28,0),IFERROR(Table10s4!S41*265,0)))</f>
        <v>46724.657009184069</v>
      </c>
      <c r="T42" s="4108">
        <f>IF(SUM(Table10s2!T41,IFERROR(Table10s3!T41*28,0),IFERROR(Table10s4!T41*265,0))=0,"NO",SUM(Table10s2!T41,IFERROR(Table10s3!T41*28,0),IFERROR(Table10s4!T41*265,0)))</f>
        <v>74969.005670647428</v>
      </c>
      <c r="U42" s="4108">
        <f>IF(SUM(Table10s2!U41,IFERROR(Table10s3!U41*28,0),IFERROR(Table10s4!U41*265,0))=0,"NO",SUM(Table10s2!U41,IFERROR(Table10s3!U41*28,0),IFERROR(Table10s4!U41*265,0)))</f>
        <v>106226.22927947663</v>
      </c>
      <c r="V42" s="4108">
        <f>IF(SUM(Table10s2!V41,IFERROR(Table10s3!V41*28,0),IFERROR(Table10s4!V41*265,0))=0,"NO",SUM(Table10s2!V41,IFERROR(Table10s3!V41*28,0),IFERROR(Table10s4!V41*265,0)))</f>
        <v>80204.71689399911</v>
      </c>
      <c r="W42" s="4108">
        <f>IF(SUM(Table10s2!W41,IFERROR(Table10s3!W41*28,0),IFERROR(Table10s4!W41*265,0))=0,"NO",SUM(Table10s2!W41,IFERROR(Table10s3!W41*28,0),IFERROR(Table10s4!W41*265,0)))</f>
        <v>65812.277627712843</v>
      </c>
      <c r="X42" s="4108">
        <f>IF(SUM(Table10s2!X41,IFERROR(Table10s3!X41*28,0),IFERROR(Table10s4!X41*265,0))=0,"NO",SUM(Table10s2!X41,IFERROR(Table10s3!X41*28,0),IFERROR(Table10s4!X41*265,0)))</f>
        <v>57238.99067620992</v>
      </c>
      <c r="Y42" s="4108">
        <f>IF(SUM(Table10s2!Y41,IFERROR(Table10s3!Y41*28,0),IFERROR(Table10s4!Y41*265,0))=0,"NO",SUM(Table10s2!Y41,IFERROR(Table10s3!Y41*28,0),IFERROR(Table10s4!Y41*265,0)))</f>
        <v>63293.312314496179</v>
      </c>
      <c r="Z42" s="4108">
        <f>IF(SUM(Table10s2!Z41,IFERROR(Table10s3!Z41*28,0),IFERROR(Table10s4!Z41*265,0))=0,"NO",SUM(Table10s2!Z41,IFERROR(Table10s3!Z41*28,0),IFERROR(Table10s4!Z41*265,0)))</f>
        <v>30058.896514589367</v>
      </c>
      <c r="AA42" s="4108">
        <f>IF(SUM(Table10s2!AA41,IFERROR(Table10s3!AA41*28,0),IFERROR(Table10s4!AA41*265,0))=0,"NO",SUM(Table10s2!AA41,IFERROR(Table10s3!AA41*28,0),IFERROR(Table10s4!AA41*265,0)))</f>
        <v>4056.5702254330154</v>
      </c>
      <c r="AB42" s="4108">
        <f>IF(SUM(Table10s2!AB41,IFERROR(Table10s3!AB41*28,0),IFERROR(Table10s4!AB41*265,0))=0,"NO",SUM(Table10s2!AB41,IFERROR(Table10s3!AB41*28,0),IFERROR(Table10s4!AB41*265,0)))</f>
        <v>14580.292697313627</v>
      </c>
      <c r="AC42" s="4108">
        <f>IF(SUM(Table10s2!AC41,IFERROR(Table10s3!AC41*28,0),IFERROR(Table10s4!AC41*265,0))=0,"NO",SUM(Table10s2!AC41,IFERROR(Table10s3!AC41*28,0),IFERROR(Table10s4!AC41*265,0)))</f>
        <v>4227.2237712719734</v>
      </c>
      <c r="AD42" s="4108">
        <f>IF(SUM(Table10s2!AD41,IFERROR(Table10s3!AD41*28,0),IFERROR(Table10s4!AD41*265,0))=0,"NO",SUM(Table10s2!AD41,IFERROR(Table10s3!AD41*28,0),IFERROR(Table10s4!AD41*265,0)))</f>
        <v>-9651.3299419214563</v>
      </c>
      <c r="AE42" s="4108">
        <f>IF(SUM(Table10s2!AE41,IFERROR(Table10s3!AE41*28,0),IFERROR(Table10s4!AE41*265,0))=0,"NO",SUM(Table10s2!AE41,IFERROR(Table10s3!AE41*28,0),IFERROR(Table10s4!AE41*265,0)))</f>
        <v>-60523.803229407014</v>
      </c>
      <c r="AF42" s="4108">
        <f>IF(SUM(Table10s2!AF41,IFERROR(Table10s3!AF41*28,0),IFERROR(Table10s4!AF41*265,0))=0,"NO",SUM(Table10s2!AF41,IFERROR(Table10s3!AF41*28,0),IFERROR(Table10s4!AF41*265,0)))</f>
        <v>-29389.160456018049</v>
      </c>
      <c r="AG42" s="4108">
        <f>IF(SUM(Table10s2!AG41,IFERROR(Table10s3!AG41*28,0),IFERROR(Table10s4!AG41*265,0))=0,"NO",SUM(Table10s2!AG41,IFERROR(Table10s3!AG41*28,0),IFERROR(Table10s4!AG41*265,0)))</f>
        <v>-58364.713814114468</v>
      </c>
      <c r="AH42" s="4108">
        <f>IF(SUM(Table10s2!AH41,IFERROR(Table10s3!AH41*28,0),IFERROR(Table10s4!AH41*265,0))=0,"NO",SUM(Table10s2!AH41,IFERROR(Table10s3!AH41*28,0),IFERROR(Table10s4!AH41*265,0)))</f>
        <v>-63503.235273899452</v>
      </c>
      <c r="AI42" s="4108">
        <f>IF(SUM(Table10s2!AI41,IFERROR(Table10s3!AI41*28,0),IFERROR(Table10s4!AI41*265,0))=0,"NO",SUM(Table10s2!AI41,IFERROR(Table10s3!AI41*28,0),IFERROR(Table10s4!AI41*265,0)))</f>
        <v>-61231.663744738529</v>
      </c>
      <c r="AJ42" s="4108">
        <f>IF(SUM(Table10s2!AJ41,IFERROR(Table10s3!AJ41*28,0),IFERROR(Table10s4!AJ41*265,0))=0,"NO",SUM(Table10s2!AJ41,IFERROR(Table10s3!AJ41*28,0),IFERROR(Table10s4!AJ41*265,0)))</f>
        <v>-88531.076214598274</v>
      </c>
      <c r="AK42" s="4108">
        <f>IF(SUM(Table10s2!AK41,IFERROR(Table10s3!AK41*28,0),IFERROR(Table10s4!AK41*265,0))=0,"NO",SUM(Table10s2!AK41,IFERROR(Table10s3!AK41*28,0),IFERROR(Table10s4!AK41*265,0)))</f>
        <v>-88374.222654624828</v>
      </c>
      <c r="AL42" s="4080">
        <f t="shared" si="2"/>
        <v>-149.57401257444786</v>
      </c>
    </row>
    <row r="43" spans="2:38" ht="18" customHeight="1" x14ac:dyDescent="0.2">
      <c r="B43" s="1131" t="s">
        <v>1252</v>
      </c>
      <c r="C43" s="2027"/>
      <c r="D43" s="2027"/>
      <c r="E43" s="4089">
        <f>IF(SUM(Table10s2!E42,IFERROR(Table10s3!E42*28,0),IFERROR(Table10s4!E42*265,0))=0,"NO",SUM(Table10s2!E42,IFERROR(Table10s3!E42*28,0),IFERROR(Table10s4!E42*265,0)))</f>
        <v>-5085.3371043763946</v>
      </c>
      <c r="F43" s="4089">
        <f>IF(SUM(Table10s2!F42,IFERROR(Table10s3!F42*28,0),IFERROR(Table10s4!F42*265,0))=0,"NO",SUM(Table10s2!F42,IFERROR(Table10s3!F42*28,0),IFERROR(Table10s4!F42*265,0)))</f>
        <v>-5708.3055004011512</v>
      </c>
      <c r="G43" s="4101">
        <f>IF(SUM(Table10s2!G42,IFERROR(Table10s3!G42*28,0),IFERROR(Table10s4!G42*265,0))=0,"NO",SUM(Table10s2!G42,IFERROR(Table10s3!G42*28,0),IFERROR(Table10s4!G42*265,0)))</f>
        <v>-10407.734034349705</v>
      </c>
      <c r="H43" s="4101">
        <f>IF(SUM(Table10s2!H42,IFERROR(Table10s3!H42*28,0),IFERROR(Table10s4!H42*265,0))=0,"NO",SUM(Table10s2!H42,IFERROR(Table10s3!H42*28,0),IFERROR(Table10s4!H42*265,0)))</f>
        <v>-15831.721002899056</v>
      </c>
      <c r="I43" s="4101">
        <f>IF(SUM(Table10s2!I42,IFERROR(Table10s3!I42*28,0),IFERROR(Table10s4!I42*265,0))=0,"NO",SUM(Table10s2!I42,IFERROR(Table10s3!I42*28,0),IFERROR(Table10s4!I42*265,0)))</f>
        <v>-9827.2717297629642</v>
      </c>
      <c r="J43" s="4101">
        <f>IF(SUM(Table10s2!J42,IFERROR(Table10s3!J42*28,0),IFERROR(Table10s4!J42*265,0))=0,"NO",SUM(Table10s2!J42,IFERROR(Table10s3!J42*28,0),IFERROR(Table10s4!J42*265,0)))</f>
        <v>-18423.550001356754</v>
      </c>
      <c r="K43" s="4101">
        <f>IF(SUM(Table10s2!K42,IFERROR(Table10s3!K42*28,0),IFERROR(Table10s4!K42*265,0))=0,"NO",SUM(Table10s2!K42,IFERROR(Table10s3!K42*28,0),IFERROR(Table10s4!K42*265,0)))</f>
        <v>-16776.289450984499</v>
      </c>
      <c r="L43" s="4101">
        <f>IF(SUM(Table10s2!L42,IFERROR(Table10s3!L42*28,0),IFERROR(Table10s4!L42*265,0))=0,"NO",SUM(Table10s2!L42,IFERROR(Table10s3!L42*28,0),IFERROR(Table10s4!L42*265,0)))</f>
        <v>-34006.839767929283</v>
      </c>
      <c r="M43" s="4101">
        <f>IF(SUM(Table10s2!M42,IFERROR(Table10s3!M42*28,0),IFERROR(Table10s4!M42*265,0))=0,"NO",SUM(Table10s2!M42,IFERROR(Table10s3!M42*28,0),IFERROR(Table10s4!M42*265,0)))</f>
        <v>-26036.644304696576</v>
      </c>
      <c r="N43" s="4101">
        <f>IF(SUM(Table10s2!N42,IFERROR(Table10s3!N42*28,0),IFERROR(Table10s4!N42*265,0))=0,"NO",SUM(Table10s2!N42,IFERROR(Table10s3!N42*28,0),IFERROR(Table10s4!N42*265,0)))</f>
        <v>-31295.044469590426</v>
      </c>
      <c r="O43" s="4101">
        <f>IF(SUM(Table10s2!O42,IFERROR(Table10s3!O42*28,0),IFERROR(Table10s4!O42*265,0))=0,"NO",SUM(Table10s2!O42,IFERROR(Table10s3!O42*28,0),IFERROR(Table10s4!O42*265,0)))</f>
        <v>-18034.948120873283</v>
      </c>
      <c r="P43" s="4101">
        <f>IF(SUM(Table10s2!P42,IFERROR(Table10s3!P42*28,0),IFERROR(Table10s4!P42*265,0))=0,"NO",SUM(Table10s2!P42,IFERROR(Table10s3!P42*28,0),IFERROR(Table10s4!P42*265,0)))</f>
        <v>-20868.479566291753</v>
      </c>
      <c r="Q43" s="4101">
        <f>IF(SUM(Table10s2!Q42,IFERROR(Table10s3!Q42*28,0),IFERROR(Table10s4!Q42*265,0))=0,"NO",SUM(Table10s2!Q42,IFERROR(Table10s3!Q42*28,0),IFERROR(Table10s4!Q42*265,0)))</f>
        <v>-25281.437067866584</v>
      </c>
      <c r="R43" s="4101">
        <f>IF(SUM(Table10s2!R42,IFERROR(Table10s3!R42*28,0),IFERROR(Table10s4!R42*265,0))=0,"NO",SUM(Table10s2!R42,IFERROR(Table10s3!R42*28,0),IFERROR(Table10s4!R42*265,0)))</f>
        <v>-28252.10428331219</v>
      </c>
      <c r="S43" s="4101">
        <f>IF(SUM(Table10s2!S42,IFERROR(Table10s3!S42*28,0),IFERROR(Table10s4!S42*265,0))=0,"NO",SUM(Table10s2!S42,IFERROR(Table10s3!S42*28,0),IFERROR(Table10s4!S42*265,0)))</f>
        <v>-39713.941378080744</v>
      </c>
      <c r="T43" s="4101">
        <f>IF(SUM(Table10s2!T42,IFERROR(Table10s3!T42*28,0),IFERROR(Table10s4!T42*265,0))=0,"NO",SUM(Table10s2!T42,IFERROR(Table10s3!T42*28,0),IFERROR(Table10s4!T42*265,0)))</f>
        <v>-34761.902312142018</v>
      </c>
      <c r="U43" s="4101">
        <f>IF(SUM(Table10s2!U42,IFERROR(Table10s3!U42*28,0),IFERROR(Table10s4!U42*265,0))=0,"NO",SUM(Table10s2!U42,IFERROR(Table10s3!U42*28,0),IFERROR(Table10s4!U42*265,0)))</f>
        <v>-35516.923725087094</v>
      </c>
      <c r="V43" s="4101">
        <f>IF(SUM(Table10s2!V42,IFERROR(Table10s3!V42*28,0),IFERROR(Table10s4!V42*265,0))=0,"NO",SUM(Table10s2!V42,IFERROR(Table10s3!V42*28,0),IFERROR(Table10s4!V42*265,0)))</f>
        <v>-30028.675282142125</v>
      </c>
      <c r="W43" s="4101">
        <f>IF(SUM(Table10s2!W42,IFERROR(Table10s3!W42*28,0),IFERROR(Table10s4!W42*265,0))=0,"NO",SUM(Table10s2!W42,IFERROR(Table10s3!W42*28,0),IFERROR(Table10s4!W42*265,0)))</f>
        <v>-18096.765953083781</v>
      </c>
      <c r="X43" s="4101">
        <f>IF(SUM(Table10s2!X42,IFERROR(Table10s3!X42*28,0),IFERROR(Table10s4!X42*265,0))=0,"NO",SUM(Table10s2!X42,IFERROR(Table10s3!X42*28,0),IFERROR(Table10s4!X42*265,0)))</f>
        <v>-11511.239777713678</v>
      </c>
      <c r="Y43" s="4101">
        <f>IF(SUM(Table10s2!Y42,IFERROR(Table10s3!Y42*28,0),IFERROR(Table10s4!Y42*265,0))=0,"NO",SUM(Table10s2!Y42,IFERROR(Table10s3!Y42*28,0),IFERROR(Table10s4!Y42*265,0)))</f>
        <v>-10708.266355119766</v>
      </c>
      <c r="Z43" s="4101">
        <f>IF(SUM(Table10s2!Z42,IFERROR(Table10s3!Z42*28,0),IFERROR(Table10s4!Z42*265,0))=0,"NO",SUM(Table10s2!Z42,IFERROR(Table10s3!Z42*28,0),IFERROR(Table10s4!Z42*265,0)))</f>
        <v>-21546.475542830696</v>
      </c>
      <c r="AA43" s="4101">
        <f>IF(SUM(Table10s2!AA42,IFERROR(Table10s3!AA42*28,0),IFERROR(Table10s4!AA42*265,0))=0,"NO",SUM(Table10s2!AA42,IFERROR(Table10s3!AA42*28,0),IFERROR(Table10s4!AA42*265,0)))</f>
        <v>-26669.005551665858</v>
      </c>
      <c r="AB43" s="4101">
        <f>IF(SUM(Table10s2!AB42,IFERROR(Table10s3!AB42*28,0),IFERROR(Table10s4!AB42*265,0))=0,"NO",SUM(Table10s2!AB42,IFERROR(Table10s3!AB42*28,0),IFERROR(Table10s4!AB42*265,0)))</f>
        <v>-33996.846427784498</v>
      </c>
      <c r="AC43" s="4101">
        <f>IF(SUM(Table10s2!AC42,IFERROR(Table10s3!AC42*28,0),IFERROR(Table10s4!AC42*265,0))=0,"NO",SUM(Table10s2!AC42,IFERROR(Table10s3!AC42*28,0),IFERROR(Table10s4!AC42*265,0)))</f>
        <v>-48331.949690818488</v>
      </c>
      <c r="AD43" s="4101">
        <f>IF(SUM(Table10s2!AD42,IFERROR(Table10s3!AD42*28,0),IFERROR(Table10s4!AD42*265,0))=0,"NO",SUM(Table10s2!AD42,IFERROR(Table10s3!AD42*28,0),IFERROR(Table10s4!AD42*265,0)))</f>
        <v>-50229.9352465708</v>
      </c>
      <c r="AE43" s="4101">
        <f>IF(SUM(Table10s2!AE42,IFERROR(Table10s3!AE42*28,0),IFERROR(Table10s4!AE42*265,0))=0,"NO",SUM(Table10s2!AE42,IFERROR(Table10s3!AE42*28,0),IFERROR(Table10s4!AE42*265,0)))</f>
        <v>-80323.705458570956</v>
      </c>
      <c r="AF43" s="4101">
        <f>IF(SUM(Table10s2!AF42,IFERROR(Table10s3!AF42*28,0),IFERROR(Table10s4!AF42*265,0))=0,"NO",SUM(Table10s2!AF42,IFERROR(Table10s3!AF42*28,0),IFERROR(Table10s4!AF42*265,0)))</f>
        <v>-79570.997679142863</v>
      </c>
      <c r="AG43" s="4101">
        <f>IF(SUM(Table10s2!AG42,IFERROR(Table10s3!AG42*28,0),IFERROR(Table10s4!AG42*265,0))=0,"NO",SUM(Table10s2!AG42,IFERROR(Table10s3!AG42*28,0),IFERROR(Table10s4!AG42*265,0)))</f>
        <v>-88006.728350941354</v>
      </c>
      <c r="AH43" s="4101">
        <f>IF(SUM(Table10s2!AH42,IFERROR(Table10s3!AH42*28,0),IFERROR(Table10s4!AH42*265,0))=0,"NO",SUM(Table10s2!AH42,IFERROR(Table10s3!AH42*28,0),IFERROR(Table10s4!AH42*265,0)))</f>
        <v>-68315.082257766422</v>
      </c>
      <c r="AI43" s="4101">
        <f>IF(SUM(Table10s2!AI42,IFERROR(Table10s3!AI42*28,0),IFERROR(Table10s4!AI42*265,0))=0,"NO",SUM(Table10s2!AI42,IFERROR(Table10s3!AI42*28,0),IFERROR(Table10s4!AI42*265,0)))</f>
        <v>-73185.485168576386</v>
      </c>
      <c r="AJ43" s="4101">
        <f>IF(SUM(Table10s2!AJ42,IFERROR(Table10s3!AJ42*28,0),IFERROR(Table10s4!AJ42*265,0))=0,"NO",SUM(Table10s2!AJ42,IFERROR(Table10s3!AJ42*28,0),IFERROR(Table10s4!AJ42*265,0)))</f>
        <v>-76616.244286819856</v>
      </c>
      <c r="AK43" s="4101">
        <f>IF(SUM(Table10s2!AK42,IFERROR(Table10s3!AK42*28,0),IFERROR(Table10s4!AK42*265,0))=0,"NO",SUM(Table10s2!AK42,IFERROR(Table10s3!AK42*28,0),IFERROR(Table10s4!AK42*265,0)))</f>
        <v>-64582.057633844786</v>
      </c>
      <c r="AL43" s="4080">
        <f t="shared" si="2"/>
        <v>1169.9661066375729</v>
      </c>
    </row>
    <row r="44" spans="2:38" ht="18" customHeight="1" x14ac:dyDescent="0.2">
      <c r="B44" s="1131" t="s">
        <v>1255</v>
      </c>
      <c r="C44" s="2027"/>
      <c r="D44" s="2027"/>
      <c r="E44" s="4089">
        <f>IF(SUM(Table10s2!E43,IFERROR(Table10s3!E43*28,0),IFERROR(Table10s4!E43*265,0))=0,"NO",SUM(Table10s2!E43,IFERROR(Table10s3!E43*28,0),IFERROR(Table10s4!E43*265,0)))</f>
        <v>35331.172968198065</v>
      </c>
      <c r="F44" s="4089">
        <f>IF(SUM(Table10s2!F43,IFERROR(Table10s3!F43*28,0),IFERROR(Table10s4!F43*265,0))=0,"NO",SUM(Table10s2!F43,IFERROR(Table10s3!F43*28,0),IFERROR(Table10s4!F43*265,0)))</f>
        <v>35073.895983909206</v>
      </c>
      <c r="G44" s="4101">
        <f>IF(SUM(Table10s2!G43,IFERROR(Table10s3!G43*28,0),IFERROR(Table10s4!G43*265,0))=0,"NO",SUM(Table10s2!G43,IFERROR(Table10s3!G43*28,0),IFERROR(Table10s4!G43*265,0)))</f>
        <v>25048.184957699119</v>
      </c>
      <c r="H44" s="4101">
        <f>IF(SUM(Table10s2!H43,IFERROR(Table10s3!H43*28,0),IFERROR(Table10s4!H43*265,0))=0,"NO",SUM(Table10s2!H43,IFERROR(Table10s3!H43*28,0),IFERROR(Table10s4!H43*265,0)))</f>
        <v>21284.647223273467</v>
      </c>
      <c r="I44" s="4101">
        <f>IF(SUM(Table10s2!I43,IFERROR(Table10s3!I43*28,0),IFERROR(Table10s4!I43*265,0))=0,"NO",SUM(Table10s2!I43,IFERROR(Table10s3!I43*28,0),IFERROR(Table10s4!I43*265,0)))</f>
        <v>17952.129383902658</v>
      </c>
      <c r="J44" s="4101">
        <f>IF(SUM(Table10s2!J43,IFERROR(Table10s3!J43*28,0),IFERROR(Table10s4!J43*265,0))=0,"NO",SUM(Table10s2!J43,IFERROR(Table10s3!J43*28,0),IFERROR(Table10s4!J43*265,0)))</f>
        <v>11955.606208888034</v>
      </c>
      <c r="K44" s="4101">
        <f>IF(SUM(Table10s2!K43,IFERROR(Table10s3!K43*28,0),IFERROR(Table10s4!K43*265,0))=0,"NO",SUM(Table10s2!K43,IFERROR(Table10s3!K43*28,0),IFERROR(Table10s4!K43*265,0)))</f>
        <v>12010.159335517157</v>
      </c>
      <c r="L44" s="4101">
        <f>IF(SUM(Table10s2!L43,IFERROR(Table10s3!L43*28,0),IFERROR(Table10s4!L43*265,0))=0,"NO",SUM(Table10s2!L43,IFERROR(Table10s3!L43*28,0),IFERROR(Table10s4!L43*265,0)))</f>
        <v>7580.5049035908069</v>
      </c>
      <c r="M44" s="4101">
        <f>IF(SUM(Table10s2!M43,IFERROR(Table10s3!M43*28,0),IFERROR(Table10s4!M43*265,0))=0,"NO",SUM(Table10s2!M43,IFERROR(Table10s3!M43*28,0),IFERROR(Table10s4!M43*265,0)))</f>
        <v>7419.956916837943</v>
      </c>
      <c r="N44" s="4101">
        <f>IF(SUM(Table10s2!N43,IFERROR(Table10s3!N43*28,0),IFERROR(Table10s4!N43*265,0))=0,"NO",SUM(Table10s2!N43,IFERROR(Table10s3!N43*28,0),IFERROR(Table10s4!N43*265,0)))</f>
        <v>9513.5965625416247</v>
      </c>
      <c r="O44" s="4101">
        <f>IF(SUM(Table10s2!O43,IFERROR(Table10s3!O43*28,0),IFERROR(Table10s4!O43*265,0))=0,"NO",SUM(Table10s2!O43,IFERROR(Table10s3!O43*28,0),IFERROR(Table10s4!O43*265,0)))</f>
        <v>5606.7305783938154</v>
      </c>
      <c r="P44" s="4101">
        <f>IF(SUM(Table10s2!P43,IFERROR(Table10s3!P43*28,0),IFERROR(Table10s4!P43*265,0))=0,"NO",SUM(Table10s2!P43,IFERROR(Table10s3!P43*28,0),IFERROR(Table10s4!P43*265,0)))</f>
        <v>6821.5780380646765</v>
      </c>
      <c r="Q44" s="4101">
        <f>IF(SUM(Table10s2!Q43,IFERROR(Table10s3!Q43*28,0),IFERROR(Table10s4!Q43*265,0))=0,"NO",SUM(Table10s2!Q43,IFERROR(Table10s3!Q43*28,0),IFERROR(Table10s4!Q43*265,0)))</f>
        <v>9519.6151906120012</v>
      </c>
      <c r="R44" s="4101">
        <f>IF(SUM(Table10s2!R43,IFERROR(Table10s3!R43*28,0),IFERROR(Table10s4!R43*265,0))=0,"NO",SUM(Table10s2!R43,IFERROR(Table10s3!R43*28,0),IFERROR(Table10s4!R43*265,0)))</f>
        <v>10632.680485850655</v>
      </c>
      <c r="S44" s="4101">
        <f>IF(SUM(Table10s2!S43,IFERROR(Table10s3!S43*28,0),IFERROR(Table10s4!S43*265,0))=0,"NO",SUM(Table10s2!S43,IFERROR(Table10s3!S43*28,0),IFERROR(Table10s4!S43*265,0)))</f>
        <v>9983.4428313291828</v>
      </c>
      <c r="T44" s="4101">
        <f>IF(SUM(Table10s2!T43,IFERROR(Table10s3!T43*28,0),IFERROR(Table10s4!T43*265,0))=0,"NO",SUM(Table10s2!T43,IFERROR(Table10s3!T43*28,0),IFERROR(Table10s4!T43*265,0)))</f>
        <v>9204.2843426755117</v>
      </c>
      <c r="U44" s="4101">
        <f>IF(SUM(Table10s2!U43,IFERROR(Table10s3!U43*28,0),IFERROR(Table10s4!U43*265,0))=0,"NO",SUM(Table10s2!U43,IFERROR(Table10s3!U43*28,0),IFERROR(Table10s4!U43*265,0)))</f>
        <v>13131.304974269453</v>
      </c>
      <c r="V44" s="4101">
        <f>IF(SUM(Table10s2!V43,IFERROR(Table10s3!V43*28,0),IFERROR(Table10s4!V43*265,0))=0,"NO",SUM(Table10s2!V43,IFERROR(Table10s3!V43*28,0),IFERROR(Table10s4!V43*265,0)))</f>
        <v>9173.3114462355752</v>
      </c>
      <c r="W44" s="4101">
        <f>IF(SUM(Table10s2!W43,IFERROR(Table10s3!W43*28,0),IFERROR(Table10s4!W43*265,0))=0,"NO",SUM(Table10s2!W43,IFERROR(Table10s3!W43*28,0),IFERROR(Table10s4!W43*265,0)))</f>
        <v>7734.641991552664</v>
      </c>
      <c r="X44" s="4101">
        <f>IF(SUM(Table10s2!X43,IFERROR(Table10s3!X43*28,0),IFERROR(Table10s4!X43*265,0))=0,"NO",SUM(Table10s2!X43,IFERROR(Table10s3!X43*28,0),IFERROR(Table10s4!X43*265,0)))</f>
        <v>6485.0580665008774</v>
      </c>
      <c r="Y44" s="4101">
        <f>IF(SUM(Table10s2!Y43,IFERROR(Table10s3!Y43*28,0),IFERROR(Table10s4!Y43*265,0))=0,"NO",SUM(Table10s2!Y43,IFERROR(Table10s3!Y43*28,0),IFERROR(Table10s4!Y43*265,0)))</f>
        <v>7327.9447316404257</v>
      </c>
      <c r="Z44" s="4101">
        <f>IF(SUM(Table10s2!Z43,IFERROR(Table10s3!Z43*28,0),IFERROR(Table10s4!Z43*265,0))=0,"NO",SUM(Table10s2!Z43,IFERROR(Table10s3!Z43*28,0),IFERROR(Table10s4!Z43*265,0)))</f>
        <v>6811.0845480807366</v>
      </c>
      <c r="AA44" s="4101">
        <f>IF(SUM(Table10s2!AA43,IFERROR(Table10s3!AA43*28,0),IFERROR(Table10s4!AA43*265,0))=0,"NO",SUM(Table10s2!AA43,IFERROR(Table10s3!AA43*28,0),IFERROR(Table10s4!AA43*265,0)))</f>
        <v>-908.92065691887285</v>
      </c>
      <c r="AB44" s="4101">
        <f>IF(SUM(Table10s2!AB43,IFERROR(Table10s3!AB43*28,0),IFERROR(Table10s4!AB43*265,0))=0,"NO",SUM(Table10s2!AB43,IFERROR(Table10s3!AB43*28,0),IFERROR(Table10s4!AB43*265,0)))</f>
        <v>3001.4662039122841</v>
      </c>
      <c r="AC44" s="4101">
        <f>IF(SUM(Table10s2!AC43,IFERROR(Table10s3!AC43*28,0),IFERROR(Table10s4!AC43*265,0))=0,"NO",SUM(Table10s2!AC43,IFERROR(Table10s3!AC43*28,0),IFERROR(Table10s4!AC43*265,0)))</f>
        <v>-305.09141906240615</v>
      </c>
      <c r="AD44" s="4101">
        <f>IF(SUM(Table10s2!AD43,IFERROR(Table10s3!AD43*28,0),IFERROR(Table10s4!AD43*265,0))=0,"NO",SUM(Table10s2!AD43,IFERROR(Table10s3!AD43*28,0),IFERROR(Table10s4!AD43*265,0)))</f>
        <v>-283.27272246410939</v>
      </c>
      <c r="AE44" s="4101">
        <f>IF(SUM(Table10s2!AE43,IFERROR(Table10s3!AE43*28,0),IFERROR(Table10s4!AE43*265,0))=0,"NO",SUM(Table10s2!AE43,IFERROR(Table10s3!AE43*28,0),IFERROR(Table10s4!AE43*265,0)))</f>
        <v>-2912.3221426852583</v>
      </c>
      <c r="AF44" s="4101">
        <f>IF(SUM(Table10s2!AF43,IFERROR(Table10s3!AF43*28,0),IFERROR(Table10s4!AF43*265,0))=0,"NO",SUM(Table10s2!AF43,IFERROR(Table10s3!AF43*28,0),IFERROR(Table10s4!AF43*265,0)))</f>
        <v>-2255.1270105404988</v>
      </c>
      <c r="AG44" s="4101">
        <f>IF(SUM(Table10s2!AG43,IFERROR(Table10s3!AG43*28,0),IFERROR(Table10s4!AG43*265,0))=0,"NO",SUM(Table10s2!AG43,IFERROR(Table10s3!AG43*28,0),IFERROR(Table10s4!AG43*265,0)))</f>
        <v>-6155.5738329259029</v>
      </c>
      <c r="AH44" s="4101">
        <f>IF(SUM(Table10s2!AH43,IFERROR(Table10s3!AH43*28,0),IFERROR(Table10s4!AH43*265,0))=0,"NO",SUM(Table10s2!AH43,IFERROR(Table10s3!AH43*28,0),IFERROR(Table10s4!AH43*265,0)))</f>
        <v>-6605.7356603385915</v>
      </c>
      <c r="AI44" s="4101">
        <f>IF(SUM(Table10s2!AI43,IFERROR(Table10s3!AI43*28,0),IFERROR(Table10s4!AI43*265,0))=0,"NO",SUM(Table10s2!AI43,IFERROR(Table10s3!AI43*28,0),IFERROR(Table10s4!AI43*265,0)))</f>
        <v>-8868.1930887275867</v>
      </c>
      <c r="AJ44" s="4101">
        <f>IF(SUM(Table10s2!AJ43,IFERROR(Table10s3!AJ43*28,0),IFERROR(Table10s4!AJ43*265,0))=0,"NO",SUM(Table10s2!AJ43,IFERROR(Table10s3!AJ43*28,0),IFERROR(Table10s4!AJ43*265,0)))</f>
        <v>-9886.7108878033505</v>
      </c>
      <c r="AK44" s="4101">
        <f>IF(SUM(Table10s2!AK43,IFERROR(Table10s3!AK43*28,0),IFERROR(Table10s4!AK43*265,0))=0,"NO",SUM(Table10s2!AK43,IFERROR(Table10s3!AK43*28,0),IFERROR(Table10s4!AK43*265,0)))</f>
        <v>-11682.381244216085</v>
      </c>
      <c r="AL44" s="4080">
        <f t="shared" si="2"/>
        <v>-133.06536484008473</v>
      </c>
    </row>
    <row r="45" spans="2:38" ht="18" customHeight="1" x14ac:dyDescent="0.2">
      <c r="B45" s="1131" t="s">
        <v>2382</v>
      </c>
      <c r="C45" s="2027"/>
      <c r="D45" s="2027"/>
      <c r="E45" s="4089">
        <f>IF(SUM(Table10s2!E44,IFERROR(Table10s3!E44*28,0),IFERROR(Table10s4!E44*265,0))=0,"NO",SUM(Table10s2!E44,IFERROR(Table10s3!E44*28,0),IFERROR(Table10s4!E44*265,0)))</f>
        <v>143381.39044167055</v>
      </c>
      <c r="F45" s="4089">
        <f>IF(SUM(Table10s2!F44,IFERROR(Table10s3!F44*28,0),IFERROR(Table10s4!F44*265,0))=0,"NO",SUM(Table10s2!F44,IFERROR(Table10s3!F44*28,0),IFERROR(Table10s4!F44*265,0)))</f>
        <v>123536.57915709358</v>
      </c>
      <c r="G45" s="4101">
        <f>IF(SUM(Table10s2!G44,IFERROR(Table10s3!G44*28,0),IFERROR(Table10s4!G44*265,0))=0,"NO",SUM(Table10s2!G44,IFERROR(Table10s3!G44*28,0),IFERROR(Table10s4!G44*265,0)))</f>
        <v>94150.471415116088</v>
      </c>
      <c r="H45" s="4101">
        <f>IF(SUM(Table10s2!H44,IFERROR(Table10s3!H44*28,0),IFERROR(Table10s4!H44*265,0))=0,"NO",SUM(Table10s2!H44,IFERROR(Table10s3!H44*28,0),IFERROR(Table10s4!H44*265,0)))</f>
        <v>83082.768308068669</v>
      </c>
      <c r="I45" s="4101">
        <f>IF(SUM(Table10s2!I44,IFERROR(Table10s3!I44*28,0),IFERROR(Table10s4!I44*265,0))=0,"NO",SUM(Table10s2!I44,IFERROR(Table10s3!I44*28,0),IFERROR(Table10s4!I44*265,0)))</f>
        <v>72285.469037005678</v>
      </c>
      <c r="J45" s="4101">
        <f>IF(SUM(Table10s2!J44,IFERROR(Table10s3!J44*28,0),IFERROR(Table10s4!J44*265,0))=0,"NO",SUM(Table10s2!J44,IFERROR(Table10s3!J44*28,0),IFERROR(Table10s4!J44*265,0)))</f>
        <v>66813.372537538657</v>
      </c>
      <c r="K45" s="4101">
        <f>IF(SUM(Table10s2!K44,IFERROR(Table10s3!K44*28,0),IFERROR(Table10s4!K44*265,0))=0,"NO",SUM(Table10s2!K44,IFERROR(Table10s3!K44*28,0),IFERROR(Table10s4!K44*265,0)))</f>
        <v>58278.946376912369</v>
      </c>
      <c r="L45" s="4101">
        <f>IF(SUM(Table10s2!L44,IFERROR(Table10s3!L44*28,0),IFERROR(Table10s4!L44*265,0))=0,"NO",SUM(Table10s2!L44,IFERROR(Table10s3!L44*28,0),IFERROR(Table10s4!L44*265,0)))</f>
        <v>65033.633271620951</v>
      </c>
      <c r="M45" s="4101">
        <f>IF(SUM(Table10s2!M44,IFERROR(Table10s3!M44*28,0),IFERROR(Table10s4!M44*265,0))=0,"NO",SUM(Table10s2!M44,IFERROR(Table10s3!M44*28,0),IFERROR(Table10s4!M44*265,0)))</f>
        <v>62128.827137782595</v>
      </c>
      <c r="N45" s="4101">
        <f>IF(SUM(Table10s2!N44,IFERROR(Table10s3!N44*28,0),IFERROR(Table10s4!N44*265,0))=0,"NO",SUM(Table10s2!N44,IFERROR(Table10s3!N44*28,0),IFERROR(Table10s4!N44*265,0)))</f>
        <v>79180.87856573124</v>
      </c>
      <c r="O45" s="4101">
        <f>IF(SUM(Table10s2!O44,IFERROR(Table10s3!O44*28,0),IFERROR(Table10s4!O44*265,0))=0,"NO",SUM(Table10s2!O44,IFERROR(Table10s3!O44*28,0),IFERROR(Table10s4!O44*265,0)))</f>
        <v>80347.985731009976</v>
      </c>
      <c r="P45" s="4101">
        <f>IF(SUM(Table10s2!P44,IFERROR(Table10s3!P44*28,0),IFERROR(Table10s4!P44*265,0))=0,"NO",SUM(Table10s2!P44,IFERROR(Table10s3!P44*28,0),IFERROR(Table10s4!P44*265,0)))</f>
        <v>90556.395526826716</v>
      </c>
      <c r="Q45" s="4101">
        <f>IF(SUM(Table10s2!Q44,IFERROR(Table10s3!Q44*28,0),IFERROR(Table10s4!Q44*265,0))=0,"NO",SUM(Table10s2!Q44,IFERROR(Table10s3!Q44*28,0),IFERROR(Table10s4!Q44*265,0)))</f>
        <v>93290.842960792332</v>
      </c>
      <c r="R45" s="4101">
        <f>IF(SUM(Table10s2!R44,IFERROR(Table10s3!R44*28,0),IFERROR(Table10s4!R44*265,0))=0,"NO",SUM(Table10s2!R44,IFERROR(Table10s3!R44*28,0),IFERROR(Table10s4!R44*265,0)))</f>
        <v>96056.050391009368</v>
      </c>
      <c r="S45" s="4101">
        <f>IF(SUM(Table10s2!S44,IFERROR(Table10s3!S44*28,0),IFERROR(Table10s4!S44*265,0))=0,"NO",SUM(Table10s2!S44,IFERROR(Table10s3!S44*28,0),IFERROR(Table10s4!S44*265,0)))</f>
        <v>76312.163760705473</v>
      </c>
      <c r="T45" s="4101">
        <f>IF(SUM(Table10s2!T44,IFERROR(Table10s3!T44*28,0),IFERROR(Table10s4!T44*265,0))=0,"NO",SUM(Table10s2!T44,IFERROR(Table10s3!T44*28,0),IFERROR(Table10s4!T44*265,0)))</f>
        <v>99946.372424594621</v>
      </c>
      <c r="U45" s="4101">
        <f>IF(SUM(Table10s2!U44,IFERROR(Table10s3!U44*28,0),IFERROR(Table10s4!U44*265,0))=0,"NO",SUM(Table10s2!U44,IFERROR(Table10s3!U44*28,0),IFERROR(Table10s4!U44*265,0)))</f>
        <v>125600.73098070237</v>
      </c>
      <c r="V45" s="4101">
        <f>IF(SUM(Table10s2!V44,IFERROR(Table10s3!V44*28,0),IFERROR(Table10s4!V44*265,0))=0,"NO",SUM(Table10s2!V44,IFERROR(Table10s3!V44*28,0),IFERROR(Table10s4!V44*265,0)))</f>
        <v>99387.401599501012</v>
      </c>
      <c r="W45" s="4101">
        <f>IF(SUM(Table10s2!W44,IFERROR(Table10s3!W44*28,0),IFERROR(Table10s4!W44*265,0))=0,"NO",SUM(Table10s2!W44,IFERROR(Table10s3!W44*28,0),IFERROR(Table10s4!W44*265,0)))</f>
        <v>73888.863363304146</v>
      </c>
      <c r="X45" s="4101">
        <f>IF(SUM(Table10s2!X44,IFERROR(Table10s3!X44*28,0),IFERROR(Table10s4!X44*265,0))=0,"NO",SUM(Table10s2!X44,IFERROR(Table10s3!X44*28,0),IFERROR(Table10s4!X44*265,0)))</f>
        <v>58647.82614919779</v>
      </c>
      <c r="Y45" s="4101">
        <f>IF(SUM(Table10s2!Y44,IFERROR(Table10s3!Y44*28,0),IFERROR(Table10s4!Y44*265,0))=0,"NO",SUM(Table10s2!Y44,IFERROR(Table10s3!Y44*28,0),IFERROR(Table10s4!Y44*265,0)))</f>
        <v>61881.993484338942</v>
      </c>
      <c r="Z45" s="4101">
        <f>IF(SUM(Table10s2!Z44,IFERROR(Table10s3!Z44*28,0),IFERROR(Table10s4!Z44*265,0))=0,"NO",SUM(Table10s2!Z44,IFERROR(Table10s3!Z44*28,0),IFERROR(Table10s4!Z44*265,0)))</f>
        <v>40540.408797511678</v>
      </c>
      <c r="AA45" s="4101">
        <f>IF(SUM(Table10s2!AA44,IFERROR(Table10s3!AA44*28,0),IFERROR(Table10s4!AA44*265,0))=0,"NO",SUM(Table10s2!AA44,IFERROR(Table10s3!AA44*28,0),IFERROR(Table10s4!AA44*265,0)))</f>
        <v>27946.838050810595</v>
      </c>
      <c r="AB45" s="4101">
        <f>IF(SUM(Table10s2!AB44,IFERROR(Table10s3!AB44*28,0),IFERROR(Table10s4!AB44*265,0))=0,"NO",SUM(Table10s2!AB44,IFERROR(Table10s3!AB44*28,0),IFERROR(Table10s4!AB44*265,0)))</f>
        <v>41481.086265603291</v>
      </c>
      <c r="AC45" s="4101">
        <f>IF(SUM(Table10s2!AC44,IFERROR(Table10s3!AC44*28,0),IFERROR(Table10s4!AC44*265,0))=0,"NO",SUM(Table10s2!AC44,IFERROR(Table10s3!AC44*28,0),IFERROR(Table10s4!AC44*265,0)))</f>
        <v>49203.049076583397</v>
      </c>
      <c r="AD45" s="4101">
        <f>IF(SUM(Table10s2!AD44,IFERROR(Table10s3!AD44*28,0),IFERROR(Table10s4!AD44*265,0))=0,"NO",SUM(Table10s2!AD44,IFERROR(Table10s3!AD44*28,0),IFERROR(Table10s4!AD44*265,0)))</f>
        <v>38260.691942639321</v>
      </c>
      <c r="AE45" s="4101">
        <f>IF(SUM(Table10s2!AE44,IFERROR(Table10s3!AE44*28,0),IFERROR(Table10s4!AE44*265,0))=0,"NO",SUM(Table10s2!AE44,IFERROR(Table10s3!AE44*28,0),IFERROR(Table10s4!AE44*265,0)))</f>
        <v>21537.538336799815</v>
      </c>
      <c r="AF45" s="4101">
        <f>IF(SUM(Table10s2!AF44,IFERROR(Table10s3!AF44*28,0),IFERROR(Table10s4!AF44*265,0))=0,"NO",SUM(Table10s2!AF44,IFERROR(Table10s3!AF44*28,0),IFERROR(Table10s4!AF44*265,0)))</f>
        <v>50108.719018962853</v>
      </c>
      <c r="AG45" s="4101">
        <f>IF(SUM(Table10s2!AG44,IFERROR(Table10s3!AG44*28,0),IFERROR(Table10s4!AG44*265,0))=0,"NO",SUM(Table10s2!AG44,IFERROR(Table10s3!AG44*28,0),IFERROR(Table10s4!AG44*265,0)))</f>
        <v>35685.038851825084</v>
      </c>
      <c r="AH45" s="4101">
        <f>IF(SUM(Table10s2!AH44,IFERROR(Table10s3!AH44*28,0),IFERROR(Table10s4!AH44*265,0))=0,"NO",SUM(Table10s2!AH44,IFERROR(Table10s3!AH44*28,0),IFERROR(Table10s4!AH44*265,0)))</f>
        <v>11493.743656876177</v>
      </c>
      <c r="AI45" s="4101">
        <f>IF(SUM(Table10s2!AI44,IFERROR(Table10s3!AI44*28,0),IFERROR(Table10s4!AI44*265,0))=0,"NO",SUM(Table10s2!AI44,IFERROR(Table10s3!AI44*28,0),IFERROR(Table10s4!AI44*265,0)))</f>
        <v>20762.81519101881</v>
      </c>
      <c r="AJ45" s="4101">
        <f>IF(SUM(Table10s2!AJ44,IFERROR(Table10s3!AJ44*28,0),IFERROR(Table10s4!AJ44*265,0))=0,"NO",SUM(Table10s2!AJ44,IFERROR(Table10s3!AJ44*28,0),IFERROR(Table10s4!AJ44*265,0)))</f>
        <v>-880.90081484539655</v>
      </c>
      <c r="AK45" s="4101">
        <f>IF(SUM(Table10s2!AK44,IFERROR(Table10s3!AK44*28,0),IFERROR(Table10s4!AK44*265,0))=0,"NO",SUM(Table10s2!AK44,IFERROR(Table10s3!AK44*28,0),IFERROR(Table10s4!AK44*265,0)))</f>
        <v>-10066.603255598484</v>
      </c>
      <c r="AL45" s="4080">
        <f t="shared" si="2"/>
        <v>-107.02085760543221</v>
      </c>
    </row>
    <row r="46" spans="2:38" ht="18" customHeight="1" x14ac:dyDescent="0.2">
      <c r="B46" s="1131" t="s">
        <v>1984</v>
      </c>
      <c r="C46" s="2027"/>
      <c r="D46" s="2027"/>
      <c r="E46" s="4089">
        <f>IF(SUM(Table10s2!E45,IFERROR(Table10s3!E45*28,0),IFERROR(Table10s4!E45*265,0))=0,"NO",SUM(Table10s2!E45,IFERROR(Table10s3!E45*28,0),IFERROR(Table10s4!E45*265,0)))</f>
        <v>4212.0828983444599</v>
      </c>
      <c r="F46" s="4089">
        <f>IF(SUM(Table10s2!F45,IFERROR(Table10s3!F45*28,0),IFERROR(Table10s4!F45*265,0))=0,"NO",SUM(Table10s2!F45,IFERROR(Table10s3!F45*28,0),IFERROR(Table10s4!F45*265,0)))</f>
        <v>4580.0122266686394</v>
      </c>
      <c r="G46" s="4101">
        <f>IF(SUM(Table10s2!G45,IFERROR(Table10s3!G45*28,0),IFERROR(Table10s4!G45*265,0))=0,"NO",SUM(Table10s2!G45,IFERROR(Table10s3!G45*28,0),IFERROR(Table10s4!G45*265,0)))</f>
        <v>4512.0711132720335</v>
      </c>
      <c r="H46" s="4101">
        <f>IF(SUM(Table10s2!H45,IFERROR(Table10s3!H45*28,0),IFERROR(Table10s4!H45*265,0))=0,"NO",SUM(Table10s2!H45,IFERROR(Table10s3!H45*28,0),IFERROR(Table10s4!H45*265,0)))</f>
        <v>3802.359855618759</v>
      </c>
      <c r="I46" s="4101">
        <f>IF(SUM(Table10s2!I45,IFERROR(Table10s3!I45*28,0),IFERROR(Table10s4!I45*265,0))=0,"NO",SUM(Table10s2!I45,IFERROR(Table10s3!I45*28,0),IFERROR(Table10s4!I45*265,0)))</f>
        <v>2604.4434605687861</v>
      </c>
      <c r="J46" s="4101">
        <f>IF(SUM(Table10s2!J45,IFERROR(Table10s3!J45*28,0),IFERROR(Table10s4!J45*265,0))=0,"NO",SUM(Table10s2!J45,IFERROR(Table10s3!J45*28,0),IFERROR(Table10s4!J45*265,0)))</f>
        <v>2517.9412047377705</v>
      </c>
      <c r="K46" s="4101">
        <f>IF(SUM(Table10s2!K45,IFERROR(Table10s3!K45*28,0),IFERROR(Table10s4!K45*265,0))=0,"NO",SUM(Table10s2!K45,IFERROR(Table10s3!K45*28,0),IFERROR(Table10s4!K45*265,0)))</f>
        <v>3575.3211046930933</v>
      </c>
      <c r="L46" s="4101">
        <f>IF(SUM(Table10s2!L45,IFERROR(Table10s3!L45*28,0),IFERROR(Table10s4!L45*265,0))=0,"NO",SUM(Table10s2!L45,IFERROR(Table10s3!L45*28,0),IFERROR(Table10s4!L45*265,0)))</f>
        <v>3874.4555980842542</v>
      </c>
      <c r="M46" s="4101">
        <f>IF(SUM(Table10s2!M45,IFERROR(Table10s3!M45*28,0),IFERROR(Table10s4!M45*265,0))=0,"NO",SUM(Table10s2!M45,IFERROR(Table10s3!M45*28,0),IFERROR(Table10s4!M45*265,0)))</f>
        <v>3634.667788441448</v>
      </c>
      <c r="N46" s="4101">
        <f>IF(SUM(Table10s2!N45,IFERROR(Table10s3!N45*28,0),IFERROR(Table10s4!N45*265,0))=0,"NO",SUM(Table10s2!N45,IFERROR(Table10s3!N45*28,0),IFERROR(Table10s4!N45*265,0)))</f>
        <v>3789.1814421575236</v>
      </c>
      <c r="O46" s="4101">
        <f>IF(SUM(Table10s2!O45,IFERROR(Table10s3!O45*28,0),IFERROR(Table10s4!O45*265,0))=0,"NO",SUM(Table10s2!O45,IFERROR(Table10s3!O45*28,0),IFERROR(Table10s4!O45*265,0)))</f>
        <v>3931.7627366092293</v>
      </c>
      <c r="P46" s="4101">
        <f>IF(SUM(Table10s2!P45,IFERROR(Table10s3!P45*28,0),IFERROR(Table10s4!P45*265,0))=0,"NO",SUM(Table10s2!P45,IFERROR(Table10s3!P45*28,0),IFERROR(Table10s4!P45*265,0)))</f>
        <v>3197.2760751791106</v>
      </c>
      <c r="Q46" s="4101">
        <f>IF(SUM(Table10s2!Q45,IFERROR(Table10s3!Q45*28,0),IFERROR(Table10s4!Q45*265,0))=0,"NO",SUM(Table10s2!Q45,IFERROR(Table10s3!Q45*28,0),IFERROR(Table10s4!Q45*265,0)))</f>
        <v>3578.5440781204975</v>
      </c>
      <c r="R46" s="4101">
        <f>IF(SUM(Table10s2!R45,IFERROR(Table10s3!R45*28,0),IFERROR(Table10s4!R45*265,0))=0,"NO",SUM(Table10s2!R45,IFERROR(Table10s3!R45*28,0),IFERROR(Table10s4!R45*265,0)))</f>
        <v>3160.1387560879798</v>
      </c>
      <c r="S46" s="4101">
        <f>IF(SUM(Table10s2!S45,IFERROR(Table10s3!S45*28,0),IFERROR(Table10s4!S45*265,0))=0,"NO",SUM(Table10s2!S45,IFERROR(Table10s3!S45*28,0),IFERROR(Table10s4!S45*265,0)))</f>
        <v>2578.9894319128553</v>
      </c>
      <c r="T46" s="4101">
        <f>IF(SUM(Table10s2!T45,IFERROR(Table10s3!T45*28,0),IFERROR(Table10s4!T45*265,0))=0,"NO",SUM(Table10s2!T45,IFERROR(Table10s3!T45*28,0),IFERROR(Table10s4!T45*265,0)))</f>
        <v>3202.7634136985885</v>
      </c>
      <c r="U46" s="4101">
        <f>IF(SUM(Table10s2!U45,IFERROR(Table10s3!U45*28,0),IFERROR(Table10s4!U45*265,0))=0,"NO",SUM(Table10s2!U45,IFERROR(Table10s3!U45*28,0),IFERROR(Table10s4!U45*265,0)))</f>
        <v>3709.3330930069283</v>
      </c>
      <c r="V46" s="4101">
        <f>IF(SUM(Table10s2!V45,IFERROR(Table10s3!V45*28,0),IFERROR(Table10s4!V45*265,0))=0,"NO",SUM(Table10s2!V45,IFERROR(Table10s3!V45*28,0),IFERROR(Table10s4!V45*265,0)))</f>
        <v>3283.8903888155369</v>
      </c>
      <c r="W46" s="4101">
        <f>IF(SUM(Table10s2!W45,IFERROR(Table10s3!W45*28,0),IFERROR(Table10s4!W45*265,0))=0,"NO",SUM(Table10s2!W45,IFERROR(Table10s3!W45*28,0),IFERROR(Table10s4!W45*265,0)))</f>
        <v>3604.111678724405</v>
      </c>
      <c r="X46" s="4101">
        <f>IF(SUM(Table10s2!X45,IFERROR(Table10s3!X45*28,0),IFERROR(Table10s4!X45*265,0))=0,"NO",SUM(Table10s2!X45,IFERROR(Table10s3!X45*28,0),IFERROR(Table10s4!X45*265,0)))</f>
        <v>3826.7482707230306</v>
      </c>
      <c r="Y46" s="4101">
        <f>IF(SUM(Table10s2!Y45,IFERROR(Table10s3!Y45*28,0),IFERROR(Table10s4!Y45*265,0))=0,"NO",SUM(Table10s2!Y45,IFERROR(Table10s3!Y45*28,0),IFERROR(Table10s4!Y45*265,0)))</f>
        <v>3981.7564859041931</v>
      </c>
      <c r="Z46" s="4101">
        <f>IF(SUM(Table10s2!Z45,IFERROR(Table10s3!Z45*28,0),IFERROR(Table10s4!Z45*265,0))=0,"NO",SUM(Table10s2!Z45,IFERROR(Table10s3!Z45*28,0),IFERROR(Table10s4!Z45*265,0)))</f>
        <v>4836.8296501760142</v>
      </c>
      <c r="AA46" s="4101">
        <f>IF(SUM(Table10s2!AA45,IFERROR(Table10s3!AA45*28,0),IFERROR(Table10s4!AA45*265,0))=0,"NO",SUM(Table10s2!AA45,IFERROR(Table10s3!AA45*28,0),IFERROR(Table10s4!AA45*265,0)))</f>
        <v>3081.0079836552768</v>
      </c>
      <c r="AB46" s="4101">
        <f>IF(SUM(Table10s2!AB45,IFERROR(Table10s3!AB45*28,0),IFERROR(Table10s4!AB45*265,0))=0,"NO",SUM(Table10s2!AB45,IFERROR(Table10s3!AB45*28,0),IFERROR(Table10s4!AB45*265,0)))</f>
        <v>2998.1593129016896</v>
      </c>
      <c r="AC46" s="4101">
        <f>IF(SUM(Table10s2!AC45,IFERROR(Table10s3!AC45*28,0),IFERROR(Table10s4!AC45*265,0))=0,"NO",SUM(Table10s2!AC45,IFERROR(Table10s3!AC45*28,0),IFERROR(Table10s4!AC45*265,0)))</f>
        <v>2876.2478255374594</v>
      </c>
      <c r="AD46" s="4101">
        <f>IF(SUM(Table10s2!AD45,IFERROR(Table10s3!AD45*28,0),IFERROR(Table10s4!AD45*265,0))=0,"NO",SUM(Table10s2!AD45,IFERROR(Table10s3!AD45*28,0),IFERROR(Table10s4!AD45*265,0)))</f>
        <v>2942.3973541260038</v>
      </c>
      <c r="AE46" s="4101">
        <f>IF(SUM(Table10s2!AE45,IFERROR(Table10s3!AE45*28,0),IFERROR(Table10s4!AE45*265,0))=0,"NO",SUM(Table10s2!AE45,IFERROR(Table10s3!AE45*28,0),IFERROR(Table10s4!AE45*265,0)))</f>
        <v>2080.7858236746265</v>
      </c>
      <c r="AF46" s="4101">
        <f>IF(SUM(Table10s2!AF45,IFERROR(Table10s3!AF45*28,0),IFERROR(Table10s4!AF45*265,0))=0,"NO",SUM(Table10s2!AF45,IFERROR(Table10s3!AF45*28,0),IFERROR(Table10s4!AF45*265,0)))</f>
        <v>2168.8628637208508</v>
      </c>
      <c r="AG46" s="4101">
        <f>IF(SUM(Table10s2!AG45,IFERROR(Table10s3!AG45*28,0),IFERROR(Table10s4!AG45*265,0))=0,"NO",SUM(Table10s2!AG45,IFERROR(Table10s3!AG45*28,0),IFERROR(Table10s4!AG45*265,0)))</f>
        <v>1640.6285733500486</v>
      </c>
      <c r="AH46" s="4101">
        <f>IF(SUM(Table10s2!AH45,IFERROR(Table10s3!AH45*28,0),IFERROR(Table10s4!AH45*265,0))=0,"NO",SUM(Table10s2!AH45,IFERROR(Table10s3!AH45*28,0),IFERROR(Table10s4!AH45*265,0)))</f>
        <v>1656.9664118476046</v>
      </c>
      <c r="AI46" s="4101">
        <f>IF(SUM(Table10s2!AI45,IFERROR(Table10s3!AI45*28,0),IFERROR(Table10s4!AI45*265,0))=0,"NO",SUM(Table10s2!AI45,IFERROR(Table10s3!AI45*28,0),IFERROR(Table10s4!AI45*265,0)))</f>
        <v>926.63080056286844</v>
      </c>
      <c r="AJ46" s="4101">
        <f>IF(SUM(Table10s2!AJ45,IFERROR(Table10s3!AJ45*28,0),IFERROR(Table10s4!AJ45*265,0))=0,"NO",SUM(Table10s2!AJ45,IFERROR(Table10s3!AJ45*28,0),IFERROR(Table10s4!AJ45*265,0)))</f>
        <v>1380.8838283367377</v>
      </c>
      <c r="AK46" s="4101">
        <f>IF(SUM(Table10s2!AK45,IFERROR(Table10s3!AK45*28,0),IFERROR(Table10s4!AK45*265,0))=0,"NO",SUM(Table10s2!AK45,IFERROR(Table10s3!AK45*28,0),IFERROR(Table10s4!AK45*265,0)))</f>
        <v>1713.4666674825796</v>
      </c>
      <c r="AL46" s="4080">
        <f t="shared" si="2"/>
        <v>-59.320205493675118</v>
      </c>
    </row>
    <row r="47" spans="2:38" ht="18" customHeight="1" x14ac:dyDescent="0.2">
      <c r="B47" s="1131" t="s">
        <v>1264</v>
      </c>
      <c r="C47" s="2027"/>
      <c r="D47" s="2027"/>
      <c r="E47" s="4089">
        <f>IF(SUM(Table10s2!E46,IFERROR(Table10s3!E46*28,0),IFERROR(Table10s4!E46*265,0))=0,"NO",SUM(Table10s2!E46,IFERROR(Table10s3!E46*28,0),IFERROR(Table10s4!E46*265,0)))</f>
        <v>7561.8552719790314</v>
      </c>
      <c r="F47" s="4089">
        <f>IF(SUM(Table10s2!F46,IFERROR(Table10s3!F46*28,0),IFERROR(Table10s4!F46*265,0))=0,"NO",SUM(Table10s2!F46,IFERROR(Table10s3!F46*28,0),IFERROR(Table10s4!F46*265,0)))</f>
        <v>6855.9726813709876</v>
      </c>
      <c r="G47" s="4101">
        <f>IF(SUM(Table10s2!G46,IFERROR(Table10s3!G46*28,0),IFERROR(Table10s4!G46*265,0))=0,"NO",SUM(Table10s2!G46,IFERROR(Table10s3!G46*28,0),IFERROR(Table10s4!G46*265,0)))</f>
        <v>6871.9959034692656</v>
      </c>
      <c r="H47" s="4101">
        <f>IF(SUM(Table10s2!H46,IFERROR(Table10s3!H46*28,0),IFERROR(Table10s4!H46*265,0))=0,"NO",SUM(Table10s2!H46,IFERROR(Table10s3!H46*28,0),IFERROR(Table10s4!H46*265,0)))</f>
        <v>6652.4737262329027</v>
      </c>
      <c r="I47" s="4101">
        <f>IF(SUM(Table10s2!I46,IFERROR(Table10s3!I46*28,0),IFERROR(Table10s4!I46*265,0))=0,"NO",SUM(Table10s2!I46,IFERROR(Table10s3!I46*28,0),IFERROR(Table10s4!I46*265,0)))</f>
        <v>5874.1766978539517</v>
      </c>
      <c r="J47" s="4101">
        <f>IF(SUM(Table10s2!J46,IFERROR(Table10s3!J46*28,0),IFERROR(Table10s4!J46*265,0))=0,"NO",SUM(Table10s2!J46,IFERROR(Table10s3!J46*28,0),IFERROR(Table10s4!J46*265,0)))</f>
        <v>5319.2917608202097</v>
      </c>
      <c r="K47" s="4101">
        <f>IF(SUM(Table10s2!K46,IFERROR(Table10s3!K46*28,0),IFERROR(Table10s4!K46*265,0))=0,"NO",SUM(Table10s2!K46,IFERROR(Table10s3!K46*28,0),IFERROR(Table10s4!K46*265,0)))</f>
        <v>5043.416028147537</v>
      </c>
      <c r="L47" s="4101">
        <f>IF(SUM(Table10s2!L46,IFERROR(Table10s3!L46*28,0),IFERROR(Table10s4!L46*265,0))=0,"NO",SUM(Table10s2!L46,IFERROR(Table10s3!L46*28,0),IFERROR(Table10s4!L46*265,0)))</f>
        <v>5674.9587784481701</v>
      </c>
      <c r="M47" s="4101">
        <f>IF(SUM(Table10s2!M46,IFERROR(Table10s3!M46*28,0),IFERROR(Table10s4!M46*265,0))=0,"NO",SUM(Table10s2!M46,IFERROR(Table10s3!M46*28,0),IFERROR(Table10s4!M46*265,0)))</f>
        <v>4951.2936018584578</v>
      </c>
      <c r="N47" s="4101">
        <f>IF(SUM(Table10s2!N46,IFERROR(Table10s3!N46*28,0),IFERROR(Table10s4!N46*265,0))=0,"NO",SUM(Table10s2!N46,IFERROR(Table10s3!N46*28,0),IFERROR(Table10s4!N46*265,0)))</f>
        <v>4594.4054273156953</v>
      </c>
      <c r="O47" s="4101">
        <f>IF(SUM(Table10s2!O46,IFERROR(Table10s3!O46*28,0),IFERROR(Table10s4!O46*265,0))=0,"NO",SUM(Table10s2!O46,IFERROR(Table10s3!O46*28,0),IFERROR(Table10s4!O46*265,0)))</f>
        <v>5232.1360831601378</v>
      </c>
      <c r="P47" s="4101">
        <f>IF(SUM(Table10s2!P46,IFERROR(Table10s3!P46*28,0),IFERROR(Table10s4!P46*265,0))=0,"NO",SUM(Table10s2!P46,IFERROR(Table10s3!P46*28,0),IFERROR(Table10s4!P46*265,0)))</f>
        <v>4835.7266808383583</v>
      </c>
      <c r="Q47" s="4101">
        <f>IF(SUM(Table10s2!Q46,IFERROR(Table10s3!Q46*28,0),IFERROR(Table10s4!Q46*265,0))=0,"NO",SUM(Table10s2!Q46,IFERROR(Table10s3!Q46*28,0),IFERROR(Table10s4!Q46*265,0)))</f>
        <v>4643.1337601422256</v>
      </c>
      <c r="R47" s="4101">
        <f>IF(SUM(Table10s2!R46,IFERROR(Table10s3!R46*28,0),IFERROR(Table10s4!R46*265,0))=0,"NO",SUM(Table10s2!R46,IFERROR(Table10s3!R46*28,0),IFERROR(Table10s4!R46*265,0)))</f>
        <v>5016.2674235055229</v>
      </c>
      <c r="S47" s="4101">
        <f>IF(SUM(Table10s2!S46,IFERROR(Table10s3!S46*28,0),IFERROR(Table10s4!S46*265,0))=0,"NO",SUM(Table10s2!S46,IFERROR(Table10s3!S46*28,0),IFERROR(Table10s4!S46*265,0)))</f>
        <v>5583.5419795529115</v>
      </c>
      <c r="T47" s="4101">
        <f>IF(SUM(Table10s2!T46,IFERROR(Table10s3!T46*28,0),IFERROR(Table10s4!T46*265,0))=0,"NO",SUM(Table10s2!T46,IFERROR(Table10s3!T46*28,0),IFERROR(Table10s4!T46*265,0)))</f>
        <v>5280.948316501268</v>
      </c>
      <c r="U47" s="4101">
        <f>IF(SUM(Table10s2!U46,IFERROR(Table10s3!U46*28,0),IFERROR(Table10s4!U46*265,0))=0,"NO",SUM(Table10s2!U46,IFERROR(Table10s3!U46*28,0),IFERROR(Table10s4!U46*265,0)))</f>
        <v>6771.8491902248925</v>
      </c>
      <c r="V47" s="4101">
        <f>IF(SUM(Table10s2!V46,IFERROR(Table10s3!V46*28,0),IFERROR(Table10s4!V46*265,0))=0,"NO",SUM(Table10s2!V46,IFERROR(Table10s3!V46*28,0),IFERROR(Table10s4!V46*265,0)))</f>
        <v>4832.817490435019</v>
      </c>
      <c r="W47" s="4101">
        <f>IF(SUM(Table10s2!W46,IFERROR(Table10s3!W46*28,0),IFERROR(Table10s4!W46*265,0))=0,"NO",SUM(Table10s2!W46,IFERROR(Table10s3!W46*28,0),IFERROR(Table10s4!W46*265,0)))</f>
        <v>4959.9512391457756</v>
      </c>
      <c r="X47" s="4101">
        <f>IF(SUM(Table10s2!X46,IFERROR(Table10s3!X46*28,0),IFERROR(Table10s4!X46*265,0))=0,"NO",SUM(Table10s2!X46,IFERROR(Table10s3!X46*28,0),IFERROR(Table10s4!X46*265,0)))</f>
        <v>4374.2587661079951</v>
      </c>
      <c r="Y47" s="4101">
        <f>IF(SUM(Table10s2!Y46,IFERROR(Table10s3!Y46*28,0),IFERROR(Table10s4!Y46*265,0))=0,"NO",SUM(Table10s2!Y46,IFERROR(Table10s3!Y46*28,0),IFERROR(Table10s4!Y46*265,0)))</f>
        <v>4913.0229429143674</v>
      </c>
      <c r="Z47" s="4101">
        <f>IF(SUM(Table10s2!Z46,IFERROR(Table10s3!Z46*28,0),IFERROR(Table10s4!Z46*265,0))=0,"NO",SUM(Table10s2!Z46,IFERROR(Table10s3!Z46*28,0),IFERROR(Table10s4!Z46*265,0)))</f>
        <v>3956.0866059780947</v>
      </c>
      <c r="AA47" s="4101">
        <f>IF(SUM(Table10s2!AA46,IFERROR(Table10s3!AA46*28,0),IFERROR(Table10s4!AA46*265,0))=0,"NO",SUM(Table10s2!AA46,IFERROR(Table10s3!AA46*28,0),IFERROR(Table10s4!AA46*265,0)))</f>
        <v>4498.0155504481554</v>
      </c>
      <c r="AB47" s="4101">
        <f>IF(SUM(Table10s2!AB46,IFERROR(Table10s3!AB46*28,0),IFERROR(Table10s4!AB46*265,0))=0,"NO",SUM(Table10s2!AB46,IFERROR(Table10s3!AB46*28,0),IFERROR(Table10s4!AB46*265,0)))</f>
        <v>5040.6985761486649</v>
      </c>
      <c r="AC47" s="4101">
        <f>IF(SUM(Table10s2!AC46,IFERROR(Table10s3!AC46*28,0),IFERROR(Table10s4!AC46*265,0))=0,"NO",SUM(Table10s2!AC46,IFERROR(Table10s3!AC46*28,0),IFERROR(Table10s4!AC46*265,0)))</f>
        <v>4574.1417154264982</v>
      </c>
      <c r="AD47" s="4101">
        <f>IF(SUM(Table10s2!AD46,IFERROR(Table10s3!AD46*28,0),IFERROR(Table10s4!AD46*265,0))=0,"NO",SUM(Table10s2!AD46,IFERROR(Table10s3!AD46*28,0),IFERROR(Table10s4!AD46*265,0)))</f>
        <v>3734.4074574279339</v>
      </c>
      <c r="AE47" s="4101">
        <f>IF(SUM(Table10s2!AE46,IFERROR(Table10s3!AE46*28,0),IFERROR(Table10s4!AE46*265,0))=0,"NO",SUM(Table10s2!AE46,IFERROR(Table10s3!AE46*28,0),IFERROR(Table10s4!AE46*265,0)))</f>
        <v>3438.1603049668897</v>
      </c>
      <c r="AF47" s="4101">
        <f>IF(SUM(Table10s2!AF46,IFERROR(Table10s3!AF46*28,0),IFERROR(Table10s4!AF46*265,0))=0,"NO",SUM(Table10s2!AF46,IFERROR(Table10s3!AF46*28,0),IFERROR(Table10s4!AF46*265,0)))</f>
        <v>4488.6722567377265</v>
      </c>
      <c r="AG47" s="4101">
        <f>IF(SUM(Table10s2!AG46,IFERROR(Table10s3!AG46*28,0),IFERROR(Table10s4!AG46*265,0))=0,"NO",SUM(Table10s2!AG46,IFERROR(Table10s3!AG46*28,0),IFERROR(Table10s4!AG46*265,0)))</f>
        <v>3504.9728447082043</v>
      </c>
      <c r="AH47" s="4101">
        <f>IF(SUM(Table10s2!AH46,IFERROR(Table10s3!AH46*28,0),IFERROR(Table10s4!AH46*265,0))=0,"NO",SUM(Table10s2!AH46,IFERROR(Table10s3!AH46*28,0),IFERROR(Table10s4!AH46*265,0)))</f>
        <v>3166.9306239782172</v>
      </c>
      <c r="AI47" s="4101">
        <f>IF(SUM(Table10s2!AI46,IFERROR(Table10s3!AI46*28,0),IFERROR(Table10s4!AI46*265,0))=0,"NO",SUM(Table10s2!AI46,IFERROR(Table10s3!AI46*28,0),IFERROR(Table10s4!AI46*265,0)))</f>
        <v>3492.0399885248812</v>
      </c>
      <c r="AJ47" s="4101">
        <f>IF(SUM(Table10s2!AJ46,IFERROR(Table10s3!AJ46*28,0),IFERROR(Table10s4!AJ46*265,0))=0,"NO",SUM(Table10s2!AJ46,IFERROR(Table10s3!AJ46*28,0),IFERROR(Table10s4!AJ46*265,0)))</f>
        <v>2326.8590099367411</v>
      </c>
      <c r="AK47" s="4101">
        <f>IF(SUM(Table10s2!AK46,IFERROR(Table10s3!AK46*28,0),IFERROR(Table10s4!AK46*265,0))=0,"NO",SUM(Table10s2!AK46,IFERROR(Table10s3!AK46*28,0),IFERROR(Table10s4!AK46*265,0)))</f>
        <v>1778.3123825957712</v>
      </c>
      <c r="AL47" s="4080">
        <f t="shared" si="2"/>
        <v>-76.483120628010056</v>
      </c>
    </row>
    <row r="48" spans="2:38" ht="18" customHeight="1" x14ac:dyDescent="0.2">
      <c r="B48" s="1131" t="s">
        <v>1986</v>
      </c>
      <c r="C48" s="2027"/>
      <c r="D48" s="2027"/>
      <c r="E48" s="4089" t="str">
        <f>IF(SUM(Table10s2!E47,IFERROR(Table10s3!E47*28,0),IFERROR(Table10s4!E47*265,0))=0,"NO",SUM(Table10s2!E47,IFERROR(Table10s3!E47*28,0),IFERROR(Table10s4!E47*265,0)))</f>
        <v>NO</v>
      </c>
      <c r="F48" s="4089" t="str">
        <f>IF(SUM(Table10s2!F47,IFERROR(Table10s3!F47*28,0),IFERROR(Table10s4!F47*265,0))=0,"NO",SUM(Table10s2!F47,IFERROR(Table10s3!F47*28,0),IFERROR(Table10s4!F47*265,0)))</f>
        <v>NO</v>
      </c>
      <c r="G48" s="4101" t="str">
        <f>IF(SUM(Table10s2!G47,IFERROR(Table10s3!G47*28,0),IFERROR(Table10s4!G47*265,0))=0,"NO",SUM(Table10s2!G47,IFERROR(Table10s3!G47*28,0),IFERROR(Table10s4!G47*265,0)))</f>
        <v>NO</v>
      </c>
      <c r="H48" s="4101" t="str">
        <f>IF(SUM(Table10s2!H47,IFERROR(Table10s3!H47*28,0),IFERROR(Table10s4!H47*265,0))=0,"NO",SUM(Table10s2!H47,IFERROR(Table10s3!H47*28,0),IFERROR(Table10s4!H47*265,0)))</f>
        <v>NO</v>
      </c>
      <c r="I48" s="4101" t="str">
        <f>IF(SUM(Table10s2!I47,IFERROR(Table10s3!I47*28,0),IFERROR(Table10s4!I47*265,0))=0,"NO",SUM(Table10s2!I47,IFERROR(Table10s3!I47*28,0),IFERROR(Table10s4!I47*265,0)))</f>
        <v>NO</v>
      </c>
      <c r="J48" s="4101" t="str">
        <f>IF(SUM(Table10s2!J47,IFERROR(Table10s3!J47*28,0),IFERROR(Table10s4!J47*265,0))=0,"NO",SUM(Table10s2!J47,IFERROR(Table10s3!J47*28,0),IFERROR(Table10s4!J47*265,0)))</f>
        <v>NO</v>
      </c>
      <c r="K48" s="4101" t="str">
        <f>IF(SUM(Table10s2!K47,IFERROR(Table10s3!K47*28,0),IFERROR(Table10s4!K47*265,0))=0,"NO",SUM(Table10s2!K47,IFERROR(Table10s3!K47*28,0),IFERROR(Table10s4!K47*265,0)))</f>
        <v>NO</v>
      </c>
      <c r="L48" s="4101" t="str">
        <f>IF(SUM(Table10s2!L47,IFERROR(Table10s3!L47*28,0),IFERROR(Table10s4!L47*265,0))=0,"NO",SUM(Table10s2!L47,IFERROR(Table10s3!L47*28,0),IFERROR(Table10s4!L47*265,0)))</f>
        <v>NO</v>
      </c>
      <c r="M48" s="4101" t="str">
        <f>IF(SUM(Table10s2!M47,IFERROR(Table10s3!M47*28,0),IFERROR(Table10s4!M47*265,0))=0,"NO",SUM(Table10s2!M47,IFERROR(Table10s3!M47*28,0),IFERROR(Table10s4!M47*265,0)))</f>
        <v>NO</v>
      </c>
      <c r="N48" s="4101" t="str">
        <f>IF(SUM(Table10s2!N47,IFERROR(Table10s3!N47*28,0),IFERROR(Table10s4!N47*265,0))=0,"NO",SUM(Table10s2!N47,IFERROR(Table10s3!N47*28,0),IFERROR(Table10s4!N47*265,0)))</f>
        <v>NO</v>
      </c>
      <c r="O48" s="4101" t="str">
        <f>IF(SUM(Table10s2!O47,IFERROR(Table10s3!O47*28,0),IFERROR(Table10s4!O47*265,0))=0,"NO",SUM(Table10s2!O47,IFERROR(Table10s3!O47*28,0),IFERROR(Table10s4!O47*265,0)))</f>
        <v>NO</v>
      </c>
      <c r="P48" s="4101" t="str">
        <f>IF(SUM(Table10s2!P47,IFERROR(Table10s3!P47*28,0),IFERROR(Table10s4!P47*265,0))=0,"NO",SUM(Table10s2!P47,IFERROR(Table10s3!P47*28,0),IFERROR(Table10s4!P47*265,0)))</f>
        <v>NO</v>
      </c>
      <c r="Q48" s="4101" t="str">
        <f>IF(SUM(Table10s2!Q47,IFERROR(Table10s3!Q47*28,0),IFERROR(Table10s4!Q47*265,0))=0,"NO",SUM(Table10s2!Q47,IFERROR(Table10s3!Q47*28,0),IFERROR(Table10s4!Q47*265,0)))</f>
        <v>NO</v>
      </c>
      <c r="R48" s="4101" t="str">
        <f>IF(SUM(Table10s2!R47,IFERROR(Table10s3!R47*28,0),IFERROR(Table10s4!R47*265,0))=0,"NO",SUM(Table10s2!R47,IFERROR(Table10s3!R47*28,0),IFERROR(Table10s4!R47*265,0)))</f>
        <v>NO</v>
      </c>
      <c r="S48" s="4101" t="str">
        <f>IF(SUM(Table10s2!S47,IFERROR(Table10s3!S47*28,0),IFERROR(Table10s4!S47*265,0))=0,"NO",SUM(Table10s2!S47,IFERROR(Table10s3!S47*28,0),IFERROR(Table10s4!S47*265,0)))</f>
        <v>NO</v>
      </c>
      <c r="T48" s="4101" t="str">
        <f>IF(SUM(Table10s2!T47,IFERROR(Table10s3!T47*28,0),IFERROR(Table10s4!T47*265,0))=0,"NO",SUM(Table10s2!T47,IFERROR(Table10s3!T47*28,0),IFERROR(Table10s4!T47*265,0)))</f>
        <v>NO</v>
      </c>
      <c r="U48" s="4101" t="str">
        <f>IF(SUM(Table10s2!U47,IFERROR(Table10s3!U47*28,0),IFERROR(Table10s4!U47*265,0))=0,"NO",SUM(Table10s2!U47,IFERROR(Table10s3!U47*28,0),IFERROR(Table10s4!U47*265,0)))</f>
        <v>NO</v>
      </c>
      <c r="V48" s="4101" t="str">
        <f>IF(SUM(Table10s2!V47,IFERROR(Table10s3!V47*28,0),IFERROR(Table10s4!V47*265,0))=0,"NO",SUM(Table10s2!V47,IFERROR(Table10s3!V47*28,0),IFERROR(Table10s4!V47*265,0)))</f>
        <v>NO</v>
      </c>
      <c r="W48" s="4101" t="str">
        <f>IF(SUM(Table10s2!W47,IFERROR(Table10s3!W47*28,0),IFERROR(Table10s4!W47*265,0))=0,"NO",SUM(Table10s2!W47,IFERROR(Table10s3!W47*28,0),IFERROR(Table10s4!W47*265,0)))</f>
        <v>NO</v>
      </c>
      <c r="X48" s="4101" t="str">
        <f>IF(SUM(Table10s2!X47,IFERROR(Table10s3!X47*28,0),IFERROR(Table10s4!X47*265,0))=0,"NO",SUM(Table10s2!X47,IFERROR(Table10s3!X47*28,0),IFERROR(Table10s4!X47*265,0)))</f>
        <v>NO</v>
      </c>
      <c r="Y48" s="4101" t="str">
        <f>IF(SUM(Table10s2!Y47,IFERROR(Table10s3!Y47*28,0),IFERROR(Table10s4!Y47*265,0))=0,"NO",SUM(Table10s2!Y47,IFERROR(Table10s3!Y47*28,0),IFERROR(Table10s4!Y47*265,0)))</f>
        <v>NO</v>
      </c>
      <c r="Z48" s="4101" t="str">
        <f>IF(SUM(Table10s2!Z47,IFERROR(Table10s3!Z47*28,0),IFERROR(Table10s4!Z47*265,0))=0,"NO",SUM(Table10s2!Z47,IFERROR(Table10s3!Z47*28,0),IFERROR(Table10s4!Z47*265,0)))</f>
        <v>NO</v>
      </c>
      <c r="AA48" s="4101" t="str">
        <f>IF(SUM(Table10s2!AA47,IFERROR(Table10s3!AA47*28,0),IFERROR(Table10s4!AA47*265,0))=0,"NO",SUM(Table10s2!AA47,IFERROR(Table10s3!AA47*28,0),IFERROR(Table10s4!AA47*265,0)))</f>
        <v>NO</v>
      </c>
      <c r="AB48" s="4101" t="str">
        <f>IF(SUM(Table10s2!AB47,IFERROR(Table10s3!AB47*28,0),IFERROR(Table10s4!AB47*265,0))=0,"NO",SUM(Table10s2!AB47,IFERROR(Table10s3!AB47*28,0),IFERROR(Table10s4!AB47*265,0)))</f>
        <v>NO</v>
      </c>
      <c r="AC48" s="4101" t="str">
        <f>IF(SUM(Table10s2!AC47,IFERROR(Table10s3!AC47*28,0),IFERROR(Table10s4!AC47*265,0))=0,"NO",SUM(Table10s2!AC47,IFERROR(Table10s3!AC47*28,0),IFERROR(Table10s4!AC47*265,0)))</f>
        <v>NO</v>
      </c>
      <c r="AD48" s="4101" t="str">
        <f>IF(SUM(Table10s2!AD47,IFERROR(Table10s3!AD47*28,0),IFERROR(Table10s4!AD47*265,0))=0,"NO",SUM(Table10s2!AD47,IFERROR(Table10s3!AD47*28,0),IFERROR(Table10s4!AD47*265,0)))</f>
        <v>NO</v>
      </c>
      <c r="AE48" s="4101" t="str">
        <f>IF(SUM(Table10s2!AE47,IFERROR(Table10s3!AE47*28,0),IFERROR(Table10s4!AE47*265,0))=0,"NO",SUM(Table10s2!AE47,IFERROR(Table10s3!AE47*28,0),IFERROR(Table10s4!AE47*265,0)))</f>
        <v>NO</v>
      </c>
      <c r="AF48" s="4101" t="str">
        <f>IF(SUM(Table10s2!AF47,IFERROR(Table10s3!AF47*28,0),IFERROR(Table10s4!AF47*265,0))=0,"NO",SUM(Table10s2!AF47,IFERROR(Table10s3!AF47*28,0),IFERROR(Table10s4!AF47*265,0)))</f>
        <v>NO</v>
      </c>
      <c r="AG48" s="4101" t="str">
        <f>IF(SUM(Table10s2!AG47,IFERROR(Table10s3!AG47*28,0),IFERROR(Table10s4!AG47*265,0))=0,"NO",SUM(Table10s2!AG47,IFERROR(Table10s3!AG47*28,0),IFERROR(Table10s4!AG47*265,0)))</f>
        <v>NO</v>
      </c>
      <c r="AH48" s="4101" t="str">
        <f>IF(SUM(Table10s2!AH47,IFERROR(Table10s3!AH47*28,0),IFERROR(Table10s4!AH47*265,0))=0,"NO",SUM(Table10s2!AH47,IFERROR(Table10s3!AH47*28,0),IFERROR(Table10s4!AH47*265,0)))</f>
        <v>NO</v>
      </c>
      <c r="AI48" s="4101" t="str">
        <f>IF(SUM(Table10s2!AI47,IFERROR(Table10s3!AI47*28,0),IFERROR(Table10s4!AI47*265,0))=0,"NO",SUM(Table10s2!AI47,IFERROR(Table10s3!AI47*28,0),IFERROR(Table10s4!AI47*265,0)))</f>
        <v>NO</v>
      </c>
      <c r="AJ48" s="4101" t="str">
        <f>IF(SUM(Table10s2!AJ47,IFERROR(Table10s3!AJ47*28,0),IFERROR(Table10s4!AJ47*265,0))=0,"NO",SUM(Table10s2!AJ47,IFERROR(Table10s3!AJ47*28,0),IFERROR(Table10s4!AJ47*265,0)))</f>
        <v>NO</v>
      </c>
      <c r="AK48" s="4101" t="str">
        <f>IF(SUM(Table10s2!AK47,IFERROR(Table10s3!AK47*28,0),IFERROR(Table10s4!AK47*265,0))=0,"NO",SUM(Table10s2!AK47,IFERROR(Table10s3!AK47*28,0),IFERROR(Table10s4!AK47*265,0)))</f>
        <v>NO</v>
      </c>
      <c r="AL48" s="4080" t="str">
        <f t="shared" si="2"/>
        <v>NA</v>
      </c>
    </row>
    <row r="49" spans="2:38" ht="18" customHeight="1" x14ac:dyDescent="0.2">
      <c r="B49" s="1131" t="s">
        <v>1987</v>
      </c>
      <c r="C49" s="2254"/>
      <c r="D49" s="2254"/>
      <c r="E49" s="4102">
        <f>IF(SUM(Table10s2!E48,IFERROR(Table10s3!E48*28,0),IFERROR(Table10s4!E48*265,0))=0,"NO",SUM(Table10s2!E48,IFERROR(Table10s3!E48*28,0),IFERROR(Table10s4!E48*265,0)))</f>
        <v>-7137.3080203068521</v>
      </c>
      <c r="F49" s="4102">
        <f>IF(SUM(Table10s2!F48,IFERROR(Table10s3!F48*28,0),IFERROR(Table10s4!F48*265,0))=0,"NO",SUM(Table10s2!F48,IFERROR(Table10s3!F48*28,0),IFERROR(Table10s4!F48*265,0)))</f>
        <v>-6572.2454977899297</v>
      </c>
      <c r="G49" s="4103">
        <f>IF(SUM(Table10s2!G48,IFERROR(Table10s3!G48*28,0),IFERROR(Table10s4!G48*265,0))=0,"NO",SUM(Table10s2!G48,IFERROR(Table10s3!G48*28,0),IFERROR(Table10s4!G48*265,0)))</f>
        <v>-6703.3744109257241</v>
      </c>
      <c r="H49" s="4103">
        <f>IF(SUM(Table10s2!H48,IFERROR(Table10s3!H48*28,0),IFERROR(Table10s4!H48*265,0))=0,"NO",SUM(Table10s2!H48,IFERROR(Table10s3!H48*28,0),IFERROR(Table10s4!H48*265,0)))</f>
        <v>-6840.8518043933382</v>
      </c>
      <c r="I49" s="4103">
        <f>IF(SUM(Table10s2!I48,IFERROR(Table10s3!I48*28,0),IFERROR(Table10s4!I48*265,0))=0,"NO",SUM(Table10s2!I48,IFERROR(Table10s3!I48*28,0),IFERROR(Table10s4!I48*265,0)))</f>
        <v>-7113.9840572187732</v>
      </c>
      <c r="J49" s="4103">
        <f>IF(SUM(Table10s2!J48,IFERROR(Table10s3!J48*28,0),IFERROR(Table10s4!J48*265,0))=0,"NO",SUM(Table10s2!J48,IFERROR(Table10s3!J48*28,0),IFERROR(Table10s4!J48*265,0)))</f>
        <v>-7495.0422663802219</v>
      </c>
      <c r="K49" s="4103">
        <f>IF(SUM(Table10s2!K48,IFERROR(Table10s3!K48*28,0),IFERROR(Table10s4!K48*265,0))=0,"NO",SUM(Table10s2!K48,IFERROR(Table10s3!K48*28,0),IFERROR(Table10s4!K48*265,0)))</f>
        <v>-6409.2751637017127</v>
      </c>
      <c r="L49" s="4103">
        <f>IF(SUM(Table10s2!L48,IFERROR(Table10s3!L48*28,0),IFERROR(Table10s4!L48*265,0))=0,"NO",SUM(Table10s2!L48,IFERROR(Table10s3!L48*28,0),IFERROR(Table10s4!L48*265,0)))</f>
        <v>-6351.2423647902096</v>
      </c>
      <c r="M49" s="4103">
        <f>IF(SUM(Table10s2!M48,IFERROR(Table10s3!M48*28,0),IFERROR(Table10s4!M48*265,0))=0,"NO",SUM(Table10s2!M48,IFERROR(Table10s3!M48*28,0),IFERROR(Table10s4!M48*265,0)))</f>
        <v>-7135.2159216844802</v>
      </c>
      <c r="N49" s="4103">
        <f>IF(SUM(Table10s2!N48,IFERROR(Table10s3!N48*28,0),IFERROR(Table10s4!N48*265,0))=0,"NO",SUM(Table10s2!N48,IFERROR(Table10s3!N48*28,0),IFERROR(Table10s4!N48*265,0)))</f>
        <v>-6326.4708733316693</v>
      </c>
      <c r="O49" s="4103">
        <f>IF(SUM(Table10s2!O48,IFERROR(Table10s3!O48*28,0),IFERROR(Table10s4!O48*265,0))=0,"NO",SUM(Table10s2!O48,IFERROR(Table10s3!O48*28,0),IFERROR(Table10s4!O48*265,0)))</f>
        <v>-7727.6059780724609</v>
      </c>
      <c r="P49" s="4103">
        <f>IF(SUM(Table10s2!P48,IFERROR(Table10s3!P48*28,0),IFERROR(Table10s4!P48*265,0))=0,"NO",SUM(Table10s2!P48,IFERROR(Table10s3!P48*28,0),IFERROR(Table10s4!P48*265,0)))</f>
        <v>-6495.1079920120274</v>
      </c>
      <c r="Q49" s="4103">
        <f>IF(SUM(Table10s2!Q48,IFERROR(Table10s3!Q48*28,0),IFERROR(Table10s4!Q48*265,0))=0,"NO",SUM(Table10s2!Q48,IFERROR(Table10s3!Q48*28,0),IFERROR(Table10s4!Q48*265,0)))</f>
        <v>-6820.9855072035207</v>
      </c>
      <c r="R49" s="4103">
        <f>IF(SUM(Table10s2!R48,IFERROR(Table10s3!R48*28,0),IFERROR(Table10s4!R48*265,0))=0,"NO",SUM(Table10s2!R48,IFERROR(Table10s3!R48*28,0),IFERROR(Table10s4!R48*265,0)))</f>
        <v>-7362.331001772226</v>
      </c>
      <c r="S49" s="4103">
        <f>IF(SUM(Table10s2!S48,IFERROR(Table10s3!S48*28,0),IFERROR(Table10s4!S48*265,0))=0,"NO",SUM(Table10s2!S48,IFERROR(Table10s3!S48*28,0),IFERROR(Table10s4!S48*265,0)))</f>
        <v>-8043.9026478161604</v>
      </c>
      <c r="T49" s="4103">
        <f>IF(SUM(Table10s2!T48,IFERROR(Table10s3!T48*28,0),IFERROR(Table10s4!T48*265,0))=0,"NO",SUM(Table10s2!T48,IFERROR(Table10s3!T48*28,0),IFERROR(Table10s4!T48*265,0)))</f>
        <v>-7935.1036061938112</v>
      </c>
      <c r="U49" s="4103">
        <f>IF(SUM(Table10s2!U48,IFERROR(Table10s3!U48*28,0),IFERROR(Table10s4!U48*265,0))=0,"NO",SUM(Table10s2!U48,IFERROR(Table10s3!U48*28,0),IFERROR(Table10s4!U48*265,0)))</f>
        <v>-7505.3279406263191</v>
      </c>
      <c r="V49" s="4103">
        <f>IF(SUM(Table10s2!V48,IFERROR(Table10s3!V48*28,0),IFERROR(Table10s4!V48*265,0))=0,"NO",SUM(Table10s2!V48,IFERROR(Table10s3!V48*28,0),IFERROR(Table10s4!V48*265,0)))</f>
        <v>-6472.1362233364061</v>
      </c>
      <c r="W49" s="4103">
        <f>IF(SUM(Table10s2!W48,IFERROR(Table10s3!W48*28,0),IFERROR(Table10s4!W48*265,0))=0,"NO",SUM(Table10s2!W48,IFERROR(Table10s3!W48*28,0),IFERROR(Table10s4!W48*265,0)))</f>
        <v>-6362.3737142264654</v>
      </c>
      <c r="X49" s="4103">
        <f>IF(SUM(Table10s2!X48,IFERROR(Table10s3!X48*28,0),IFERROR(Table10s4!X48*265,0))=0,"NO",SUM(Table10s2!X48,IFERROR(Table10s3!X48*28,0),IFERROR(Table10s4!X48*265,0)))</f>
        <v>-4616.2887655963832</v>
      </c>
      <c r="Y49" s="4103">
        <f>IF(SUM(Table10s2!Y48,IFERROR(Table10s3!Y48*28,0),IFERROR(Table10s4!Y48*265,0))=0,"NO",SUM(Table10s2!Y48,IFERROR(Table10s3!Y48*28,0),IFERROR(Table10s4!Y48*265,0)))</f>
        <v>-4137.4360163754072</v>
      </c>
      <c r="Z49" s="4103">
        <f>IF(SUM(Table10s2!Z48,IFERROR(Table10s3!Z48*28,0),IFERROR(Table10s4!Z48*265,0))=0,"NO",SUM(Table10s2!Z48,IFERROR(Table10s3!Z48*28,0),IFERROR(Table10s4!Z48*265,0)))</f>
        <v>-4574.9038612327631</v>
      </c>
      <c r="AA49" s="4103">
        <f>IF(SUM(Table10s2!AA48,IFERROR(Table10s3!AA48*28,0),IFERROR(Table10s4!AA48*265,0))=0,"NO",SUM(Table10s2!AA48,IFERROR(Table10s3!AA48*28,0),IFERROR(Table10s4!AA48*265,0)))</f>
        <v>-3934.8637752528084</v>
      </c>
      <c r="AB49" s="4103">
        <f>IF(SUM(Table10s2!AB48,IFERROR(Table10s3!AB48*28,0),IFERROR(Table10s4!AB48*265,0))=0,"NO",SUM(Table10s2!AB48,IFERROR(Table10s3!AB48*28,0),IFERROR(Table10s4!AB48*265,0)))</f>
        <v>-3986.6566336709193</v>
      </c>
      <c r="AC49" s="4103">
        <f>IF(SUM(Table10s2!AC48,IFERROR(Table10s3!AC48*28,0),IFERROR(Table10s4!AC48*265,0))=0,"NO",SUM(Table10s2!AC48,IFERROR(Table10s3!AC48*28,0),IFERROR(Table10s4!AC48*265,0)))</f>
        <v>-3862.7706398082705</v>
      </c>
      <c r="AD49" s="4103">
        <f>IF(SUM(Table10s2!AD48,IFERROR(Table10s3!AD48*28,0),IFERROR(Table10s4!AD48*265,0))=0,"NO",SUM(Table10s2!AD48,IFERROR(Table10s3!AD48*28,0),IFERROR(Table10s4!AD48*265,0)))</f>
        <v>-4123.621565569576</v>
      </c>
      <c r="AE49" s="4103">
        <f>IF(SUM(Table10s2!AE48,IFERROR(Table10s3!AE48*28,0),IFERROR(Table10s4!AE48*265,0))=0,"NO",SUM(Table10s2!AE48,IFERROR(Table10s3!AE48*28,0),IFERROR(Table10s4!AE48*265,0)))</f>
        <v>-4395.905621051159</v>
      </c>
      <c r="AF49" s="4103">
        <f>IF(SUM(Table10s2!AF48,IFERROR(Table10s3!AF48*28,0),IFERROR(Table10s4!AF48*265,0))=0,"NO",SUM(Table10s2!AF48,IFERROR(Table10s3!AF48*28,0),IFERROR(Table10s4!AF48*265,0)))</f>
        <v>-4378.298643788431</v>
      </c>
      <c r="AG49" s="4103">
        <f>IF(SUM(Table10s2!AG48,IFERROR(Table10s3!AG48*28,0),IFERROR(Table10s4!AG48*265,0))=0,"NO",SUM(Table10s2!AG48,IFERROR(Table10s3!AG48*28,0),IFERROR(Table10s4!AG48*265,0)))</f>
        <v>-5088.8509395429901</v>
      </c>
      <c r="AH49" s="4103">
        <f>IF(SUM(Table10s2!AH48,IFERROR(Table10s3!AH48*28,0),IFERROR(Table10s4!AH48*265,0))=0,"NO",SUM(Table10s2!AH48,IFERROR(Table10s3!AH48*28,0),IFERROR(Table10s4!AH48*265,0)))</f>
        <v>-4952.4188151178632</v>
      </c>
      <c r="AI49" s="4103">
        <f>IF(SUM(Table10s2!AI48,IFERROR(Table10s3!AI48*28,0),IFERROR(Table10s4!AI48*265,0))=0,"NO",SUM(Table10s2!AI48,IFERROR(Table10s3!AI48*28,0),IFERROR(Table10s4!AI48*265,0)))</f>
        <v>-4419.7842800674098</v>
      </c>
      <c r="AJ49" s="4103">
        <f>IF(SUM(Table10s2!AJ48,IFERROR(Table10s3!AJ48*28,0),IFERROR(Table10s4!AJ48*265,0))=0,"NO",SUM(Table10s2!AJ48,IFERROR(Table10s3!AJ48*28,0),IFERROR(Table10s4!AJ48*265,0)))</f>
        <v>-4931.3029599785514</v>
      </c>
      <c r="AK49" s="4103">
        <f>IF(SUM(Table10s2!AK48,IFERROR(Table10s3!AK48*28,0),IFERROR(Table10s4!AK48*265,0))=0,"NO",SUM(Table10s2!AK48,IFERROR(Table10s3!AK48*28,0),IFERROR(Table10s4!AK48*265,0)))</f>
        <v>-5611.299467619222</v>
      </c>
      <c r="AL49" s="4080">
        <f t="shared" si="2"/>
        <v>-21.380729938316762</v>
      </c>
    </row>
    <row r="50" spans="2:38" ht="18" customHeight="1" thickBot="1" x14ac:dyDescent="0.25">
      <c r="B50" s="1375" t="s">
        <v>2383</v>
      </c>
      <c r="C50" s="2043"/>
      <c r="D50" s="2043"/>
      <c r="E50" s="4087">
        <f>IF(SUM(Table10s2!E49,IFERROR(Table10s3!E49*28,0),IFERROR(Table10s4!E49*265,0))=0,"NO",SUM(Table10s2!E49,IFERROR(Table10s3!E49*28,0),IFERROR(Table10s4!E49*265,0)))</f>
        <v>3.3808836285714294</v>
      </c>
      <c r="F50" s="4087">
        <f>IF(SUM(Table10s2!F49,IFERROR(Table10s3!F49*28,0),IFERROR(Table10s4!F49*265,0))=0,"NO",SUM(Table10s2!F49,IFERROR(Table10s3!F49*28,0),IFERROR(Table10s4!F49*265,0)))</f>
        <v>4.2500325214285715</v>
      </c>
      <c r="G50" s="4104">
        <f>IF(SUM(Table10s2!G49,IFERROR(Table10s3!G49*28,0),IFERROR(Table10s4!G49*265,0))=0,"NO",SUM(Table10s2!G49,IFERROR(Table10s3!G49*28,0),IFERROR(Table10s4!G49*265,0)))</f>
        <v>7.4528637857142863</v>
      </c>
      <c r="H50" s="4104">
        <f>IF(SUM(Table10s2!H49,IFERROR(Table10s3!H49*28,0),IFERROR(Table10s4!H49*265,0))=0,"NO",SUM(Table10s2!H49,IFERROR(Table10s3!H49*28,0),IFERROR(Table10s4!H49*265,0)))</f>
        <v>8.4156133285714301</v>
      </c>
      <c r="I50" s="4104">
        <f>IF(SUM(Table10s2!I49,IFERROR(Table10s3!I49*28,0),IFERROR(Table10s4!I49*265,0))=0,"NO",SUM(Table10s2!I49,IFERROR(Table10s3!I49*28,0),IFERROR(Table10s4!I49*265,0)))</f>
        <v>10.982945442857142</v>
      </c>
      <c r="J50" s="4104">
        <f>IF(SUM(Table10s2!J49,IFERROR(Table10s3!J49*28,0),IFERROR(Table10s4!J49*265,0))=0,"NO",SUM(Table10s2!J49,IFERROR(Table10s3!J49*28,0),IFERROR(Table10s4!J49*265,0)))</f>
        <v>9.0328146071428588</v>
      </c>
      <c r="K50" s="4104">
        <f>IF(SUM(Table10s2!K49,IFERROR(Table10s3!K49*28,0),IFERROR(Table10s4!K49*265,0))=0,"NO",SUM(Table10s2!K49,IFERROR(Table10s3!K49*28,0),IFERROR(Table10s4!K49*265,0)))</f>
        <v>9.7890093996200012</v>
      </c>
      <c r="L50" s="4104">
        <f>IF(SUM(Table10s2!L49,IFERROR(Table10s3!L49*28,0),IFERROR(Table10s4!L49*265,0))=0,"NO",SUM(Table10s2!L49,IFERROR(Table10s3!L49*28,0),IFERROR(Table10s4!L49*265,0)))</f>
        <v>10.276140993213335</v>
      </c>
      <c r="M50" s="4104">
        <f>IF(SUM(Table10s2!M49,IFERROR(Table10s3!M49*28,0),IFERROR(Table10s4!M49*265,0))=0,"NO",SUM(Table10s2!M49,IFERROR(Table10s3!M49*28,0),IFERROR(Table10s4!M49*265,0)))</f>
        <v>12.025347057879047</v>
      </c>
      <c r="N50" s="4104">
        <f>IF(SUM(Table10s2!N49,IFERROR(Table10s3!N49*28,0),IFERROR(Table10s4!N49*265,0))=0,"NO",SUM(Table10s2!N49,IFERROR(Table10s3!N49*28,0),IFERROR(Table10s4!N49*265,0)))</f>
        <v>14.739765907879049</v>
      </c>
      <c r="O50" s="4104">
        <f>IF(SUM(Table10s2!O49,IFERROR(Table10s3!O49*28,0),IFERROR(Table10s4!O49*265,0))=0,"NO",SUM(Table10s2!O49,IFERROR(Table10s3!O49*28,0),IFERROR(Table10s4!O49*265,0)))</f>
        <v>17.611754062629046</v>
      </c>
      <c r="P50" s="4104">
        <f>IF(SUM(Table10s2!P49,IFERROR(Table10s3!P49*28,0),IFERROR(Table10s4!P49*265,0))=0,"NO",SUM(Table10s2!P49,IFERROR(Table10s3!P49*28,0),IFERROR(Table10s4!P49*265,0)))</f>
        <v>21.330392825480793</v>
      </c>
      <c r="Q50" s="4104">
        <f>IF(SUM(Table10s2!Q49,IFERROR(Table10s3!Q49*28,0),IFERROR(Table10s4!Q49*265,0))=0,"NO",SUM(Table10s2!Q49,IFERROR(Table10s3!Q49*28,0),IFERROR(Table10s4!Q49*265,0)))</f>
        <v>25.97520007755427</v>
      </c>
      <c r="R50" s="4104">
        <f>IF(SUM(Table10s2!R49,IFERROR(Table10s3!R49*28,0),IFERROR(Table10s4!R49*265,0))=0,"NO",SUM(Table10s2!R49,IFERROR(Table10s3!R49*28,0),IFERROR(Table10s4!R49*265,0)))</f>
        <v>22.469605681502227</v>
      </c>
      <c r="S50" s="4104">
        <f>IF(SUM(Table10s2!S49,IFERROR(Table10s3!S49*28,0),IFERROR(Table10s4!S49*265,0))=0,"NO",SUM(Table10s2!S49,IFERROR(Table10s3!S49*28,0),IFERROR(Table10s4!S49*265,0)))</f>
        <v>24.363031580553812</v>
      </c>
      <c r="T50" s="4104">
        <f>IF(SUM(Table10s2!T49,IFERROR(Table10s3!T49*28,0),IFERROR(Table10s4!T49*265,0))=0,"NO",SUM(Table10s2!T49,IFERROR(Table10s3!T49*28,0),IFERROR(Table10s4!T49*265,0)))</f>
        <v>31.643091513272385</v>
      </c>
      <c r="U50" s="4104">
        <f>IF(SUM(Table10s2!U49,IFERROR(Table10s3!U49*28,0),IFERROR(Table10s4!U49*265,0))=0,"NO",SUM(Table10s2!U49,IFERROR(Table10s3!U49*28,0),IFERROR(Table10s4!U49*265,0)))</f>
        <v>35.262706986403813</v>
      </c>
      <c r="V50" s="4104">
        <f>IF(SUM(Table10s2!V49,IFERROR(Table10s3!V49*28,0),IFERROR(Table10s4!V49*265,0))=0,"NO",SUM(Table10s2!V49,IFERROR(Table10s3!V49*28,0),IFERROR(Table10s4!V49*265,0)))</f>
        <v>28.107474490506299</v>
      </c>
      <c r="W50" s="4104">
        <f>IF(SUM(Table10s2!W49,IFERROR(Table10s3!W49*28,0),IFERROR(Table10s4!W49*265,0))=0,"NO",SUM(Table10s2!W49,IFERROR(Table10s3!W49*28,0),IFERROR(Table10s4!W49*265,0)))</f>
        <v>83.849022296094802</v>
      </c>
      <c r="X50" s="4104">
        <f>IF(SUM(Table10s2!X49,IFERROR(Table10s3!X49*28,0),IFERROR(Table10s4!X49*265,0))=0,"NO",SUM(Table10s2!X49,IFERROR(Table10s3!X49*28,0),IFERROR(Table10s4!X49*265,0)))</f>
        <v>32.627966990292862</v>
      </c>
      <c r="Y50" s="4104">
        <f>IF(SUM(Table10s2!Y49,IFERROR(Table10s3!Y49*28,0),IFERROR(Table10s4!Y49*265,0))=0,"NO",SUM(Table10s2!Y49,IFERROR(Table10s3!Y49*28,0),IFERROR(Table10s4!Y49*265,0)))</f>
        <v>34.297041193424086</v>
      </c>
      <c r="Z50" s="4104">
        <f>IF(SUM(Table10s2!Z49,IFERROR(Table10s3!Z49*28,0),IFERROR(Table10s4!Z49*265,0))=0,"NO",SUM(Table10s2!Z49,IFERROR(Table10s3!Z49*28,0),IFERROR(Table10s4!Z49*265,0)))</f>
        <v>35.866316906311319</v>
      </c>
      <c r="AA50" s="4104">
        <f>IF(SUM(Table10s2!AA49,IFERROR(Table10s3!AA49*28,0),IFERROR(Table10s4!AA49*265,0))=0,"NO",SUM(Table10s2!AA49,IFERROR(Table10s3!AA49*28,0),IFERROR(Table10s4!AA49*265,0)))</f>
        <v>43.498624356522924</v>
      </c>
      <c r="AB50" s="4104">
        <f>IF(SUM(Table10s2!AB49,IFERROR(Table10s3!AB49*28,0),IFERROR(Table10s4!AB49*265,0))=0,"NO",SUM(Table10s2!AB49,IFERROR(Table10s3!AB49*28,0),IFERROR(Table10s4!AB49*265,0)))</f>
        <v>42.385400203108986</v>
      </c>
      <c r="AC50" s="4104">
        <f>IF(SUM(Table10s2!AC49,IFERROR(Table10s3!AC49*28,0),IFERROR(Table10s4!AC49*265,0))=0,"NO",SUM(Table10s2!AC49,IFERROR(Table10s3!AC49*28,0),IFERROR(Table10s4!AC49*265,0)))</f>
        <v>73.596903413781959</v>
      </c>
      <c r="AD50" s="4104">
        <f>IF(SUM(Table10s2!AD49,IFERROR(Table10s3!AD49*28,0),IFERROR(Table10s4!AD49*265,0))=0,"NO",SUM(Table10s2!AD49,IFERROR(Table10s3!AD49*28,0),IFERROR(Table10s4!AD49*265,0)))</f>
        <v>48.002838489762617</v>
      </c>
      <c r="AE50" s="4104">
        <f>IF(SUM(Table10s2!AE49,IFERROR(Table10s3!AE49*28,0),IFERROR(Table10s4!AE49*265,0))=0,"NO",SUM(Table10s2!AE49,IFERROR(Table10s3!AE49*28,0),IFERROR(Table10s4!AE49*265,0)))</f>
        <v>51.645527459035712</v>
      </c>
      <c r="AF50" s="4104">
        <f>IF(SUM(Table10s2!AF49,IFERROR(Table10s3!AF49*28,0),IFERROR(Table10s4!AF49*265,0))=0,"NO",SUM(Table10s2!AF49,IFERROR(Table10s3!AF49*28,0),IFERROR(Table10s4!AF49*265,0)))</f>
        <v>49.008738032335714</v>
      </c>
      <c r="AG50" s="4104">
        <f>IF(SUM(Table10s2!AG49,IFERROR(Table10s3!AG49*28,0),IFERROR(Table10s4!AG49*265,0))=0,"NO",SUM(Table10s2!AG49,IFERROR(Table10s3!AG49*28,0),IFERROR(Table10s4!AG49*265,0)))</f>
        <v>55.799039412442866</v>
      </c>
      <c r="AH50" s="4104">
        <f>IF(SUM(Table10s2!AH49,IFERROR(Table10s3!AH49*28,0),IFERROR(Table10s4!AH49*265,0))=0,"NO",SUM(Table10s2!AH49,IFERROR(Table10s3!AH49*28,0),IFERROR(Table10s4!AH49*265,0)))</f>
        <v>52.360766621428567</v>
      </c>
      <c r="AI50" s="4104">
        <f>IF(SUM(Table10s2!AI49,IFERROR(Table10s3!AI49*28,0),IFERROR(Table10s4!AI49*265,0))=0,"NO",SUM(Table10s2!AI49,IFERROR(Table10s3!AI49*28,0),IFERROR(Table10s4!AI49*265,0)))</f>
        <v>60.312812526292859</v>
      </c>
      <c r="AJ50" s="4104">
        <f>IF(SUM(Table10s2!AJ49,IFERROR(Table10s3!AJ49*28,0),IFERROR(Table10s4!AJ49*265,0))=0,"NO",SUM(Table10s2!AJ49,IFERROR(Table10s3!AJ49*28,0),IFERROR(Table10s4!AJ49*265,0)))</f>
        <v>76.33989657539145</v>
      </c>
      <c r="AK50" s="4104">
        <f>IF(SUM(Table10s2!AK49,IFERROR(Table10s3!AK49*28,0),IFERROR(Table10s4!AK49*265,0))=0,"NO",SUM(Table10s2!AK49,IFERROR(Table10s3!AK49*28,0),IFERROR(Table10s4!AK49*265,0)))</f>
        <v>76.33989657539145</v>
      </c>
      <c r="AL50" s="4086">
        <f t="shared" si="2"/>
        <v>2157.9865195670277</v>
      </c>
    </row>
    <row r="51" spans="2:38" ht="18" customHeight="1" x14ac:dyDescent="0.2">
      <c r="B51" s="774" t="s">
        <v>1955</v>
      </c>
      <c r="C51" s="2026"/>
      <c r="D51" s="2026"/>
      <c r="E51" s="4106">
        <f>IF(SUM(Table10s2!E50,IFERROR(Table10s3!E50*28,0),IFERROR(Table10s4!E50*265,0))=0,"NO",SUM(Table10s2!E50,IFERROR(Table10s3!E50*28,0),IFERROR(Table10s4!E50*265,0)))</f>
        <v>23462.242369878484</v>
      </c>
      <c r="F51" s="4106">
        <f>IF(SUM(Table10s2!F50,IFERROR(Table10s3!F50*28,0),IFERROR(Table10s4!F50*265,0))=0,"NO",SUM(Table10s2!F50,IFERROR(Table10s3!F50*28,0),IFERROR(Table10s4!F50*265,0)))</f>
        <v>23382.514012759864</v>
      </c>
      <c r="G51" s="4109">
        <f>IF(SUM(Table10s2!G50,IFERROR(Table10s3!G50*28,0),IFERROR(Table10s4!G50*265,0))=0,"NO",SUM(Table10s2!G50,IFERROR(Table10s3!G50*28,0),IFERROR(Table10s4!G50*265,0)))</f>
        <v>23116.229892708736</v>
      </c>
      <c r="H51" s="4109">
        <f>IF(SUM(Table10s2!H50,IFERROR(Table10s3!H50*28,0),IFERROR(Table10s4!H50*265,0))=0,"NO",SUM(Table10s2!H50,IFERROR(Table10s3!H50*28,0),IFERROR(Table10s4!H50*265,0)))</f>
        <v>22934.577165004932</v>
      </c>
      <c r="I51" s="4109">
        <f>IF(SUM(Table10s2!I50,IFERROR(Table10s3!I50*28,0),IFERROR(Table10s4!I50*265,0))=0,"NO",SUM(Table10s2!I50,IFERROR(Table10s3!I50*28,0),IFERROR(Table10s4!I50*265,0)))</f>
        <v>22162.114428334589</v>
      </c>
      <c r="J51" s="4109">
        <f>IF(SUM(Table10s2!J50,IFERROR(Table10s3!J50*28,0),IFERROR(Table10s4!J50*265,0))=0,"NO",SUM(Table10s2!J50,IFERROR(Table10s3!J50*28,0),IFERROR(Table10s4!J50*265,0)))</f>
        <v>22090.906289576451</v>
      </c>
      <c r="K51" s="4109">
        <f>IF(SUM(Table10s2!K50,IFERROR(Table10s3!K50*28,0),IFERROR(Table10s4!K50*265,0))=0,"NO",SUM(Table10s2!K50,IFERROR(Table10s3!K50*28,0),IFERROR(Table10s4!K50*265,0)))</f>
        <v>20222.438782658199</v>
      </c>
      <c r="L51" s="4109">
        <f>IF(SUM(Table10s2!L50,IFERROR(Table10s3!L50*28,0),IFERROR(Table10s4!L50*265,0))=0,"NO",SUM(Table10s2!L50,IFERROR(Table10s3!L50*28,0),IFERROR(Table10s4!L50*265,0)))</f>
        <v>19912.008923357575</v>
      </c>
      <c r="M51" s="4109">
        <f>IF(SUM(Table10s2!M50,IFERROR(Table10s3!M50*28,0),IFERROR(Table10s4!M50*265,0))=0,"NO",SUM(Table10s2!M50,IFERROR(Table10s3!M50*28,0),IFERROR(Table10s4!M50*265,0)))</f>
        <v>19087.095380204799</v>
      </c>
      <c r="N51" s="4109">
        <f>IF(SUM(Table10s2!N50,IFERROR(Table10s3!N50*28,0),IFERROR(Table10s4!N50*265,0))=0,"NO",SUM(Table10s2!N50,IFERROR(Table10s3!N50*28,0),IFERROR(Table10s4!N50*265,0)))</f>
        <v>19211.390951493104</v>
      </c>
      <c r="O51" s="4109">
        <f>IF(SUM(Table10s2!O50,IFERROR(Table10s3!O50*28,0),IFERROR(Table10s4!O50*265,0))=0,"NO",SUM(Table10s2!O50,IFERROR(Table10s3!O50*28,0),IFERROR(Table10s4!O50*265,0)))</f>
        <v>18568.995995174948</v>
      </c>
      <c r="P51" s="4109">
        <f>IF(SUM(Table10s2!P50,IFERROR(Table10s3!P50*28,0),IFERROR(Table10s4!P50*265,0))=0,"NO",SUM(Table10s2!P50,IFERROR(Table10s3!P50*28,0),IFERROR(Table10s4!P50*265,0)))</f>
        <v>18871.541900306078</v>
      </c>
      <c r="Q51" s="4109">
        <f>IF(SUM(Table10s2!Q50,IFERROR(Table10s3!Q50*28,0),IFERROR(Table10s4!Q50*265,0))=0,"NO",SUM(Table10s2!Q50,IFERROR(Table10s3!Q50*28,0),IFERROR(Table10s4!Q50*265,0)))</f>
        <v>18924.537583055186</v>
      </c>
      <c r="R51" s="4109">
        <f>IF(SUM(Table10s2!R50,IFERROR(Table10s3!R50*28,0),IFERROR(Table10s4!R50*265,0))=0,"NO",SUM(Table10s2!R50,IFERROR(Table10s3!R50*28,0),IFERROR(Table10s4!R50*265,0)))</f>
        <v>16308.240577835473</v>
      </c>
      <c r="S51" s="4109">
        <f>IF(SUM(Table10s2!S50,IFERROR(Table10s3!S50*28,0),IFERROR(Table10s4!S50*265,0))=0,"NO",SUM(Table10s2!S50,IFERROR(Table10s3!S50*28,0),IFERROR(Table10s4!S50*265,0)))</f>
        <v>15867.768603872604</v>
      </c>
      <c r="T51" s="4109">
        <f>IF(SUM(Table10s2!T50,IFERROR(Table10s3!T50*28,0),IFERROR(Table10s4!T50*265,0))=0,"NO",SUM(Table10s2!T50,IFERROR(Table10s3!T50*28,0),IFERROR(Table10s4!T50*265,0)))</f>
        <v>15714.010839593335</v>
      </c>
      <c r="U51" s="4109">
        <f>IF(SUM(Table10s2!U50,IFERROR(Table10s3!U50*28,0),IFERROR(Table10s4!U50*265,0))=0,"NO",SUM(Table10s2!U50,IFERROR(Table10s3!U50*28,0),IFERROR(Table10s4!U50*265,0)))</f>
        <v>15459.970310900118</v>
      </c>
      <c r="V51" s="4109">
        <f>IF(SUM(Table10s2!V50,IFERROR(Table10s3!V50*28,0),IFERROR(Table10s4!V50*265,0))=0,"NO",SUM(Table10s2!V50,IFERROR(Table10s3!V50*28,0),IFERROR(Table10s4!V50*265,0)))</f>
        <v>15851.44770957666</v>
      </c>
      <c r="W51" s="4109">
        <f>IF(SUM(Table10s2!W50,IFERROR(Table10s3!W50*28,0),IFERROR(Table10s4!W50*265,0))=0,"NO",SUM(Table10s2!W50,IFERROR(Table10s3!W50*28,0),IFERROR(Table10s4!W50*265,0)))</f>
        <v>16369.062851114684</v>
      </c>
      <c r="X51" s="4109">
        <f>IF(SUM(Table10s2!X50,IFERROR(Table10s3!X50*28,0),IFERROR(Table10s4!X50*265,0))=0,"NO",SUM(Table10s2!X50,IFERROR(Table10s3!X50*28,0),IFERROR(Table10s4!X50*265,0)))</f>
        <v>16190.618881487089</v>
      </c>
      <c r="Y51" s="4109">
        <f>IF(SUM(Table10s2!Y50,IFERROR(Table10s3!Y50*28,0),IFERROR(Table10s4!Y50*265,0))=0,"NO",SUM(Table10s2!Y50,IFERROR(Table10s3!Y50*28,0),IFERROR(Table10s4!Y50*265,0)))</f>
        <v>16038.858879645086</v>
      </c>
      <c r="Z51" s="4109">
        <f>IF(SUM(Table10s2!Z50,IFERROR(Table10s3!Z50*28,0),IFERROR(Table10s4!Z50*265,0))=0,"NO",SUM(Table10s2!Z50,IFERROR(Table10s3!Z50*28,0),IFERROR(Table10s4!Z50*265,0)))</f>
        <v>15579.101941602446</v>
      </c>
      <c r="AA51" s="4109">
        <f>IF(SUM(Table10s2!AA50,IFERROR(Table10s3!AA50*28,0),IFERROR(Table10s4!AA50*265,0))=0,"NO",SUM(Table10s2!AA50,IFERROR(Table10s3!AA50*28,0),IFERROR(Table10s4!AA50*265,0)))</f>
        <v>14247.852402386661</v>
      </c>
      <c r="AB51" s="4109">
        <f>IF(SUM(Table10s2!AB50,IFERROR(Table10s3!AB50*28,0),IFERROR(Table10s4!AB50*265,0))=0,"NO",SUM(Table10s2!AB50,IFERROR(Table10s3!AB50*28,0),IFERROR(Table10s4!AB50*265,0)))</f>
        <v>13273.956371931097</v>
      </c>
      <c r="AC51" s="4109">
        <f>IF(SUM(Table10s2!AC50,IFERROR(Table10s3!AC50*28,0),IFERROR(Table10s4!AC50*265,0))=0,"NO",SUM(Table10s2!AC50,IFERROR(Table10s3!AC50*28,0),IFERROR(Table10s4!AC50*265,0)))</f>
        <v>13223.498256885574</v>
      </c>
      <c r="AD51" s="4109">
        <f>IF(SUM(Table10s2!AD50,IFERROR(Table10s3!AD50*28,0),IFERROR(Table10s4!AD50*265,0))=0,"NO",SUM(Table10s2!AD50,IFERROR(Table10s3!AD50*28,0),IFERROR(Table10s4!AD50*265,0)))</f>
        <v>12707.179039094655</v>
      </c>
      <c r="AE51" s="4109">
        <f>IF(SUM(Table10s2!AE50,IFERROR(Table10s3!AE50*28,0),IFERROR(Table10s4!AE50*265,0))=0,"NO",SUM(Table10s2!AE50,IFERROR(Table10s3!AE50*28,0),IFERROR(Table10s4!AE50*265,0)))</f>
        <v>13066.422937610274</v>
      </c>
      <c r="AF51" s="4109">
        <f>IF(SUM(Table10s2!AF50,IFERROR(Table10s3!AF50*28,0),IFERROR(Table10s4!AF50*265,0))=0,"NO",SUM(Table10s2!AF50,IFERROR(Table10s3!AF50*28,0),IFERROR(Table10s4!AF50*265,0)))</f>
        <v>13319.54852588929</v>
      </c>
      <c r="AG51" s="4109">
        <f>IF(SUM(Table10s2!AG50,IFERROR(Table10s3!AG50*28,0),IFERROR(Table10s4!AG50*265,0))=0,"NO",SUM(Table10s2!AG50,IFERROR(Table10s3!AG50*28,0),IFERROR(Table10s4!AG50*265,0)))</f>
        <v>12811.983605659332</v>
      </c>
      <c r="AH51" s="4109">
        <f>IF(SUM(Table10s2!AH50,IFERROR(Table10s3!AH50*28,0),IFERROR(Table10s4!AH50*265,0))=0,"NO",SUM(Table10s2!AH50,IFERROR(Table10s3!AH50*28,0),IFERROR(Table10s4!AH50*265,0)))</f>
        <v>13242.063468390934</v>
      </c>
      <c r="AI51" s="4109">
        <f>IF(SUM(Table10s2!AI50,IFERROR(Table10s3!AI50*28,0),IFERROR(Table10s4!AI50*265,0))=0,"NO",SUM(Table10s2!AI50,IFERROR(Table10s3!AI50*28,0),IFERROR(Table10s4!AI50*265,0)))</f>
        <v>13534.563885994559</v>
      </c>
      <c r="AJ51" s="4109">
        <f>IF(SUM(Table10s2!AJ50,IFERROR(Table10s3!AJ50*28,0),IFERROR(Table10s4!AJ50*265,0))=0,"NO",SUM(Table10s2!AJ50,IFERROR(Table10s3!AJ50*28,0),IFERROR(Table10s4!AJ50*265,0)))</f>
        <v>13446.547723806647</v>
      </c>
      <c r="AK51" s="4109">
        <f>IF(SUM(Table10s2!AK50,IFERROR(Table10s3!AK50*28,0),IFERROR(Table10s4!AK50*265,0))=0,"NO",SUM(Table10s2!AK50,IFERROR(Table10s3!AK50*28,0),IFERROR(Table10s4!AK50*265,0)))</f>
        <v>13864.938285354081</v>
      </c>
      <c r="AL51" s="4080">
        <f t="shared" si="2"/>
        <v>-40.905314731748334</v>
      </c>
    </row>
    <row r="52" spans="2:38" ht="18" customHeight="1" x14ac:dyDescent="0.2">
      <c r="B52" s="1131" t="s">
        <v>2384</v>
      </c>
      <c r="C52" s="2027"/>
      <c r="D52" s="2027"/>
      <c r="E52" s="4089">
        <f>IF(SUM(Table10s2!E51,IFERROR(Table10s3!E51*28,0),IFERROR(Table10s4!E51*265,0))=0,"NO",SUM(Table10s2!E51,IFERROR(Table10s3!E51*28,0),IFERROR(Table10s4!E51*265,0)))</f>
        <v>17064.582617449447</v>
      </c>
      <c r="F52" s="4089">
        <f>IF(SUM(Table10s2!F51,IFERROR(Table10s3!F51*28,0),IFERROR(Table10s4!F51*265,0))=0,"NO",SUM(Table10s2!F51,IFERROR(Table10s3!F51*28,0),IFERROR(Table10s4!F51*265,0)))</f>
        <v>17044.793295696618</v>
      </c>
      <c r="G52" s="4101">
        <f>IF(SUM(Table10s2!G51,IFERROR(Table10s3!G51*28,0),IFERROR(Table10s4!G51*265,0))=0,"NO",SUM(Table10s2!G51,IFERROR(Table10s3!G51*28,0),IFERROR(Table10s4!G51*265,0)))</f>
        <v>16869.668586874184</v>
      </c>
      <c r="H52" s="4101">
        <f>IF(SUM(Table10s2!H51,IFERROR(Table10s3!H51*28,0),IFERROR(Table10s4!H51*265,0))=0,"NO",SUM(Table10s2!H51,IFERROR(Table10s3!H51*28,0),IFERROR(Table10s4!H51*265,0)))</f>
        <v>16821.147428203953</v>
      </c>
      <c r="I52" s="4101">
        <f>IF(SUM(Table10s2!I51,IFERROR(Table10s3!I51*28,0),IFERROR(Table10s4!I51*265,0))=0,"NO",SUM(Table10s2!I51,IFERROR(Table10s3!I51*28,0),IFERROR(Table10s4!I51*265,0)))</f>
        <v>16166.92553391103</v>
      </c>
      <c r="J52" s="4101">
        <f>IF(SUM(Table10s2!J51,IFERROR(Table10s3!J51*28,0),IFERROR(Table10s4!J51*265,0))=0,"NO",SUM(Table10s2!J51,IFERROR(Table10s3!J51*28,0),IFERROR(Table10s4!J51*265,0)))</f>
        <v>16304.158136431648</v>
      </c>
      <c r="K52" s="4101">
        <f>IF(SUM(Table10s2!K51,IFERROR(Table10s3!K51*28,0),IFERROR(Table10s4!K51*265,0))=0,"NO",SUM(Table10s2!K51,IFERROR(Table10s3!K51*28,0),IFERROR(Table10s4!K51*265,0)))</f>
        <v>14719.214853630405</v>
      </c>
      <c r="L52" s="4101">
        <f>IF(SUM(Table10s2!L51,IFERROR(Table10s3!L51*28,0),IFERROR(Table10s4!L51*265,0))=0,"NO",SUM(Table10s2!L51,IFERROR(Table10s3!L51*28,0),IFERROR(Table10s4!L51*265,0)))</f>
        <v>14588.873387284935</v>
      </c>
      <c r="M52" s="4101">
        <f>IF(SUM(Table10s2!M51,IFERROR(Table10s3!M51*28,0),IFERROR(Table10s4!M51*265,0))=0,"NO",SUM(Table10s2!M51,IFERROR(Table10s3!M51*28,0),IFERROR(Table10s4!M51*265,0)))</f>
        <v>13813.712430495529</v>
      </c>
      <c r="N52" s="4101">
        <f>IF(SUM(Table10s2!N51,IFERROR(Table10s3!N51*28,0),IFERROR(Table10s4!N51*265,0))=0,"NO",SUM(Table10s2!N51,IFERROR(Table10s3!N51*28,0),IFERROR(Table10s4!N51*265,0)))</f>
        <v>13951.053699362501</v>
      </c>
      <c r="O52" s="4101">
        <f>IF(SUM(Table10s2!O51,IFERROR(Table10s3!O51*28,0),IFERROR(Table10s4!O51*265,0))=0,"NO",SUM(Table10s2!O51,IFERROR(Table10s3!O51*28,0),IFERROR(Table10s4!O51*265,0)))</f>
        <v>13729.908905147284</v>
      </c>
      <c r="P52" s="4101">
        <f>IF(SUM(Table10s2!P51,IFERROR(Table10s3!P51*28,0),IFERROR(Table10s4!P51*265,0))=0,"NO",SUM(Table10s2!P51,IFERROR(Table10s3!P51*28,0),IFERROR(Table10s4!P51*265,0)))</f>
        <v>13779.437012656321</v>
      </c>
      <c r="Q52" s="4101">
        <f>IF(SUM(Table10s2!Q51,IFERROR(Table10s3!Q51*28,0),IFERROR(Table10s4!Q51*265,0))=0,"NO",SUM(Table10s2!Q51,IFERROR(Table10s3!Q51*28,0),IFERROR(Table10s4!Q51*265,0)))</f>
        <v>13973.549426853559</v>
      </c>
      <c r="R52" s="4101">
        <f>IF(SUM(Table10s2!R51,IFERROR(Table10s3!R51*28,0),IFERROR(Table10s4!R51*265,0))=0,"NO",SUM(Table10s2!R51,IFERROR(Table10s3!R51*28,0),IFERROR(Table10s4!R51*265,0)))</f>
        <v>12909.934931387852</v>
      </c>
      <c r="S52" s="4101">
        <f>IF(SUM(Table10s2!S51,IFERROR(Table10s3!S51*28,0),IFERROR(Table10s4!S51*265,0))=0,"NO",SUM(Table10s2!S51,IFERROR(Table10s3!S51*28,0),IFERROR(Table10s4!S51*265,0)))</f>
        <v>12418.597656939099</v>
      </c>
      <c r="T52" s="4101">
        <f>IF(SUM(Table10s2!T51,IFERROR(Table10s3!T51*28,0),IFERROR(Table10s4!T51*265,0))=0,"NO",SUM(Table10s2!T51,IFERROR(Table10s3!T51*28,0),IFERROR(Table10s4!T51*265,0)))</f>
        <v>12242.448776410869</v>
      </c>
      <c r="U52" s="4101">
        <f>IF(SUM(Table10s2!U51,IFERROR(Table10s3!U51*28,0),IFERROR(Table10s4!U51*265,0))=0,"NO",SUM(Table10s2!U51,IFERROR(Table10s3!U51*28,0),IFERROR(Table10s4!U51*265,0)))</f>
        <v>11941.089513589226</v>
      </c>
      <c r="V52" s="4101">
        <f>IF(SUM(Table10s2!V51,IFERROR(Table10s3!V51*28,0),IFERROR(Table10s4!V51*265,0))=0,"NO",SUM(Table10s2!V51,IFERROR(Table10s3!V51*28,0),IFERROR(Table10s4!V51*265,0)))</f>
        <v>12271.742770399615</v>
      </c>
      <c r="W52" s="4101">
        <f>IF(SUM(Table10s2!W51,IFERROR(Table10s3!W51*28,0),IFERROR(Table10s4!W51*265,0))=0,"NO",SUM(Table10s2!W51,IFERROR(Table10s3!W51*28,0),IFERROR(Table10s4!W51*265,0)))</f>
        <v>12738.975955154849</v>
      </c>
      <c r="X52" s="4101">
        <f>IF(SUM(Table10s2!X51,IFERROR(Table10s3!X51*28,0),IFERROR(Table10s4!X51*265,0))=0,"NO",SUM(Table10s2!X51,IFERROR(Table10s3!X51*28,0),IFERROR(Table10s4!X51*265,0)))</f>
        <v>12661.612596642764</v>
      </c>
      <c r="Y52" s="4101">
        <f>IF(SUM(Table10s2!Y51,IFERROR(Table10s3!Y51*28,0),IFERROR(Table10s4!Y51*265,0))=0,"NO",SUM(Table10s2!Y51,IFERROR(Table10s3!Y51*28,0),IFERROR(Table10s4!Y51*265,0)))</f>
        <v>12979.526734367564</v>
      </c>
      <c r="Z52" s="4101">
        <f>IF(SUM(Table10s2!Z51,IFERROR(Table10s3!Z51*28,0),IFERROR(Table10s4!Z51*265,0))=0,"NO",SUM(Table10s2!Z51,IFERROR(Table10s3!Z51*28,0),IFERROR(Table10s4!Z51*265,0)))</f>
        <v>12524.947400936146</v>
      </c>
      <c r="AA52" s="4101">
        <f>IF(SUM(Table10s2!AA51,IFERROR(Table10s3!AA51*28,0),IFERROR(Table10s4!AA51*265,0))=0,"NO",SUM(Table10s2!AA51,IFERROR(Table10s3!AA51*28,0),IFERROR(Table10s4!AA51*265,0)))</f>
        <v>11145.395944711583</v>
      </c>
      <c r="AB52" s="4101">
        <f>IF(SUM(Table10s2!AB51,IFERROR(Table10s3!AB51*28,0),IFERROR(Table10s4!AB51*265,0))=0,"NO",SUM(Table10s2!AB51,IFERROR(Table10s3!AB51*28,0),IFERROR(Table10s4!AB51*265,0)))</f>
        <v>10283.051983936139</v>
      </c>
      <c r="AC52" s="4101">
        <f>IF(SUM(Table10s2!AC51,IFERROR(Table10s3!AC51*28,0),IFERROR(Table10s4!AC51*265,0))=0,"NO",SUM(Table10s2!AC51,IFERROR(Table10s3!AC51*28,0),IFERROR(Table10s4!AC51*265,0)))</f>
        <v>10246.026072031244</v>
      </c>
      <c r="AD52" s="4101">
        <f>IF(SUM(Table10s2!AD51,IFERROR(Table10s3!AD51*28,0),IFERROR(Table10s4!AD51*265,0))=0,"NO",SUM(Table10s2!AD51,IFERROR(Table10s3!AD51*28,0),IFERROR(Table10s4!AD51*265,0)))</f>
        <v>9734.8158878363465</v>
      </c>
      <c r="AE52" s="4101">
        <f>IF(SUM(Table10s2!AE51,IFERROR(Table10s3!AE51*28,0),IFERROR(Table10s4!AE51*265,0))=0,"NO",SUM(Table10s2!AE51,IFERROR(Table10s3!AE51*28,0),IFERROR(Table10s4!AE51*265,0)))</f>
        <v>9863.5431647717523</v>
      </c>
      <c r="AF52" s="4101">
        <f>IF(SUM(Table10s2!AF51,IFERROR(Table10s3!AF51*28,0),IFERROR(Table10s4!AF51*265,0))=0,"NO",SUM(Table10s2!AF51,IFERROR(Table10s3!AF51*28,0),IFERROR(Table10s4!AF51*265,0)))</f>
        <v>10161.90535338217</v>
      </c>
      <c r="AG52" s="4101">
        <f>IF(SUM(Table10s2!AG51,IFERROR(Table10s3!AG51*28,0),IFERROR(Table10s4!AG51*265,0))=0,"NO",SUM(Table10s2!AG51,IFERROR(Table10s3!AG51*28,0),IFERROR(Table10s4!AG51*265,0)))</f>
        <v>9575.6034767048368</v>
      </c>
      <c r="AH52" s="4101">
        <f>IF(SUM(Table10s2!AH51,IFERROR(Table10s3!AH51*28,0),IFERROR(Table10s4!AH51*265,0))=0,"NO",SUM(Table10s2!AH51,IFERROR(Table10s3!AH51*28,0),IFERROR(Table10s4!AH51*265,0)))</f>
        <v>10191.166268401099</v>
      </c>
      <c r="AI52" s="4101">
        <f>IF(SUM(Table10s2!AI51,IFERROR(Table10s3!AI51*28,0),IFERROR(Table10s4!AI51*265,0))=0,"NO",SUM(Table10s2!AI51,IFERROR(Table10s3!AI51*28,0),IFERROR(Table10s4!AI51*265,0)))</f>
        <v>10254.446537187658</v>
      </c>
      <c r="AJ52" s="4101">
        <f>IF(SUM(Table10s2!AJ51,IFERROR(Table10s3!AJ51*28,0),IFERROR(Table10s4!AJ51*265,0))=0,"NO",SUM(Table10s2!AJ51,IFERROR(Table10s3!AJ51*28,0),IFERROR(Table10s4!AJ51*265,0)))</f>
        <v>10079.112871570302</v>
      </c>
      <c r="AK52" s="4101">
        <f>IF(SUM(Table10s2!AK51,IFERROR(Table10s3!AK51*28,0),IFERROR(Table10s4!AK51*265,0))=0,"NO",SUM(Table10s2!AK51,IFERROR(Table10s3!AK51*28,0),IFERROR(Table10s4!AK51*265,0)))</f>
        <v>10551.571629154652</v>
      </c>
      <c r="AL52" s="4080">
        <f t="shared" si="2"/>
        <v>-38.166834397900203</v>
      </c>
    </row>
    <row r="53" spans="2:38" ht="18" customHeight="1" x14ac:dyDescent="0.2">
      <c r="B53" s="1131" t="s">
        <v>1990</v>
      </c>
      <c r="C53" s="2027"/>
      <c r="D53" s="2027"/>
      <c r="E53" s="4089">
        <f>IF(SUM(Table10s2!E52,IFERROR(Table10s3!E52*28,0),IFERROR(Table10s4!E52*265,0))=0,"NO",SUM(Table10s2!E52,IFERROR(Table10s3!E52*28,0),IFERROR(Table10s4!E52*265,0)))</f>
        <v>21.688548924340473</v>
      </c>
      <c r="F53" s="4089">
        <f>IF(SUM(Table10s2!F52,IFERROR(Table10s3!F52*28,0),IFERROR(Table10s4!F52*265,0))=0,"NO",SUM(Table10s2!F52,IFERROR(Table10s3!F52*28,0),IFERROR(Table10s4!F52*265,0)))</f>
        <v>29.913654918717448</v>
      </c>
      <c r="G53" s="4101">
        <f>IF(SUM(Table10s2!G52,IFERROR(Table10s3!G52*28,0),IFERROR(Table10s4!G52*265,0))=0,"NO",SUM(Table10s2!G52,IFERROR(Table10s3!G52*28,0),IFERROR(Table10s4!G52*265,0)))</f>
        <v>38.138760913094885</v>
      </c>
      <c r="H53" s="4101">
        <f>IF(SUM(Table10s2!H52,IFERROR(Table10s3!H52*28,0),IFERROR(Table10s4!H52*265,0))=0,"NO",SUM(Table10s2!H52,IFERROR(Table10s3!H52*28,0),IFERROR(Table10s4!H52*265,0)))</f>
        <v>46.363866907472314</v>
      </c>
      <c r="I53" s="4101">
        <f>IF(SUM(Table10s2!I52,IFERROR(Table10s3!I52*28,0),IFERROR(Table10s4!I52*265,0))=0,"NO",SUM(Table10s2!I52,IFERROR(Table10s3!I52*28,0),IFERROR(Table10s4!I52*265,0)))</f>
        <v>54.588972901849615</v>
      </c>
      <c r="J53" s="4101">
        <f>IF(SUM(Table10s2!J52,IFERROR(Table10s3!J52*28,0),IFERROR(Table10s4!J52*265,0))=0,"NO",SUM(Table10s2!J52,IFERROR(Table10s3!J52*28,0),IFERROR(Table10s4!J52*265,0)))</f>
        <v>62.814078896226576</v>
      </c>
      <c r="K53" s="4101">
        <f>IF(SUM(Table10s2!K52,IFERROR(Table10s3!K52*28,0),IFERROR(Table10s4!K52*265,0))=0,"NO",SUM(Table10s2!K52,IFERROR(Table10s3!K52*28,0),IFERROR(Table10s4!K52*265,0)))</f>
        <v>71.03918489060402</v>
      </c>
      <c r="L53" s="4101">
        <f>IF(SUM(Table10s2!L52,IFERROR(Table10s3!L52*28,0),IFERROR(Table10s4!L52*265,0))=0,"NO",SUM(Table10s2!L52,IFERROR(Table10s3!L52*28,0),IFERROR(Table10s4!L52*265,0)))</f>
        <v>79.264290884981463</v>
      </c>
      <c r="M53" s="4101">
        <f>IF(SUM(Table10s2!M52,IFERROR(Table10s3!M52*28,0),IFERROR(Table10s4!M52*265,0))=0,"NO",SUM(Table10s2!M52,IFERROR(Table10s3!M52*28,0),IFERROR(Table10s4!M52*265,0)))</f>
        <v>87.489396879358878</v>
      </c>
      <c r="N53" s="4101">
        <f>IF(SUM(Table10s2!N52,IFERROR(Table10s3!N52*28,0),IFERROR(Table10s4!N52*265,0))=0,"NO",SUM(Table10s2!N52,IFERROR(Table10s3!N52*28,0),IFERROR(Table10s4!N52*265,0)))</f>
        <v>95.714502873736308</v>
      </c>
      <c r="O53" s="4101">
        <f>IF(SUM(Table10s2!O52,IFERROR(Table10s3!O52*28,0),IFERROR(Table10s4!O52*265,0))=0,"NO",SUM(Table10s2!O52,IFERROR(Table10s3!O52*28,0),IFERROR(Table10s4!O52*265,0)))</f>
        <v>103.93960886811328</v>
      </c>
      <c r="P53" s="4101">
        <f>IF(SUM(Table10s2!P52,IFERROR(Table10s3!P52*28,0),IFERROR(Table10s4!P52*265,0))=0,"NO",SUM(Table10s2!P52,IFERROR(Table10s3!P52*28,0),IFERROR(Table10s4!P52*265,0)))</f>
        <v>112.16471486249073</v>
      </c>
      <c r="Q53" s="4101">
        <f>IF(SUM(Table10s2!Q52,IFERROR(Table10s3!Q52*28,0),IFERROR(Table10s4!Q52*265,0))=0,"NO",SUM(Table10s2!Q52,IFERROR(Table10s3!Q52*28,0),IFERROR(Table10s4!Q52*265,0)))</f>
        <v>120.38982085686818</v>
      </c>
      <c r="R53" s="4101">
        <f>IF(SUM(Table10s2!R52,IFERROR(Table10s3!R52*28,0),IFERROR(Table10s4!R52*265,0))=0,"NO",SUM(Table10s2!R52,IFERROR(Table10s3!R52*28,0),IFERROR(Table10s4!R52*265,0)))</f>
        <v>128.6149268512456</v>
      </c>
      <c r="S53" s="4101">
        <f>IF(SUM(Table10s2!S52,IFERROR(Table10s3!S52*28,0),IFERROR(Table10s4!S52*265,0))=0,"NO",SUM(Table10s2!S52,IFERROR(Table10s3!S52*28,0),IFERROR(Table10s4!S52*265,0)))</f>
        <v>136.84003284562272</v>
      </c>
      <c r="T53" s="4101">
        <f>IF(SUM(Table10s2!T52,IFERROR(Table10s3!T52*28,0),IFERROR(Table10s4!T52*265,0))=0,"NO",SUM(Table10s2!T52,IFERROR(Table10s3!T52*28,0),IFERROR(Table10s4!T52*265,0)))</f>
        <v>145.06513884</v>
      </c>
      <c r="U53" s="4101">
        <f>IF(SUM(Table10s2!U52,IFERROR(Table10s3!U52*28,0),IFERROR(Table10s4!U52*265,0))=0,"NO",SUM(Table10s2!U52,IFERROR(Table10s3!U52*28,0),IFERROR(Table10s4!U52*265,0)))</f>
        <v>156.20776667999999</v>
      </c>
      <c r="V53" s="4101">
        <f>IF(SUM(Table10s2!V52,IFERROR(Table10s3!V52*28,0),IFERROR(Table10s4!V52*265,0))=0,"NO",SUM(Table10s2!V52,IFERROR(Table10s3!V52*28,0),IFERROR(Table10s4!V52*265,0)))</f>
        <v>164.92557636000001</v>
      </c>
      <c r="W53" s="4101">
        <f>IF(SUM(Table10s2!W52,IFERROR(Table10s3!W52*28,0),IFERROR(Table10s4!W52*265,0))=0,"NO",SUM(Table10s2!W52,IFERROR(Table10s3!W52*28,0),IFERROR(Table10s4!W52*265,0)))</f>
        <v>177.55087085999997</v>
      </c>
      <c r="X53" s="4101">
        <f>IF(SUM(Table10s2!X52,IFERROR(Table10s3!X52*28,0),IFERROR(Table10s4!X52*265,0))=0,"NO",SUM(Table10s2!X52,IFERROR(Table10s3!X52*28,0),IFERROR(Table10s4!X52*265,0)))</f>
        <v>186.25560814439999</v>
      </c>
      <c r="Y53" s="4101">
        <f>IF(SUM(Table10s2!Y52,IFERROR(Table10s3!Y52*28,0),IFERROR(Table10s4!Y52*265,0))=0,"NO",SUM(Table10s2!Y52,IFERROR(Table10s3!Y52*28,0),IFERROR(Table10s4!Y52*265,0)))</f>
        <v>210.67640722440001</v>
      </c>
      <c r="Z53" s="4101">
        <f>IF(SUM(Table10s2!Z52,IFERROR(Table10s3!Z52*28,0),IFERROR(Table10s4!Z52*265,0))=0,"NO",SUM(Table10s2!Z52,IFERROR(Table10s3!Z52*28,0),IFERROR(Table10s4!Z52*265,0)))</f>
        <v>244.75152502440002</v>
      </c>
      <c r="AA53" s="4101">
        <f>IF(SUM(Table10s2!AA52,IFERROR(Table10s3!AA52*28,0),IFERROR(Table10s4!AA52*265,0))=0,"NO",SUM(Table10s2!AA52,IFERROR(Table10s3!AA52*28,0),IFERROR(Table10s4!AA52*265,0)))</f>
        <v>249.00487220880001</v>
      </c>
      <c r="AB53" s="4101">
        <f>IF(SUM(Table10s2!AB52,IFERROR(Table10s3!AB52*28,0),IFERROR(Table10s4!AB52*265,0))=0,"NO",SUM(Table10s2!AB52,IFERROR(Table10s3!AB52*28,0),IFERROR(Table10s4!AB52*265,0)))</f>
        <v>253.26774005760001</v>
      </c>
      <c r="AC53" s="4101">
        <f>IF(SUM(Table10s2!AC52,IFERROR(Table10s3!AC52*28,0),IFERROR(Table10s4!AC52*265,0))=0,"NO",SUM(Table10s2!AC52,IFERROR(Table10s3!AC52*28,0),IFERROR(Table10s4!AC52*265,0)))</f>
        <v>257.02929600120001</v>
      </c>
      <c r="AD53" s="4101">
        <f>IF(SUM(Table10s2!AD52,IFERROR(Table10s3!AD52*28,0),IFERROR(Table10s4!AD52*265,0))=0,"NO",SUM(Table10s2!AD52,IFERROR(Table10s3!AD52*28,0),IFERROR(Table10s4!AD52*265,0)))</f>
        <v>260.62983378359996</v>
      </c>
      <c r="AE53" s="4101">
        <f>IF(SUM(Table10s2!AE52,IFERROR(Table10s3!AE52*28,0),IFERROR(Table10s4!AE52*265,0))=0,"NO",SUM(Table10s2!AE52,IFERROR(Table10s3!AE52*28,0),IFERROR(Table10s4!AE52*265,0)))</f>
        <v>267.35527935931782</v>
      </c>
      <c r="AF53" s="4101">
        <f>IF(SUM(Table10s2!AF52,IFERROR(Table10s3!AF52*28,0),IFERROR(Table10s4!AF52*265,0))=0,"NO",SUM(Table10s2!AF52,IFERROR(Table10s3!AF52*28,0),IFERROR(Table10s4!AF52*265,0)))</f>
        <v>271.57709137462973</v>
      </c>
      <c r="AG53" s="4101">
        <f>IF(SUM(Table10s2!AG52,IFERROR(Table10s3!AG52*28,0),IFERROR(Table10s4!AG52*265,0))=0,"NO",SUM(Table10s2!AG52,IFERROR(Table10s3!AG52*28,0),IFERROR(Table10s4!AG52*265,0)))</f>
        <v>275.94175959565672</v>
      </c>
      <c r="AH53" s="4101">
        <f>IF(SUM(Table10s2!AH52,IFERROR(Table10s3!AH52*28,0),IFERROR(Table10s4!AH52*265,0))=0,"NO",SUM(Table10s2!AH52,IFERROR(Table10s3!AH52*28,0),IFERROR(Table10s4!AH52*265,0)))</f>
        <v>278.01103666907625</v>
      </c>
      <c r="AI53" s="4101">
        <f>IF(SUM(Table10s2!AI52,IFERROR(Table10s3!AI52*28,0),IFERROR(Table10s4!AI52*265,0))=0,"NO",SUM(Table10s2!AI52,IFERROR(Table10s3!AI52*28,0),IFERROR(Table10s4!AI52*265,0)))</f>
        <v>281.58666281265846</v>
      </c>
      <c r="AJ53" s="4101">
        <f>IF(SUM(Table10s2!AJ52,IFERROR(Table10s3!AJ52*28,0),IFERROR(Table10s4!AJ52*265,0))=0,"NO",SUM(Table10s2!AJ52,IFERROR(Table10s3!AJ52*28,0),IFERROR(Table10s4!AJ52*265,0)))</f>
        <v>282.49573480109075</v>
      </c>
      <c r="AK53" s="4101">
        <f>IF(SUM(Table10s2!AK52,IFERROR(Table10s3!AK52*28,0),IFERROR(Table10s4!AK52*265,0))=0,"NO",SUM(Table10s2!AK52,IFERROR(Table10s3!AK52*28,0),IFERROR(Table10s4!AK52*265,0)))</f>
        <v>285.19778921672423</v>
      </c>
      <c r="AL53" s="4080">
        <f t="shared" si="2"/>
        <v>1214.9694348461203</v>
      </c>
    </row>
    <row r="54" spans="2:38" ht="18" customHeight="1" x14ac:dyDescent="0.2">
      <c r="B54" s="1131" t="s">
        <v>1991</v>
      </c>
      <c r="C54" s="2027"/>
      <c r="D54" s="2027"/>
      <c r="E54" s="4089">
        <f>IF(SUM(Table10s2!E53,IFERROR(Table10s3!E53*28,0),IFERROR(Table10s4!E53*265,0))=0,"NO",SUM(Table10s2!E53,IFERROR(Table10s3!E53*28,0),IFERROR(Table10s4!E53*265,0)))</f>
        <v>86.500937817785697</v>
      </c>
      <c r="F54" s="4089">
        <f>IF(SUM(Table10s2!F53,IFERROR(Table10s3!F53*28,0),IFERROR(Table10s4!F53*265,0))=0,"NO",SUM(Table10s2!F53,IFERROR(Table10s3!F53*28,0),IFERROR(Table10s4!F53*265,0)))</f>
        <v>86.648339359355276</v>
      </c>
      <c r="G54" s="4101">
        <f>IF(SUM(Table10s2!G53,IFERROR(Table10s3!G53*28,0),IFERROR(Table10s4!G53*265,0))=0,"NO",SUM(Table10s2!G53,IFERROR(Table10s3!G53*28,0),IFERROR(Table10s4!G53*265,0)))</f>
        <v>86.78710581852846</v>
      </c>
      <c r="H54" s="4101">
        <f>IF(SUM(Table10s2!H53,IFERROR(Table10s3!H53*28,0),IFERROR(Table10s4!H53*265,0))=0,"NO",SUM(Table10s2!H53,IFERROR(Table10s3!H53*28,0),IFERROR(Table10s4!H53*265,0)))</f>
        <v>86.920359503522292</v>
      </c>
      <c r="I54" s="4101">
        <f>IF(SUM(Table10s2!I53,IFERROR(Table10s3!I53*28,0),IFERROR(Table10s4!I53*265,0))=0,"NO",SUM(Table10s2!I53,IFERROR(Table10s3!I53*28,0),IFERROR(Table10s4!I53*265,0)))</f>
        <v>87.061490419369392</v>
      </c>
      <c r="J54" s="4101">
        <f>IF(SUM(Table10s2!J53,IFERROR(Table10s3!J53*28,0),IFERROR(Table10s4!J53*265,0))=0,"NO",SUM(Table10s2!J53,IFERROR(Table10s3!J53*28,0),IFERROR(Table10s4!J53*265,0)))</f>
        <v>92.75277134765264</v>
      </c>
      <c r="K54" s="4101">
        <f>IF(SUM(Table10s2!K53,IFERROR(Table10s3!K53*28,0),IFERROR(Table10s4!K53*265,0))=0,"NO",SUM(Table10s2!K53,IFERROR(Table10s3!K53*28,0),IFERROR(Table10s4!K53*265,0)))</f>
        <v>66.89029452751231</v>
      </c>
      <c r="L54" s="4101">
        <f>IF(SUM(Table10s2!L53,IFERROR(Table10s3!L53*28,0),IFERROR(Table10s4!L53*265,0))=0,"NO",SUM(Table10s2!L53,IFERROR(Table10s3!L53*28,0),IFERROR(Table10s4!L53*265,0)))</f>
        <v>28.498582921678484</v>
      </c>
      <c r="M54" s="4101">
        <f>IF(SUM(Table10s2!M53,IFERROR(Table10s3!M53*28,0),IFERROR(Table10s4!M53*265,0))=0,"NO",SUM(Table10s2!M53,IFERROR(Table10s3!M53*28,0),IFERROR(Table10s4!M53*265,0)))</f>
        <v>28.621172748861426</v>
      </c>
      <c r="N54" s="4101">
        <f>IF(SUM(Table10s2!N53,IFERROR(Table10s3!N53*28,0),IFERROR(Table10s4!N53*265,0))=0,"NO",SUM(Table10s2!N53,IFERROR(Table10s3!N53*28,0),IFERROR(Table10s4!N53*265,0)))</f>
        <v>29.325568882446802</v>
      </c>
      <c r="O54" s="4101">
        <f>IF(SUM(Table10s2!O53,IFERROR(Table10s3!O53*28,0),IFERROR(Table10s4!O53*265,0))=0,"NO",SUM(Table10s2!O53,IFERROR(Table10s3!O53*28,0),IFERROR(Table10s4!O53*265,0)))</f>
        <v>28.212514195710089</v>
      </c>
      <c r="P54" s="4101">
        <f>IF(SUM(Table10s2!P53,IFERROR(Table10s3!P53*28,0),IFERROR(Table10s4!P53*265,0))=0,"NO",SUM(Table10s2!P53,IFERROR(Table10s3!P53*28,0),IFERROR(Table10s4!P53*265,0)))</f>
        <v>28.362785964459299</v>
      </c>
      <c r="Q54" s="4101">
        <f>IF(SUM(Table10s2!Q53,IFERROR(Table10s3!Q53*28,0),IFERROR(Table10s4!Q53*265,0))=0,"NO",SUM(Table10s2!Q53,IFERROR(Table10s3!Q53*28,0),IFERROR(Table10s4!Q53*265,0)))</f>
        <v>28.521775413558473</v>
      </c>
      <c r="R54" s="4101">
        <f>IF(SUM(Table10s2!R53,IFERROR(Table10s3!R53*28,0),IFERROR(Table10s4!R53*265,0))=0,"NO",SUM(Table10s2!R53,IFERROR(Table10s3!R53*28,0),IFERROR(Table10s4!R53*265,0)))</f>
        <v>28.688468053852297</v>
      </c>
      <c r="S54" s="4101">
        <f>IF(SUM(Table10s2!S53,IFERROR(Table10s3!S53*28,0),IFERROR(Table10s4!S53*265,0))=0,"NO",SUM(Table10s2!S53,IFERROR(Table10s3!S53*28,0),IFERROR(Table10s4!S53*265,0)))</f>
        <v>28.845923344468943</v>
      </c>
      <c r="T54" s="4101">
        <f>IF(SUM(Table10s2!T53,IFERROR(Table10s3!T53*28,0),IFERROR(Table10s4!T53*265,0))=0,"NO",SUM(Table10s2!T53,IFERROR(Table10s3!T53*28,0),IFERROR(Table10s4!T53*265,0)))</f>
        <v>29.0183583726607</v>
      </c>
      <c r="U54" s="4101">
        <f>IF(SUM(Table10s2!U53,IFERROR(Table10s3!U53*28,0),IFERROR(Table10s4!U53*265,0))=0,"NO",SUM(Table10s2!U53,IFERROR(Table10s3!U53*28,0),IFERROR(Table10s4!U53*265,0)))</f>
        <v>29.308601056242154</v>
      </c>
      <c r="V54" s="4101">
        <f>IF(SUM(Table10s2!V53,IFERROR(Table10s3!V53*28,0),IFERROR(Table10s4!V53*265,0))=0,"NO",SUM(Table10s2!V53,IFERROR(Table10s3!V53*28,0),IFERROR(Table10s4!V53*265,0)))</f>
        <v>29.670531219562221</v>
      </c>
      <c r="W54" s="4101">
        <f>IF(SUM(Table10s2!W53,IFERROR(Table10s3!W53*28,0),IFERROR(Table10s4!W53*265,0))=0,"NO",SUM(Table10s2!W53,IFERROR(Table10s3!W53*28,0),IFERROR(Table10s4!W53*265,0)))</f>
        <v>30.138931124908421</v>
      </c>
      <c r="X54" s="4101">
        <f>IF(SUM(Table10s2!X53,IFERROR(Table10s3!X53*28,0),IFERROR(Table10s4!X53*265,0))=0,"NO",SUM(Table10s2!X53,IFERROR(Table10s3!X53*28,0),IFERROR(Table10s4!X53*265,0)))</f>
        <v>30.577141562580699</v>
      </c>
      <c r="Y54" s="4101">
        <f>IF(SUM(Table10s2!Y53,IFERROR(Table10s3!Y53*28,0),IFERROR(Table10s4!Y53*265,0))=0,"NO",SUM(Table10s2!Y53,IFERROR(Table10s3!Y53*28,0),IFERROR(Table10s4!Y53*265,0)))</f>
        <v>30.362806605700698</v>
      </c>
      <c r="Z54" s="4101">
        <f>IF(SUM(Table10s2!Z53,IFERROR(Table10s3!Z53*28,0),IFERROR(Table10s4!Z53*265,0))=0,"NO",SUM(Table10s2!Z53,IFERROR(Table10s3!Z53*28,0),IFERROR(Table10s4!Z53*265,0)))</f>
        <v>30.475238146900701</v>
      </c>
      <c r="AA54" s="4101">
        <f>IF(SUM(Table10s2!AA53,IFERROR(Table10s3!AA53*28,0),IFERROR(Table10s4!AA53*265,0))=0,"NO",SUM(Table10s2!AA53,IFERROR(Table10s3!AA53*28,0),IFERROR(Table10s4!AA53*265,0)))</f>
        <v>30.629801780740696</v>
      </c>
      <c r="AB54" s="4101">
        <f>IF(SUM(Table10s2!AB53,IFERROR(Table10s3!AB53*28,0),IFERROR(Table10s4!AB53*265,0))=0,"NO",SUM(Table10s2!AB53,IFERROR(Table10s3!AB53*28,0),IFERROR(Table10s4!AB53*265,0)))</f>
        <v>31.081119583060698</v>
      </c>
      <c r="AC54" s="4101">
        <f>IF(SUM(Table10s2!AC53,IFERROR(Table10s3!AC53*28,0),IFERROR(Table10s4!AC53*265,0))=0,"NO",SUM(Table10s2!AC53,IFERROR(Table10s3!AC53*28,0),IFERROR(Table10s4!AC53*265,0)))</f>
        <v>31.499220380900699</v>
      </c>
      <c r="AD54" s="4101">
        <f>IF(SUM(Table10s2!AD53,IFERROR(Table10s3!AD53*28,0),IFERROR(Table10s4!AD53*265,0))=0,"NO",SUM(Table10s2!AD53,IFERROR(Table10s3!AD53*28,0),IFERROR(Table10s4!AD53*265,0)))</f>
        <v>31.180693138900697</v>
      </c>
      <c r="AE54" s="4101">
        <f>IF(SUM(Table10s2!AE53,IFERROR(Table10s3!AE53*28,0),IFERROR(Table10s4!AE53*265,0))=0,"NO",SUM(Table10s2!AE53,IFERROR(Table10s3!AE53*28,0),IFERROR(Table10s4!AE53*265,0)))</f>
        <v>31.331062638344687</v>
      </c>
      <c r="AF54" s="4101">
        <f>IF(SUM(Table10s2!AF53,IFERROR(Table10s3!AF53*28,0),IFERROR(Table10s4!AF53*265,0))=0,"NO",SUM(Table10s2!AF53,IFERROR(Table10s3!AF53*28,0),IFERROR(Table10s4!AF53*265,0)))</f>
        <v>31.457446360654316</v>
      </c>
      <c r="AG54" s="4101">
        <f>IF(SUM(Table10s2!AG53,IFERROR(Table10s3!AG53*28,0),IFERROR(Table10s4!AG53*265,0))=0,"NO",SUM(Table10s2!AG53,IFERROR(Table10s3!AG53*28,0),IFERROR(Table10s4!AG53*265,0)))</f>
        <v>31.414508582309281</v>
      </c>
      <c r="AH54" s="4101">
        <f>IF(SUM(Table10s2!AH53,IFERROR(Table10s3!AH53*28,0),IFERROR(Table10s4!AH53*265,0))=0,"NO",SUM(Table10s2!AH53,IFERROR(Table10s3!AH53*28,0),IFERROR(Table10s4!AH53*265,0)))</f>
        <v>31.383403080597994</v>
      </c>
      <c r="AI54" s="4101">
        <f>IF(SUM(Table10s2!AI53,IFERROR(Table10s3!AI53*28,0),IFERROR(Table10s4!AI53*265,0))=0,"NO",SUM(Table10s2!AI53,IFERROR(Table10s3!AI53*28,0),IFERROR(Table10s4!AI53*265,0)))</f>
        <v>31.466299785649113</v>
      </c>
      <c r="AJ54" s="4101">
        <f>IF(SUM(Table10s2!AJ53,IFERROR(Table10s3!AJ53*28,0),IFERROR(Table10s4!AJ53*265,0))=0,"NO",SUM(Table10s2!AJ53,IFERROR(Table10s3!AJ53*28,0),IFERROR(Table10s4!AJ53*265,0)))</f>
        <v>32.297548304455532</v>
      </c>
      <c r="AK54" s="4101">
        <f>IF(SUM(Table10s2!AK53,IFERROR(Table10s3!AK53*28,0),IFERROR(Table10s4!AK53*265,0))=0,"NO",SUM(Table10s2!AK53,IFERROR(Table10s3!AK53*28,0),IFERROR(Table10s4!AK53*265,0)))</f>
        <v>32.439473766742161</v>
      </c>
      <c r="AL54" s="4080">
        <f t="shared" si="2"/>
        <v>-62.498124777472427</v>
      </c>
    </row>
    <row r="55" spans="2:38" ht="18" customHeight="1" x14ac:dyDescent="0.2">
      <c r="B55" s="1131" t="s">
        <v>1959</v>
      </c>
      <c r="C55" s="2027"/>
      <c r="D55" s="2027"/>
      <c r="E55" s="4089">
        <f>IF(SUM(Table10s2!E54,IFERROR(Table10s3!E54*28,0),IFERROR(Table10s4!E54*265,0))=0,"NO",SUM(Table10s2!E54,IFERROR(Table10s3!E54*28,0),IFERROR(Table10s4!E54*265,0)))</f>
        <v>6289.4702656869067</v>
      </c>
      <c r="F55" s="4089">
        <f>IF(SUM(Table10s2!F54,IFERROR(Table10s3!F54*28,0),IFERROR(Table10s4!F54*265,0))=0,"NO",SUM(Table10s2!F54,IFERROR(Table10s3!F54*28,0),IFERROR(Table10s4!F54*265,0)))</f>
        <v>6221.1587227851714</v>
      </c>
      <c r="G55" s="4101">
        <f>IF(SUM(Table10s2!G54,IFERROR(Table10s3!G54*28,0),IFERROR(Table10s4!G54*265,0))=0,"NO",SUM(Table10s2!G54,IFERROR(Table10s3!G54*28,0),IFERROR(Table10s4!G54*265,0)))</f>
        <v>6121.6354391029217</v>
      </c>
      <c r="H55" s="4101">
        <f>IF(SUM(Table10s2!H54,IFERROR(Table10s3!H54*28,0),IFERROR(Table10s4!H54*265,0))=0,"NO",SUM(Table10s2!H54,IFERROR(Table10s3!H54*28,0),IFERROR(Table10s4!H54*265,0)))</f>
        <v>5980.1455103899889</v>
      </c>
      <c r="I55" s="4101">
        <f>IF(SUM(Table10s2!I54,IFERROR(Table10s3!I54*28,0),IFERROR(Table10s4!I54*265,0))=0,"NO",SUM(Table10s2!I54,IFERROR(Table10s3!I54*28,0),IFERROR(Table10s4!I54*265,0)))</f>
        <v>5853.5384311023436</v>
      </c>
      <c r="J55" s="4101">
        <f>IF(SUM(Table10s2!J54,IFERROR(Table10s3!J54*28,0),IFERROR(Table10s4!J54*265,0))=0,"NO",SUM(Table10s2!J54,IFERROR(Table10s3!J54*28,0),IFERROR(Table10s4!J54*265,0)))</f>
        <v>5631.1813029009245</v>
      </c>
      <c r="K55" s="4101">
        <f>IF(SUM(Table10s2!K54,IFERROR(Table10s3!K54*28,0),IFERROR(Table10s4!K54*265,0))=0,"NO",SUM(Table10s2!K54,IFERROR(Table10s3!K54*28,0),IFERROR(Table10s4!K54*265,0)))</f>
        <v>5365.2944496096734</v>
      </c>
      <c r="L55" s="4101">
        <f>IF(SUM(Table10s2!L54,IFERROR(Table10s3!L54*28,0),IFERROR(Table10s4!L54*265,0))=0,"NO",SUM(Table10s2!L54,IFERROR(Table10s3!L54*28,0),IFERROR(Table10s4!L54*265,0)))</f>
        <v>5215.3726622659751</v>
      </c>
      <c r="M55" s="4101">
        <f>IF(SUM(Table10s2!M54,IFERROR(Table10s3!M54*28,0),IFERROR(Table10s4!M54*265,0))=0,"NO",SUM(Table10s2!M54,IFERROR(Table10s3!M54*28,0),IFERROR(Table10s4!M54*265,0)))</f>
        <v>5157.2723800810518</v>
      </c>
      <c r="N55" s="4101">
        <f>IF(SUM(Table10s2!N54,IFERROR(Table10s3!N54*28,0),IFERROR(Table10s4!N54*265,0))=0,"NO",SUM(Table10s2!N54,IFERROR(Table10s3!N54*28,0),IFERROR(Table10s4!N54*265,0)))</f>
        <v>5135.2971803744213</v>
      </c>
      <c r="O55" s="4101">
        <f>IF(SUM(Table10s2!O54,IFERROR(Table10s3!O54*28,0),IFERROR(Table10s4!O54*265,0))=0,"NO",SUM(Table10s2!O54,IFERROR(Table10s3!O54*28,0),IFERROR(Table10s4!O54*265,0)))</f>
        <v>4706.9349669638405</v>
      </c>
      <c r="P55" s="4101">
        <f>IF(SUM(Table10s2!P54,IFERROR(Table10s3!P54*28,0),IFERROR(Table10s4!P54*265,0))=0,"NO",SUM(Table10s2!P54,IFERROR(Table10s3!P54*28,0),IFERROR(Table10s4!P54*265,0)))</f>
        <v>4951.577386822808</v>
      </c>
      <c r="Q55" s="4101">
        <f>IF(SUM(Table10s2!Q54,IFERROR(Table10s3!Q54*28,0),IFERROR(Table10s4!Q54*265,0))=0,"NO",SUM(Table10s2!Q54,IFERROR(Table10s3!Q54*28,0),IFERROR(Table10s4!Q54*265,0)))</f>
        <v>4802.076559931199</v>
      </c>
      <c r="R55" s="4101">
        <f>IF(SUM(Table10s2!R54,IFERROR(Table10s3!R54*28,0),IFERROR(Table10s4!R54*265,0))=0,"NO",SUM(Table10s2!R54,IFERROR(Table10s3!R54*28,0),IFERROR(Table10s4!R54*265,0)))</f>
        <v>3241.0022515425226</v>
      </c>
      <c r="S55" s="4101">
        <f>IF(SUM(Table10s2!S54,IFERROR(Table10s3!S54*28,0),IFERROR(Table10s4!S54*265,0))=0,"NO",SUM(Table10s2!S54,IFERROR(Table10s3!S54*28,0),IFERROR(Table10s4!S54*265,0)))</f>
        <v>3283.4849907434141</v>
      </c>
      <c r="T55" s="4101">
        <f>IF(SUM(Table10s2!T54,IFERROR(Table10s3!T54*28,0),IFERROR(Table10s4!T54*265,0))=0,"NO",SUM(Table10s2!T54,IFERROR(Table10s3!T54*28,0),IFERROR(Table10s4!T54*265,0)))</f>
        <v>3297.4785659698055</v>
      </c>
      <c r="U55" s="4101">
        <f>IF(SUM(Table10s2!U54,IFERROR(Table10s3!U54*28,0),IFERROR(Table10s4!U54*265,0))=0,"NO",SUM(Table10s2!U54,IFERROR(Table10s3!U54*28,0),IFERROR(Table10s4!U54*265,0)))</f>
        <v>3333.3644295746526</v>
      </c>
      <c r="V55" s="4101">
        <f>IF(SUM(Table10s2!V54,IFERROR(Table10s3!V54*28,0),IFERROR(Table10s4!V54*265,0))=0,"NO",SUM(Table10s2!V54,IFERROR(Table10s3!V54*28,0),IFERROR(Table10s4!V54*265,0)))</f>
        <v>3385.1088315974821</v>
      </c>
      <c r="W55" s="4101">
        <f>IF(SUM(Table10s2!W54,IFERROR(Table10s3!W54*28,0),IFERROR(Table10s4!W54*265,0))=0,"NO",SUM(Table10s2!W54,IFERROR(Table10s3!W54*28,0),IFERROR(Table10s4!W54*265,0)))</f>
        <v>3422.3970939749279</v>
      </c>
      <c r="X55" s="4101">
        <f>IF(SUM(Table10s2!X54,IFERROR(Table10s3!X54*28,0),IFERROR(Table10s4!X54*265,0))=0,"NO",SUM(Table10s2!X54,IFERROR(Table10s3!X54*28,0),IFERROR(Table10s4!X54*265,0)))</f>
        <v>3312.1735351373418</v>
      </c>
      <c r="Y55" s="4101">
        <f>IF(SUM(Table10s2!Y54,IFERROR(Table10s3!Y54*28,0),IFERROR(Table10s4!Y54*265,0))=0,"NO",SUM(Table10s2!Y54,IFERROR(Table10s3!Y54*28,0),IFERROR(Table10s4!Y54*265,0)))</f>
        <v>2818.2929314474172</v>
      </c>
      <c r="Z55" s="4101">
        <f>IF(SUM(Table10s2!Z54,IFERROR(Table10s3!Z54*28,0),IFERROR(Table10s4!Z54*265,0))=0,"NO",SUM(Table10s2!Z54,IFERROR(Table10s3!Z54*28,0),IFERROR(Table10s4!Z54*265,0)))</f>
        <v>2778.9277774950019</v>
      </c>
      <c r="AA55" s="4101">
        <f>IF(SUM(Table10s2!AA54,IFERROR(Table10s3!AA54*28,0),IFERROR(Table10s4!AA54*265,0))=0,"NO",SUM(Table10s2!AA54,IFERROR(Table10s3!AA54*28,0),IFERROR(Table10s4!AA54*265,0)))</f>
        <v>2822.8217836855374</v>
      </c>
      <c r="AB55" s="4101">
        <f>IF(SUM(Table10s2!AB54,IFERROR(Table10s3!AB54*28,0),IFERROR(Table10s4!AB54*265,0))=0,"NO",SUM(Table10s2!AB54,IFERROR(Table10s3!AB54*28,0),IFERROR(Table10s4!AB54*265,0)))</f>
        <v>2706.5555283542981</v>
      </c>
      <c r="AC55" s="4101">
        <f>IF(SUM(Table10s2!AC54,IFERROR(Table10s3!AC54*28,0),IFERROR(Table10s4!AC54*265,0))=0,"NO",SUM(Table10s2!AC54,IFERROR(Table10s3!AC54*28,0),IFERROR(Table10s4!AC54*265,0)))</f>
        <v>2688.9436684722305</v>
      </c>
      <c r="AD55" s="4101">
        <f>IF(SUM(Table10s2!AD54,IFERROR(Table10s3!AD54*28,0),IFERROR(Table10s4!AD54*265,0))=0,"NO",SUM(Table10s2!AD54,IFERROR(Table10s3!AD54*28,0),IFERROR(Table10s4!AD54*265,0)))</f>
        <v>2680.552624335809</v>
      </c>
      <c r="AE55" s="4101">
        <f>IF(SUM(Table10s2!AE54,IFERROR(Table10s3!AE54*28,0),IFERROR(Table10s4!AE54*265,0))=0,"NO",SUM(Table10s2!AE54,IFERROR(Table10s3!AE54*28,0),IFERROR(Table10s4!AE54*265,0)))</f>
        <v>2904.1934308408599</v>
      </c>
      <c r="AF55" s="4101">
        <f>IF(SUM(Table10s2!AF54,IFERROR(Table10s3!AF54*28,0),IFERROR(Table10s4!AF54*265,0))=0,"NO",SUM(Table10s2!AF54,IFERROR(Table10s3!AF54*28,0),IFERROR(Table10s4!AF54*265,0)))</f>
        <v>2854.608634771836</v>
      </c>
      <c r="AG55" s="4101">
        <f>IF(SUM(Table10s2!AG54,IFERROR(Table10s3!AG54*28,0),IFERROR(Table10s4!AG54*265,0))=0,"NO",SUM(Table10s2!AG54,IFERROR(Table10s3!AG54*28,0),IFERROR(Table10s4!AG54*265,0)))</f>
        <v>2929.0238607765286</v>
      </c>
      <c r="AH55" s="4101">
        <f>IF(SUM(Table10s2!AH54,IFERROR(Table10s3!AH54*28,0),IFERROR(Table10s4!AH54*265,0))=0,"NO",SUM(Table10s2!AH54,IFERROR(Table10s3!AH54*28,0),IFERROR(Table10s4!AH54*265,0)))</f>
        <v>2741.5027602401606</v>
      </c>
      <c r="AI55" s="4101">
        <f>IF(SUM(Table10s2!AI54,IFERROR(Table10s3!AI54*28,0),IFERROR(Table10s4!AI54*265,0))=0,"NO",SUM(Table10s2!AI54,IFERROR(Table10s3!AI54*28,0),IFERROR(Table10s4!AI54*265,0)))</f>
        <v>2967.0643862085954</v>
      </c>
      <c r="AJ55" s="4101">
        <f>IF(SUM(Table10s2!AJ54,IFERROR(Table10s3!AJ54*28,0),IFERROR(Table10s4!AJ54*265,0))=0,"NO",SUM(Table10s2!AJ54,IFERROR(Table10s3!AJ54*28,0),IFERROR(Table10s4!AJ54*265,0)))</f>
        <v>3052.6415691307984</v>
      </c>
      <c r="AK55" s="4101">
        <f>IF(SUM(Table10s2!AK54,IFERROR(Table10s3!AK54*28,0),IFERROR(Table10s4!AK54*265,0))=0,"NO",SUM(Table10s2!AK54,IFERROR(Table10s3!AK54*28,0),IFERROR(Table10s4!AK54*265,0)))</f>
        <v>2995.7293932159614</v>
      </c>
      <c r="AL55" s="4080">
        <f t="shared" si="2"/>
        <v>-52.369130202274967</v>
      </c>
    </row>
    <row r="56" spans="2:38" ht="18" customHeight="1" thickBot="1" x14ac:dyDescent="0.25">
      <c r="B56" s="1416" t="s">
        <v>2385</v>
      </c>
      <c r="C56" s="2254"/>
      <c r="D56" s="2254"/>
      <c r="E56" s="4102" t="str">
        <f>IF(SUM(Table10s2!E55,IFERROR(Table10s3!E55*28,0),IFERROR(Table10s4!E55*265,0))=0,"NO",SUM(Table10s2!E55,IFERROR(Table10s3!E55*28,0),IFERROR(Table10s4!E55*265,0)))</f>
        <v>NO</v>
      </c>
      <c r="F56" s="4102" t="str">
        <f>IF(SUM(Table10s2!F55,IFERROR(Table10s3!F55*28,0),IFERROR(Table10s4!F55*265,0))=0,"NO",SUM(Table10s2!F55,IFERROR(Table10s3!F55*28,0),IFERROR(Table10s4!F55*265,0)))</f>
        <v>NO</v>
      </c>
      <c r="G56" s="4103" t="str">
        <f>IF(SUM(Table10s2!G55,IFERROR(Table10s3!G55*28,0),IFERROR(Table10s4!G55*265,0))=0,"NO",SUM(Table10s2!G55,IFERROR(Table10s3!G55*28,0),IFERROR(Table10s4!G55*265,0)))</f>
        <v>NO</v>
      </c>
      <c r="H56" s="4103" t="str">
        <f>IF(SUM(Table10s2!H55,IFERROR(Table10s3!H55*28,0),IFERROR(Table10s4!H55*265,0))=0,"NO",SUM(Table10s2!H55,IFERROR(Table10s3!H55*28,0),IFERROR(Table10s4!H55*265,0)))</f>
        <v>NO</v>
      </c>
      <c r="I56" s="4103" t="str">
        <f>IF(SUM(Table10s2!I55,IFERROR(Table10s3!I55*28,0),IFERROR(Table10s4!I55*265,0))=0,"NO",SUM(Table10s2!I55,IFERROR(Table10s3!I55*28,0),IFERROR(Table10s4!I55*265,0)))</f>
        <v>NO</v>
      </c>
      <c r="J56" s="4103" t="str">
        <f>IF(SUM(Table10s2!J55,IFERROR(Table10s3!J55*28,0),IFERROR(Table10s4!J55*265,0))=0,"NO",SUM(Table10s2!J55,IFERROR(Table10s3!J55*28,0),IFERROR(Table10s4!J55*265,0)))</f>
        <v>NO</v>
      </c>
      <c r="K56" s="4103" t="str">
        <f>IF(SUM(Table10s2!K55,IFERROR(Table10s3!K55*28,0),IFERROR(Table10s4!K55*265,0))=0,"NO",SUM(Table10s2!K55,IFERROR(Table10s3!K55*28,0),IFERROR(Table10s4!K55*265,0)))</f>
        <v>NO</v>
      </c>
      <c r="L56" s="4103" t="str">
        <f>IF(SUM(Table10s2!L55,IFERROR(Table10s3!L55*28,0),IFERROR(Table10s4!L55*265,0))=0,"NO",SUM(Table10s2!L55,IFERROR(Table10s3!L55*28,0),IFERROR(Table10s4!L55*265,0)))</f>
        <v>NO</v>
      </c>
      <c r="M56" s="4103" t="str">
        <f>IF(SUM(Table10s2!M55,IFERROR(Table10s3!M55*28,0),IFERROR(Table10s4!M55*265,0))=0,"NO",SUM(Table10s2!M55,IFERROR(Table10s3!M55*28,0),IFERROR(Table10s4!M55*265,0)))</f>
        <v>NO</v>
      </c>
      <c r="N56" s="4103" t="str">
        <f>IF(SUM(Table10s2!N55,IFERROR(Table10s3!N55*28,0),IFERROR(Table10s4!N55*265,0))=0,"NO",SUM(Table10s2!N55,IFERROR(Table10s3!N55*28,0),IFERROR(Table10s4!N55*265,0)))</f>
        <v>NO</v>
      </c>
      <c r="O56" s="4103" t="str">
        <f>IF(SUM(Table10s2!O55,IFERROR(Table10s3!O55*28,0),IFERROR(Table10s4!O55*265,0))=0,"NO",SUM(Table10s2!O55,IFERROR(Table10s3!O55*28,0),IFERROR(Table10s4!O55*265,0)))</f>
        <v>NO</v>
      </c>
      <c r="P56" s="4103" t="str">
        <f>IF(SUM(Table10s2!P55,IFERROR(Table10s3!P55*28,0),IFERROR(Table10s4!P55*265,0))=0,"NO",SUM(Table10s2!P55,IFERROR(Table10s3!P55*28,0),IFERROR(Table10s4!P55*265,0)))</f>
        <v>NO</v>
      </c>
      <c r="Q56" s="4103" t="str">
        <f>IF(SUM(Table10s2!Q55,IFERROR(Table10s3!Q55*28,0),IFERROR(Table10s4!Q55*265,0))=0,"NO",SUM(Table10s2!Q55,IFERROR(Table10s3!Q55*28,0),IFERROR(Table10s4!Q55*265,0)))</f>
        <v>NO</v>
      </c>
      <c r="R56" s="4103" t="str">
        <f>IF(SUM(Table10s2!R55,IFERROR(Table10s3!R55*28,0),IFERROR(Table10s4!R55*265,0))=0,"NO",SUM(Table10s2!R55,IFERROR(Table10s3!R55*28,0),IFERROR(Table10s4!R55*265,0)))</f>
        <v>NO</v>
      </c>
      <c r="S56" s="4103" t="str">
        <f>IF(SUM(Table10s2!S55,IFERROR(Table10s3!S55*28,0),IFERROR(Table10s4!S55*265,0))=0,"NO",SUM(Table10s2!S55,IFERROR(Table10s3!S55*28,0),IFERROR(Table10s4!S55*265,0)))</f>
        <v>NO</v>
      </c>
      <c r="T56" s="4103" t="str">
        <f>IF(SUM(Table10s2!T55,IFERROR(Table10s3!T55*28,0),IFERROR(Table10s4!T55*265,0))=0,"NO",SUM(Table10s2!T55,IFERROR(Table10s3!T55*28,0),IFERROR(Table10s4!T55*265,0)))</f>
        <v>NO</v>
      </c>
      <c r="U56" s="4103" t="str">
        <f>IF(SUM(Table10s2!U55,IFERROR(Table10s3!U55*28,0),IFERROR(Table10s4!U55*265,0))=0,"NO",SUM(Table10s2!U55,IFERROR(Table10s3!U55*28,0),IFERROR(Table10s4!U55*265,0)))</f>
        <v>NO</v>
      </c>
      <c r="V56" s="4103" t="str">
        <f>IF(SUM(Table10s2!V55,IFERROR(Table10s3!V55*28,0),IFERROR(Table10s4!V55*265,0))=0,"NO",SUM(Table10s2!V55,IFERROR(Table10s3!V55*28,0),IFERROR(Table10s4!V55*265,0)))</f>
        <v>NO</v>
      </c>
      <c r="W56" s="4103" t="str">
        <f>IF(SUM(Table10s2!W55,IFERROR(Table10s3!W55*28,0),IFERROR(Table10s4!W55*265,0))=0,"NO",SUM(Table10s2!W55,IFERROR(Table10s3!W55*28,0),IFERROR(Table10s4!W55*265,0)))</f>
        <v>NO</v>
      </c>
      <c r="X56" s="4103" t="str">
        <f>IF(SUM(Table10s2!X55,IFERROR(Table10s3!X55*28,0),IFERROR(Table10s4!X55*265,0))=0,"NO",SUM(Table10s2!X55,IFERROR(Table10s3!X55*28,0),IFERROR(Table10s4!X55*265,0)))</f>
        <v>NO</v>
      </c>
      <c r="Y56" s="4103" t="str">
        <f>IF(SUM(Table10s2!Y55,IFERROR(Table10s3!Y55*28,0),IFERROR(Table10s4!Y55*265,0))=0,"NO",SUM(Table10s2!Y55,IFERROR(Table10s3!Y55*28,0),IFERROR(Table10s4!Y55*265,0)))</f>
        <v>NO</v>
      </c>
      <c r="Z56" s="4103" t="str">
        <f>IF(SUM(Table10s2!Z55,IFERROR(Table10s3!Z55*28,0),IFERROR(Table10s4!Z55*265,0))=0,"NO",SUM(Table10s2!Z55,IFERROR(Table10s3!Z55*28,0),IFERROR(Table10s4!Z55*265,0)))</f>
        <v>NO</v>
      </c>
      <c r="AA56" s="4103" t="str">
        <f>IF(SUM(Table10s2!AA55,IFERROR(Table10s3!AA55*28,0),IFERROR(Table10s4!AA55*265,0))=0,"NO",SUM(Table10s2!AA55,IFERROR(Table10s3!AA55*28,0),IFERROR(Table10s4!AA55*265,0)))</f>
        <v>NO</v>
      </c>
      <c r="AB56" s="4103" t="str">
        <f>IF(SUM(Table10s2!AB55,IFERROR(Table10s3!AB55*28,0),IFERROR(Table10s4!AB55*265,0))=0,"NO",SUM(Table10s2!AB55,IFERROR(Table10s3!AB55*28,0),IFERROR(Table10s4!AB55*265,0)))</f>
        <v>NO</v>
      </c>
      <c r="AC56" s="4103" t="str">
        <f>IF(SUM(Table10s2!AC55,IFERROR(Table10s3!AC55*28,0),IFERROR(Table10s4!AC55*265,0))=0,"NO",SUM(Table10s2!AC55,IFERROR(Table10s3!AC55*28,0),IFERROR(Table10s4!AC55*265,0)))</f>
        <v>NO</v>
      </c>
      <c r="AD56" s="4103" t="str">
        <f>IF(SUM(Table10s2!AD55,IFERROR(Table10s3!AD55*28,0),IFERROR(Table10s4!AD55*265,0))=0,"NO",SUM(Table10s2!AD55,IFERROR(Table10s3!AD55*28,0),IFERROR(Table10s4!AD55*265,0)))</f>
        <v>NO</v>
      </c>
      <c r="AE56" s="4103" t="str">
        <f>IF(SUM(Table10s2!AE55,IFERROR(Table10s3!AE55*28,0),IFERROR(Table10s4!AE55*265,0))=0,"NO",SUM(Table10s2!AE55,IFERROR(Table10s3!AE55*28,0),IFERROR(Table10s4!AE55*265,0)))</f>
        <v>NO</v>
      </c>
      <c r="AF56" s="4103" t="str">
        <f>IF(SUM(Table10s2!AF55,IFERROR(Table10s3!AF55*28,0),IFERROR(Table10s4!AF55*265,0))=0,"NO",SUM(Table10s2!AF55,IFERROR(Table10s3!AF55*28,0),IFERROR(Table10s4!AF55*265,0)))</f>
        <v>NO</v>
      </c>
      <c r="AG56" s="4103" t="str">
        <f>IF(SUM(Table10s2!AG55,IFERROR(Table10s3!AG55*28,0),IFERROR(Table10s4!AG55*265,0))=0,"NO",SUM(Table10s2!AG55,IFERROR(Table10s3!AG55*28,0),IFERROR(Table10s4!AG55*265,0)))</f>
        <v>NO</v>
      </c>
      <c r="AH56" s="4103" t="str">
        <f>IF(SUM(Table10s2!AH55,IFERROR(Table10s3!AH55*28,0),IFERROR(Table10s4!AH55*265,0))=0,"NO",SUM(Table10s2!AH55,IFERROR(Table10s3!AH55*28,0),IFERROR(Table10s4!AH55*265,0)))</f>
        <v>NO</v>
      </c>
      <c r="AI56" s="4103" t="str">
        <f>IF(SUM(Table10s2!AI55,IFERROR(Table10s3!AI55*28,0),IFERROR(Table10s4!AI55*265,0))=0,"NO",SUM(Table10s2!AI55,IFERROR(Table10s3!AI55*28,0),IFERROR(Table10s4!AI55*265,0)))</f>
        <v>NO</v>
      </c>
      <c r="AJ56" s="4103" t="str">
        <f>IF(SUM(Table10s2!AJ55,IFERROR(Table10s3!AJ55*28,0),IFERROR(Table10s4!AJ55*265,0))=0,"NO",SUM(Table10s2!AJ55,IFERROR(Table10s3!AJ55*28,0),IFERROR(Table10s4!AJ55*265,0)))</f>
        <v>NO</v>
      </c>
      <c r="AK56" s="4103" t="str">
        <f>IF(SUM(Table10s2!AK55,IFERROR(Table10s3!AK55*28,0),IFERROR(Table10s4!AK55*265,0))=0,"NO",SUM(Table10s2!AK55,IFERROR(Table10s3!AK55*28,0),IFERROR(Table10s4!AK55*265,0)))</f>
        <v>NO</v>
      </c>
      <c r="AL56" s="4086" t="str">
        <f t="shared" si="2"/>
        <v>NA</v>
      </c>
    </row>
    <row r="57" spans="2:38" ht="18" customHeight="1" thickBot="1" x14ac:dyDescent="0.25">
      <c r="B57" s="1445" t="s">
        <v>2026</v>
      </c>
      <c r="C57" s="2031"/>
      <c r="D57" s="2031"/>
      <c r="E57" s="4110" t="str">
        <f>IF(SUM(Table10s2!E56,IFERROR(Table10s3!E56*28,0),IFERROR(Table10s4!E56*265,0))=0,"NO",SUM(Table10s2!E56,IFERROR(Table10s3!E56*28,0),IFERROR(Table10s4!E56*265,0)))</f>
        <v>NO</v>
      </c>
      <c r="F57" s="4110" t="str">
        <f>IF(SUM(Table10s2!F56,IFERROR(Table10s3!F56*28,0),IFERROR(Table10s4!F56*265,0))=0,"NO",SUM(Table10s2!F56,IFERROR(Table10s3!F56*28,0),IFERROR(Table10s4!F56*265,0)))</f>
        <v>NO</v>
      </c>
      <c r="G57" s="4110" t="str">
        <f>IF(SUM(Table10s2!G56,IFERROR(Table10s3!G56*28,0),IFERROR(Table10s4!G56*265,0))=0,"NO",SUM(Table10s2!G56,IFERROR(Table10s3!G56*28,0),IFERROR(Table10s4!G56*265,0)))</f>
        <v>NO</v>
      </c>
      <c r="H57" s="4110" t="str">
        <f>IF(SUM(Table10s2!H56,IFERROR(Table10s3!H56*28,0),IFERROR(Table10s4!H56*265,0))=0,"NO",SUM(Table10s2!H56,IFERROR(Table10s3!H56*28,0),IFERROR(Table10s4!H56*265,0)))</f>
        <v>NO</v>
      </c>
      <c r="I57" s="4110" t="str">
        <f>IF(SUM(Table10s2!I56,IFERROR(Table10s3!I56*28,0),IFERROR(Table10s4!I56*265,0))=0,"NO",SUM(Table10s2!I56,IFERROR(Table10s3!I56*28,0),IFERROR(Table10s4!I56*265,0)))</f>
        <v>NO</v>
      </c>
      <c r="J57" s="4110" t="str">
        <f>IF(SUM(Table10s2!J56,IFERROR(Table10s3!J56*28,0),IFERROR(Table10s4!J56*265,0))=0,"NO",SUM(Table10s2!J56,IFERROR(Table10s3!J56*28,0),IFERROR(Table10s4!J56*265,0)))</f>
        <v>NO</v>
      </c>
      <c r="K57" s="4111" t="str">
        <f>IF(SUM(Table10s2!K56,IFERROR(Table10s3!K56*28,0),IFERROR(Table10s4!K56*265,0))=0,"NO",SUM(Table10s2!K56,IFERROR(Table10s3!K56*28,0),IFERROR(Table10s4!K56*265,0)))</f>
        <v>NO</v>
      </c>
      <c r="L57" s="4111" t="str">
        <f>IF(SUM(Table10s2!L56,IFERROR(Table10s3!L56*28,0),IFERROR(Table10s4!L56*265,0))=0,"NO",SUM(Table10s2!L56,IFERROR(Table10s3!L56*28,0),IFERROR(Table10s4!L56*265,0)))</f>
        <v>NO</v>
      </c>
      <c r="M57" s="4111" t="str">
        <f>IF(SUM(Table10s2!M56,IFERROR(Table10s3!M56*28,0),IFERROR(Table10s4!M56*265,0))=0,"NO",SUM(Table10s2!M56,IFERROR(Table10s3!M56*28,0),IFERROR(Table10s4!M56*265,0)))</f>
        <v>NO</v>
      </c>
      <c r="N57" s="4111" t="str">
        <f>IF(SUM(Table10s2!N56,IFERROR(Table10s3!N56*28,0),IFERROR(Table10s4!N56*265,0))=0,"NO",SUM(Table10s2!N56,IFERROR(Table10s3!N56*28,0),IFERROR(Table10s4!N56*265,0)))</f>
        <v>NO</v>
      </c>
      <c r="O57" s="4111" t="str">
        <f>IF(SUM(Table10s2!O56,IFERROR(Table10s3!O56*28,0),IFERROR(Table10s4!O56*265,0))=0,"NO",SUM(Table10s2!O56,IFERROR(Table10s3!O56*28,0),IFERROR(Table10s4!O56*265,0)))</f>
        <v>NO</v>
      </c>
      <c r="P57" s="4111" t="str">
        <f>IF(SUM(Table10s2!P56,IFERROR(Table10s3!P56*28,0),IFERROR(Table10s4!P56*265,0))=0,"NO",SUM(Table10s2!P56,IFERROR(Table10s3!P56*28,0),IFERROR(Table10s4!P56*265,0)))</f>
        <v>NO</v>
      </c>
      <c r="Q57" s="4111" t="str">
        <f>IF(SUM(Table10s2!Q56,IFERROR(Table10s3!Q56*28,0),IFERROR(Table10s4!Q56*265,0))=0,"NO",SUM(Table10s2!Q56,IFERROR(Table10s3!Q56*28,0),IFERROR(Table10s4!Q56*265,0)))</f>
        <v>NO</v>
      </c>
      <c r="R57" s="4111" t="str">
        <f>IF(SUM(Table10s2!R56,IFERROR(Table10s3!R56*28,0),IFERROR(Table10s4!R56*265,0))=0,"NO",SUM(Table10s2!R56,IFERROR(Table10s3!R56*28,0),IFERROR(Table10s4!R56*265,0)))</f>
        <v>NO</v>
      </c>
      <c r="S57" s="4111" t="str">
        <f>IF(SUM(Table10s2!S56,IFERROR(Table10s3!S56*28,0),IFERROR(Table10s4!S56*265,0))=0,"NO",SUM(Table10s2!S56,IFERROR(Table10s3!S56*28,0),IFERROR(Table10s4!S56*265,0)))</f>
        <v>NO</v>
      </c>
      <c r="T57" s="4111" t="str">
        <f>IF(SUM(Table10s2!T56,IFERROR(Table10s3!T56*28,0),IFERROR(Table10s4!T56*265,0))=0,"NO",SUM(Table10s2!T56,IFERROR(Table10s3!T56*28,0),IFERROR(Table10s4!T56*265,0)))</f>
        <v>NO</v>
      </c>
      <c r="U57" s="4111" t="str">
        <f>IF(SUM(Table10s2!U56,IFERROR(Table10s3!U56*28,0),IFERROR(Table10s4!U56*265,0))=0,"NO",SUM(Table10s2!U56,IFERROR(Table10s3!U56*28,0),IFERROR(Table10s4!U56*265,0)))</f>
        <v>NO</v>
      </c>
      <c r="V57" s="4111" t="str">
        <f>IF(SUM(Table10s2!V56,IFERROR(Table10s3!V56*28,0),IFERROR(Table10s4!V56*265,0))=0,"NO",SUM(Table10s2!V56,IFERROR(Table10s3!V56*28,0),IFERROR(Table10s4!V56*265,0)))</f>
        <v>NO</v>
      </c>
      <c r="W57" s="4111" t="str">
        <f>IF(SUM(Table10s2!W56,IFERROR(Table10s3!W56*28,0),IFERROR(Table10s4!W56*265,0))=0,"NO",SUM(Table10s2!W56,IFERROR(Table10s3!W56*28,0),IFERROR(Table10s4!W56*265,0)))</f>
        <v>NO</v>
      </c>
      <c r="X57" s="4111" t="str">
        <f>IF(SUM(Table10s2!X56,IFERROR(Table10s3!X56*28,0),IFERROR(Table10s4!X56*265,0))=0,"NO",SUM(Table10s2!X56,IFERROR(Table10s3!X56*28,0),IFERROR(Table10s4!X56*265,0)))</f>
        <v>NO</v>
      </c>
      <c r="Y57" s="4111" t="str">
        <f>IF(SUM(Table10s2!Y56,IFERROR(Table10s3!Y56*28,0),IFERROR(Table10s4!Y56*265,0))=0,"NO",SUM(Table10s2!Y56,IFERROR(Table10s3!Y56*28,0),IFERROR(Table10s4!Y56*265,0)))</f>
        <v>NO</v>
      </c>
      <c r="Z57" s="4111" t="str">
        <f>IF(SUM(Table10s2!Z56,IFERROR(Table10s3!Z56*28,0),IFERROR(Table10s4!Z56*265,0))=0,"NO",SUM(Table10s2!Z56,IFERROR(Table10s3!Z56*28,0),IFERROR(Table10s4!Z56*265,0)))</f>
        <v>NO</v>
      </c>
      <c r="AA57" s="4111" t="str">
        <f>IF(SUM(Table10s2!AA56,IFERROR(Table10s3!AA56*28,0),IFERROR(Table10s4!AA56*265,0))=0,"NO",SUM(Table10s2!AA56,IFERROR(Table10s3!AA56*28,0),IFERROR(Table10s4!AA56*265,0)))</f>
        <v>NO</v>
      </c>
      <c r="AB57" s="4111" t="str">
        <f>IF(SUM(Table10s2!AB56,IFERROR(Table10s3!AB56*28,0),IFERROR(Table10s4!AB56*265,0))=0,"NO",SUM(Table10s2!AB56,IFERROR(Table10s3!AB56*28,0),IFERROR(Table10s4!AB56*265,0)))</f>
        <v>NO</v>
      </c>
      <c r="AC57" s="4111" t="str">
        <f>IF(SUM(Table10s2!AC56,IFERROR(Table10s3!AC56*28,0),IFERROR(Table10s4!AC56*265,0))=0,"NO",SUM(Table10s2!AC56,IFERROR(Table10s3!AC56*28,0),IFERROR(Table10s4!AC56*265,0)))</f>
        <v>NO</v>
      </c>
      <c r="AD57" s="4111" t="str">
        <f>IF(SUM(Table10s2!AD56,IFERROR(Table10s3!AD56*28,0),IFERROR(Table10s4!AD56*265,0))=0,"NO",SUM(Table10s2!AD56,IFERROR(Table10s3!AD56*28,0),IFERROR(Table10s4!AD56*265,0)))</f>
        <v>NO</v>
      </c>
      <c r="AE57" s="4111" t="str">
        <f>IF(SUM(Table10s2!AE56,IFERROR(Table10s3!AE56*28,0),IFERROR(Table10s4!AE56*265,0))=0,"NO",SUM(Table10s2!AE56,IFERROR(Table10s3!AE56*28,0),IFERROR(Table10s4!AE56*265,0)))</f>
        <v>NO</v>
      </c>
      <c r="AF57" s="4111" t="str">
        <f>IF(SUM(Table10s2!AF56,IFERROR(Table10s3!AF56*28,0),IFERROR(Table10s4!AF56*265,0))=0,"NO",SUM(Table10s2!AF56,IFERROR(Table10s3!AF56*28,0),IFERROR(Table10s4!AF56*265,0)))</f>
        <v>NO</v>
      </c>
      <c r="AG57" s="4111" t="str">
        <f>IF(SUM(Table10s2!AG56,IFERROR(Table10s3!AG56*28,0),IFERROR(Table10s4!AG56*265,0))=0,"NO",SUM(Table10s2!AG56,IFERROR(Table10s3!AG56*28,0),IFERROR(Table10s4!AG56*265,0)))</f>
        <v>NO</v>
      </c>
      <c r="AH57" s="4111" t="str">
        <f>IF(SUM(Table10s2!AH56,IFERROR(Table10s3!AH56*28,0),IFERROR(Table10s4!AH56*265,0))=0,"NO",SUM(Table10s2!AH56,IFERROR(Table10s3!AH56*28,0),IFERROR(Table10s4!AH56*265,0)))</f>
        <v>NO</v>
      </c>
      <c r="AI57" s="4111" t="str">
        <f>IF(SUM(Table10s2!AI56,IFERROR(Table10s3!AI56*28,0),IFERROR(Table10s4!AI56*265,0))=0,"NO",SUM(Table10s2!AI56,IFERROR(Table10s3!AI56*28,0),IFERROR(Table10s4!AI56*265,0)))</f>
        <v>NO</v>
      </c>
      <c r="AJ57" s="4111" t="str">
        <f>IF(SUM(Table10s2!AJ56,IFERROR(Table10s3!AJ56*28,0),IFERROR(Table10s4!AJ56*265,0))=0,"NO",SUM(Table10s2!AJ56,IFERROR(Table10s3!AJ56*28,0),IFERROR(Table10s4!AJ56*265,0)))</f>
        <v>NO</v>
      </c>
      <c r="AK57" s="4111" t="str">
        <f>IF(SUM(Table10s2!AK56,IFERROR(Table10s3!AK56*28,0),IFERROR(Table10s4!AK56*265,0))=0,"NO",SUM(Table10s2!AK56,IFERROR(Table10s3!AK56*28,0),IFERROR(Table10s4!AK56*265,0)))</f>
        <v>NO</v>
      </c>
      <c r="AL57" s="4080" t="str">
        <f t="shared" si="2"/>
        <v>NA</v>
      </c>
    </row>
    <row r="58" spans="2:38"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38" ht="18" customHeight="1" x14ac:dyDescent="0.2">
      <c r="B59" s="4098" t="s">
        <v>2386</v>
      </c>
      <c r="C59" s="2033"/>
      <c r="D59" s="2552"/>
      <c r="E59" s="2552"/>
      <c r="F59" s="2552"/>
      <c r="G59" s="2552"/>
      <c r="H59" s="2552"/>
      <c r="I59" s="2552"/>
      <c r="J59" s="2552"/>
      <c r="K59" s="2552"/>
      <c r="L59" s="2552"/>
      <c r="M59" s="2552"/>
      <c r="N59" s="2552"/>
      <c r="O59" s="2552"/>
      <c r="P59" s="2552"/>
      <c r="Q59" s="2552"/>
      <c r="R59" s="2552"/>
      <c r="S59" s="2552"/>
      <c r="T59" s="2552"/>
      <c r="U59" s="2552"/>
      <c r="V59" s="2552"/>
      <c r="W59" s="2552"/>
      <c r="X59" s="2552"/>
      <c r="Y59" s="2552"/>
      <c r="Z59" s="2552"/>
      <c r="AA59" s="2552"/>
      <c r="AB59" s="2552"/>
      <c r="AC59" s="2552"/>
      <c r="AD59" s="2552"/>
      <c r="AE59" s="2552"/>
      <c r="AF59" s="2552"/>
      <c r="AG59" s="2552"/>
      <c r="AH59" s="2552"/>
      <c r="AI59" s="2552"/>
      <c r="AJ59" s="2552"/>
      <c r="AK59" s="2552"/>
      <c r="AL59" s="2553"/>
    </row>
    <row r="60" spans="2:38" ht="18" customHeight="1" x14ac:dyDescent="0.2">
      <c r="B60" s="1378" t="s">
        <v>217</v>
      </c>
      <c r="C60" s="2027"/>
      <c r="D60" s="2027"/>
      <c r="E60" s="4112">
        <f>SUM(Table10s2!E59,Table10s3!E62*28,Table10s4!E62*268)</f>
        <v>6487.6472066036104</v>
      </c>
      <c r="F60" s="4112">
        <f>SUM(Table10s2!F59,Table10s3!F62*28,Table10s4!F62*268)</f>
        <v>6461.6491094989678</v>
      </c>
      <c r="G60" s="4112">
        <f>SUM(Table10s2!G59,Table10s3!G62*28,Table10s4!G62*268)</f>
        <v>6670.7232109980941</v>
      </c>
      <c r="H60" s="4112">
        <f>SUM(Table10s2!H59,Table10s3!H62*28,Table10s4!H62*268)</f>
        <v>7076.1461740299892</v>
      </c>
      <c r="I60" s="4112">
        <f>SUM(Table10s2!I59,Table10s3!I62*28,Table10s4!I62*268)</f>
        <v>7459.8994330768519</v>
      </c>
      <c r="J60" s="4112">
        <f>SUM(Table10s2!J59,Table10s3!J62*28,Table10s4!J62*268)</f>
        <v>8649.400630756294</v>
      </c>
      <c r="K60" s="4112">
        <f>SUM(Table10s2!K59,Table10s3!K62*28,Table10s4!K62*268)</f>
        <v>9147.7366769255059</v>
      </c>
      <c r="L60" s="4112">
        <f>SUM(Table10s2!L59,Table10s3!L62*28,Table10s4!L62*268)</f>
        <v>9177.0831977980943</v>
      </c>
      <c r="M60" s="4112">
        <f>SUM(Table10s2!M59,Table10s3!M62*28,Table10s4!M62*268)</f>
        <v>9565.7854502000628</v>
      </c>
      <c r="N60" s="4112">
        <f>SUM(Table10s2!N59,Table10s3!N62*28,Table10s4!N62*268)</f>
        <v>9839.7658505127056</v>
      </c>
      <c r="O60" s="4112">
        <f>SUM(Table10s2!O59,Table10s3!O62*28,Table10s4!O62*268)</f>
        <v>10231.106149530577</v>
      </c>
      <c r="P60" s="4112">
        <f>SUM(Table10s2!P59,Table10s3!P62*28,Table10s4!P62*268)</f>
        <v>10527.009294596335</v>
      </c>
      <c r="Q60" s="4112">
        <f>SUM(Table10s2!Q59,Table10s3!Q62*28,Table10s4!Q62*268)</f>
        <v>9658.7369901411857</v>
      </c>
      <c r="R60" s="4112">
        <f>SUM(Table10s2!R59,Table10s3!R62*28,Table10s4!R62*268)</f>
        <v>8805.7335786478434</v>
      </c>
      <c r="S60" s="4112">
        <f>SUM(Table10s2!S59,Table10s3!S62*28,Table10s4!S62*268)</f>
        <v>10019.668194092239</v>
      </c>
      <c r="T60" s="4112">
        <f>SUM(Table10s2!T59,Table10s3!T62*28,Table10s4!T62*268)</f>
        <v>10968.557072824631</v>
      </c>
      <c r="U60" s="4112">
        <f>SUM(Table10s2!U59,Table10s3!U62*28,Table10s4!U62*268)</f>
        <v>11419.439393394692</v>
      </c>
      <c r="V60" s="4112">
        <f>SUM(Table10s2!V59,Table10s3!V62*28,Table10s4!V62*268)</f>
        <v>11952.593606874483</v>
      </c>
      <c r="W60" s="4112">
        <f>SUM(Table10s2!W59,Table10s3!W62*28,Table10s4!W62*268)</f>
        <v>12165.350110414029</v>
      </c>
      <c r="X60" s="4112">
        <f>SUM(Table10s2!X59,Table10s3!X62*28,Table10s4!X62*268)</f>
        <v>12182.062570351623</v>
      </c>
      <c r="Y60" s="4112">
        <f>SUM(Table10s2!Y59,Table10s3!Y62*28,Table10s4!Y62*268)</f>
        <v>12477.448343741382</v>
      </c>
      <c r="Z60" s="4112">
        <f>SUM(Table10s2!Z59,Table10s3!Z62*28,Table10s4!Z62*268)</f>
        <v>11991.118738173429</v>
      </c>
      <c r="AA60" s="4112">
        <f>SUM(Table10s2!AA59,Table10s3!AA62*28,Table10s4!AA62*268)</f>
        <v>12949.729221376017</v>
      </c>
      <c r="AB60" s="4112">
        <f>SUM(Table10s2!AB59,Table10s3!AB62*28,Table10s4!AB62*268)</f>
        <v>13005.412506853321</v>
      </c>
      <c r="AC60" s="4112">
        <f>SUM(Table10s2!AC59,Table10s3!AC62*28,Table10s4!AC62*268)</f>
        <v>14167.374904623124</v>
      </c>
      <c r="AD60" s="4112">
        <f>SUM(Table10s2!AD59,Table10s3!AD62*28,Table10s4!AD62*268)</f>
        <v>14107.71977479483</v>
      </c>
      <c r="AE60" s="4112">
        <f>SUM(Table10s2!AE59,Table10s3!AE62*28,Table10s4!AE62*268)</f>
        <v>15053.468586577623</v>
      </c>
      <c r="AF60" s="4112">
        <f>SUM(Table10s2!AF59,Table10s3!AF62*28,Table10s4!AF62*268)</f>
        <v>16221.669905762275</v>
      </c>
      <c r="AG60" s="4112">
        <f>SUM(Table10s2!AG59,Table10s3!AG62*28,Table10s4!AG62*268)</f>
        <v>16967.695238605382</v>
      </c>
      <c r="AH60" s="4112">
        <f>SUM(Table10s2!AH59,Table10s3!AH62*28,Table10s4!AH62*268)</f>
        <v>17765.146484627119</v>
      </c>
      <c r="AI60" s="4112">
        <f>SUM(Table10s2!AI59,Table10s3!AI62*28,Table10s4!AI62*268)</f>
        <v>13926.098563349919</v>
      </c>
      <c r="AJ60" s="4112">
        <f>SUM(Table10s2!AJ59,Table10s3!AJ62*28,Table10s4!AJ62*268)</f>
        <v>5115.933414160374</v>
      </c>
      <c r="AK60" s="4112">
        <f>SUM(Table10s2!AK59,Table10s3!AK62*28,Table10s4!AK62*268)</f>
        <v>7273.3212623838763</v>
      </c>
      <c r="AL60" s="4080">
        <f t="shared" ref="AL60:AL66" si="3">IF(AK60="NO",IF(E60="NO","NA",-100),IF(E60="NO",100,AK60/E60*100-100))</f>
        <v>12.110307955410221</v>
      </c>
    </row>
    <row r="61" spans="2:38" ht="18" customHeight="1" x14ac:dyDescent="0.2">
      <c r="B61" s="1370" t="s">
        <v>218</v>
      </c>
      <c r="C61" s="2027"/>
      <c r="D61" s="2027"/>
      <c r="E61" s="4089">
        <f>SUM(Table10s2!E60,Table10s3!E63*28,Table10s4!E63*268)</f>
        <v>4389.087886603611</v>
      </c>
      <c r="F61" s="4089">
        <f>SUM(Table10s2!F60,Table10s3!F63*28,Table10s4!F63*268)</f>
        <v>4565.4407494989673</v>
      </c>
      <c r="G61" s="4089">
        <f>SUM(Table10s2!G60,Table10s3!G63*28,Table10s4!G63*268)</f>
        <v>4844.1986109980935</v>
      </c>
      <c r="H61" s="4089">
        <f>SUM(Table10s2!H60,Table10s3!H63*28,Table10s4!H63*268)</f>
        <v>5251.9995340299902</v>
      </c>
      <c r="I61" s="4089">
        <f>SUM(Table10s2!I60,Table10s3!I63*28,Table10s4!I63*268)</f>
        <v>5404.6846330768522</v>
      </c>
      <c r="J61" s="4089">
        <f>SUM(Table10s2!J60,Table10s3!J63*28,Table10s4!J63*268)</f>
        <v>5916.8467507562946</v>
      </c>
      <c r="K61" s="4089">
        <f>SUM(Table10s2!K60,Table10s3!K63*28,Table10s4!K63*268)</f>
        <v>6372.6821569255035</v>
      </c>
      <c r="L61" s="4089">
        <f>SUM(Table10s2!L60,Table10s3!L63*28,Table10s4!L63*268)</f>
        <v>6605.5707577980929</v>
      </c>
      <c r="M61" s="4089">
        <f>SUM(Table10s2!M60,Table10s3!M63*28,Table10s4!M63*268)</f>
        <v>7303.6957302000628</v>
      </c>
      <c r="N61" s="4089">
        <f>SUM(Table10s2!N60,Table10s3!N63*28,Table10s4!N63*268)</f>
        <v>7339.1676505127052</v>
      </c>
      <c r="O61" s="4089">
        <f>SUM(Table10s2!O60,Table10s3!O63*28,Table10s4!O63*268)</f>
        <v>7404.7421495305771</v>
      </c>
      <c r="P61" s="4089">
        <f>SUM(Table10s2!P60,Table10s3!P63*28,Table10s4!P63*268)</f>
        <v>7872.3488945963354</v>
      </c>
      <c r="Q61" s="4089">
        <f>SUM(Table10s2!Q60,Table10s3!Q63*28,Table10s4!Q63*268)</f>
        <v>6761.6873901411864</v>
      </c>
      <c r="R61" s="4089">
        <f>SUM(Table10s2!R60,Table10s3!R63*28,Table10s4!R63*268)</f>
        <v>5981.4204746478426</v>
      </c>
      <c r="S61" s="4089">
        <f>SUM(Table10s2!S60,Table10s3!S63*28,Table10s4!S63*268)</f>
        <v>7173.3712660922411</v>
      </c>
      <c r="T61" s="4089">
        <f>SUM(Table10s2!T60,Table10s3!T63*28,Table10s4!T63*268)</f>
        <v>8281.0089321586292</v>
      </c>
      <c r="U61" s="4089">
        <f>SUM(Table10s2!U60,Table10s3!U63*28,Table10s4!U63*268)</f>
        <v>8393.6470387707886</v>
      </c>
      <c r="V61" s="4089">
        <f>SUM(Table10s2!V60,Table10s3!V63*28,Table10s4!V63*268)</f>
        <v>9362.6031915192852</v>
      </c>
      <c r="W61" s="4089">
        <f>SUM(Table10s2!W60,Table10s3!W63*28,Table10s4!W63*268)</f>
        <v>9277.9674278700295</v>
      </c>
      <c r="X61" s="4089">
        <f>SUM(Table10s2!X60,Table10s3!X63*28,Table10s4!X63*268)</f>
        <v>9487.5716903516241</v>
      </c>
      <c r="Y61" s="4089">
        <f>SUM(Table10s2!Y60,Table10s3!Y63*28,Table10s4!Y63*268)</f>
        <v>10362.047383741383</v>
      </c>
      <c r="Z61" s="4089">
        <f>SUM(Table10s2!Z60,Table10s3!Z63*28,Table10s4!Z63*268)</f>
        <v>10107.821938173429</v>
      </c>
      <c r="AA61" s="4089">
        <f>SUM(Table10s2!AA60,Table10s3!AA63*28,Table10s4!AA63*268)</f>
        <v>10486.952341376016</v>
      </c>
      <c r="AB61" s="4089">
        <f>SUM(Table10s2!AB60,Table10s3!AB63*28,Table10s4!AB63*268)</f>
        <v>11041.631986853321</v>
      </c>
      <c r="AC61" s="4089">
        <f>SUM(Table10s2!AC60,Table10s3!AC63*28,Table10s4!AC63*268)</f>
        <v>11910.016664623123</v>
      </c>
      <c r="AD61" s="4089">
        <f>SUM(Table10s2!AD60,Table10s3!AD63*28,Table10s4!AD63*268)</f>
        <v>11840.18299341883</v>
      </c>
      <c r="AE61" s="4089">
        <f>SUM(Table10s2!AE60,Table10s3!AE63*28,Table10s4!AE63*268)</f>
        <v>12645.955272807167</v>
      </c>
      <c r="AF61" s="4089">
        <f>SUM(Table10s2!AF60,Table10s3!AF63*28,Table10s4!AF63*268)</f>
        <v>13630.578735710465</v>
      </c>
      <c r="AG61" s="4089">
        <f>SUM(Table10s2!AG60,Table10s3!AG63*28,Table10s4!AG63*268)</f>
        <v>14436.123841103685</v>
      </c>
      <c r="AH61" s="4089">
        <f>SUM(Table10s2!AH60,Table10s3!AH63*28,Table10s4!AH63*268)</f>
        <v>15359.408131506116</v>
      </c>
      <c r="AI61" s="4089">
        <f>SUM(Table10s2!AI60,Table10s3!AI63*28,Table10s4!AI63*268)</f>
        <v>11774.07342176272</v>
      </c>
      <c r="AJ61" s="4089">
        <f>SUM(Table10s2!AJ60,Table10s3!AJ63*28,Table10s4!AJ63*268)</f>
        <v>3845.6394048211737</v>
      </c>
      <c r="AK61" s="4089">
        <f>SUM(Table10s2!AK60,Table10s3!AK63*28,Table10s4!AK63*268)</f>
        <v>5386.762374363213</v>
      </c>
      <c r="AL61" s="4080">
        <f t="shared" si="3"/>
        <v>22.730793129130717</v>
      </c>
    </row>
    <row r="62" spans="2:38" ht="18" customHeight="1" x14ac:dyDescent="0.2">
      <c r="B62" s="1379" t="s">
        <v>1963</v>
      </c>
      <c r="C62" s="2027"/>
      <c r="D62" s="2027"/>
      <c r="E62" s="4089">
        <f>SUM(Table10s2!E61,Table10s3!E64*28,Table10s4!E64*268)</f>
        <v>2098.5593199999998</v>
      </c>
      <c r="F62" s="4089">
        <f>SUM(Table10s2!F61,Table10s3!F64*28,Table10s4!F64*268)</f>
        <v>1896.2083599999999</v>
      </c>
      <c r="G62" s="4089">
        <f>SUM(Table10s2!G61,Table10s3!G64*28,Table10s4!G64*268)</f>
        <v>1826.5245999999997</v>
      </c>
      <c r="H62" s="4089">
        <f>SUM(Table10s2!H61,Table10s3!H64*28,Table10s4!H64*268)</f>
        <v>1824.1466399999999</v>
      </c>
      <c r="I62" s="4089">
        <f>SUM(Table10s2!I61,Table10s3!I64*28,Table10s4!I64*268)</f>
        <v>2055.2147999999997</v>
      </c>
      <c r="J62" s="4089">
        <f>SUM(Table10s2!J61,Table10s3!J64*28,Table10s4!J64*268)</f>
        <v>2732.5538799999999</v>
      </c>
      <c r="K62" s="4089">
        <f>SUM(Table10s2!K61,Table10s3!K64*28,Table10s4!K64*268)</f>
        <v>2775.0545200000006</v>
      </c>
      <c r="L62" s="4089">
        <f>SUM(Table10s2!L61,Table10s3!L64*28,Table10s4!L64*268)</f>
        <v>2571.51244</v>
      </c>
      <c r="M62" s="4089">
        <f>SUM(Table10s2!M61,Table10s3!M64*28,Table10s4!M64*268)</f>
        <v>2262.0897199999995</v>
      </c>
      <c r="N62" s="4089">
        <f>SUM(Table10s2!N61,Table10s3!N64*28,Table10s4!N64*268)</f>
        <v>2500.5981999999995</v>
      </c>
      <c r="O62" s="4089">
        <f>SUM(Table10s2!O61,Table10s3!O64*28,Table10s4!O64*268)</f>
        <v>2826.364</v>
      </c>
      <c r="P62" s="4089">
        <f>SUM(Table10s2!P61,Table10s3!P64*28,Table10s4!P64*268)</f>
        <v>2654.6604000000002</v>
      </c>
      <c r="Q62" s="4089">
        <f>SUM(Table10s2!Q61,Table10s3!Q64*28,Table10s4!Q64*268)</f>
        <v>2897.0496000000003</v>
      </c>
      <c r="R62" s="4089">
        <f>SUM(Table10s2!R61,Table10s3!R64*28,Table10s4!R64*268)</f>
        <v>2824.3131040000003</v>
      </c>
      <c r="S62" s="4089">
        <f>SUM(Table10s2!S61,Table10s3!S64*28,Table10s4!S64*268)</f>
        <v>2846.2969279999998</v>
      </c>
      <c r="T62" s="4089">
        <f>SUM(Table10s2!T61,Table10s3!T64*28,Table10s4!T64*268)</f>
        <v>2687.5481406660001</v>
      </c>
      <c r="U62" s="4089">
        <f>SUM(Table10s2!U61,Table10s3!U64*28,Table10s4!U64*268)</f>
        <v>3025.792354623904</v>
      </c>
      <c r="V62" s="4089">
        <f>SUM(Table10s2!V61,Table10s3!V64*28,Table10s4!V64*268)</f>
        <v>2589.9904153551997</v>
      </c>
      <c r="W62" s="4089">
        <f>SUM(Table10s2!W61,Table10s3!W64*28,Table10s4!W64*268)</f>
        <v>2887.3826825439996</v>
      </c>
      <c r="X62" s="4089">
        <f>SUM(Table10s2!X61,Table10s3!X64*28,Table10s4!X64*268)</f>
        <v>2694.4908799999994</v>
      </c>
      <c r="Y62" s="4089">
        <f>SUM(Table10s2!Y61,Table10s3!Y64*28,Table10s4!Y64*268)</f>
        <v>2115.4009599999999</v>
      </c>
      <c r="Z62" s="4089">
        <f>SUM(Table10s2!Z61,Table10s3!Z64*28,Table10s4!Z64*268)</f>
        <v>1883.2967999999998</v>
      </c>
      <c r="AA62" s="4089">
        <f>SUM(Table10s2!AA61,Table10s3!AA64*28,Table10s4!AA64*268)</f>
        <v>2462.7768799999999</v>
      </c>
      <c r="AB62" s="4089">
        <f>SUM(Table10s2!AB61,Table10s3!AB64*28,Table10s4!AB64*268)</f>
        <v>1963.78052</v>
      </c>
      <c r="AC62" s="4089">
        <f>SUM(Table10s2!AC61,Table10s3!AC64*28,Table10s4!AC64*268)</f>
        <v>2257.3582399999996</v>
      </c>
      <c r="AD62" s="4089">
        <f>SUM(Table10s2!AD61,Table10s3!AD64*28,Table10s4!AD64*268)</f>
        <v>2267.5367813760008</v>
      </c>
      <c r="AE62" s="4089">
        <f>SUM(Table10s2!AE61,Table10s3!AE64*28,Table10s4!AE64*268)</f>
        <v>2407.5133137704556</v>
      </c>
      <c r="AF62" s="4089">
        <f>SUM(Table10s2!AF61,Table10s3!AF64*28,Table10s4!AF64*268)</f>
        <v>2591.0911700518118</v>
      </c>
      <c r="AG62" s="4089">
        <f>SUM(Table10s2!AG61,Table10s3!AG64*28,Table10s4!AG64*268)</f>
        <v>2531.571397501697</v>
      </c>
      <c r="AH62" s="4089">
        <f>SUM(Table10s2!AH61,Table10s3!AH64*28,Table10s4!AH64*268)</f>
        <v>2405.7383531210039</v>
      </c>
      <c r="AI62" s="4089">
        <f>SUM(Table10s2!AI61,Table10s3!AI64*28,Table10s4!AI64*268)</f>
        <v>2152.0251415871985</v>
      </c>
      <c r="AJ62" s="4089">
        <f>SUM(Table10s2!AJ61,Table10s3!AJ64*28,Table10s4!AJ64*268)</f>
        <v>1270.2940093391999</v>
      </c>
      <c r="AK62" s="4089">
        <f>SUM(Table10s2!AK61,Table10s3!AK64*28,Table10s4!AK64*268)</f>
        <v>1886.5588880206635</v>
      </c>
      <c r="AL62" s="4080">
        <f t="shared" si="3"/>
        <v>-10.102189152286456</v>
      </c>
    </row>
    <row r="63" spans="2:38" ht="18" customHeight="1" x14ac:dyDescent="0.2">
      <c r="B63" s="1380" t="s">
        <v>220</v>
      </c>
      <c r="C63" s="2027"/>
      <c r="D63" s="2027"/>
      <c r="E63" s="4073" t="s">
        <v>221</v>
      </c>
      <c r="F63" s="4073" t="s">
        <v>221</v>
      </c>
      <c r="G63" s="4073" t="s">
        <v>221</v>
      </c>
      <c r="H63" s="4073" t="s">
        <v>221</v>
      </c>
      <c r="I63" s="4073" t="s">
        <v>221</v>
      </c>
      <c r="J63" s="4073" t="s">
        <v>221</v>
      </c>
      <c r="K63" s="4073" t="s">
        <v>221</v>
      </c>
      <c r="L63" s="4073" t="s">
        <v>221</v>
      </c>
      <c r="M63" s="4073" t="s">
        <v>221</v>
      </c>
      <c r="N63" s="4073" t="s">
        <v>221</v>
      </c>
      <c r="O63" s="4073" t="s">
        <v>221</v>
      </c>
      <c r="P63" s="4073" t="s">
        <v>221</v>
      </c>
      <c r="Q63" s="4073" t="s">
        <v>221</v>
      </c>
      <c r="R63" s="4073" t="s">
        <v>221</v>
      </c>
      <c r="S63" s="4073" t="s">
        <v>221</v>
      </c>
      <c r="T63" s="4073" t="s">
        <v>221</v>
      </c>
      <c r="U63" s="4073" t="s">
        <v>221</v>
      </c>
      <c r="V63" s="4073" t="s">
        <v>221</v>
      </c>
      <c r="W63" s="4073" t="s">
        <v>221</v>
      </c>
      <c r="X63" s="4073" t="s">
        <v>221</v>
      </c>
      <c r="Y63" s="4073" t="s">
        <v>221</v>
      </c>
      <c r="Z63" s="4073" t="s">
        <v>221</v>
      </c>
      <c r="AA63" s="4073" t="s">
        <v>221</v>
      </c>
      <c r="AB63" s="4073" t="s">
        <v>221</v>
      </c>
      <c r="AC63" s="4073" t="s">
        <v>221</v>
      </c>
      <c r="AD63" s="4073" t="s">
        <v>221</v>
      </c>
      <c r="AE63" s="4073" t="s">
        <v>221</v>
      </c>
      <c r="AF63" s="4073" t="s">
        <v>221</v>
      </c>
      <c r="AG63" s="4073" t="s">
        <v>221</v>
      </c>
      <c r="AH63" s="4073" t="s">
        <v>221</v>
      </c>
      <c r="AI63" s="4073" t="s">
        <v>221</v>
      </c>
      <c r="AJ63" s="4073" t="s">
        <v>221</v>
      </c>
      <c r="AK63" s="4073" t="s">
        <v>221</v>
      </c>
      <c r="AL63" s="4080" t="s">
        <v>205</v>
      </c>
    </row>
    <row r="64" spans="2:38" ht="18" customHeight="1" x14ac:dyDescent="0.2">
      <c r="B64" s="1378" t="s">
        <v>222</v>
      </c>
      <c r="C64" s="2027"/>
      <c r="D64" s="2027"/>
      <c r="E64" s="4089">
        <f>Table10s2!E63</f>
        <v>15142.26513</v>
      </c>
      <c r="F64" s="4089">
        <f>Table10s2!F63</f>
        <v>15017.92222</v>
      </c>
      <c r="G64" s="4089">
        <f>Table10s2!G63</f>
        <v>13705.034500000002</v>
      </c>
      <c r="H64" s="4089">
        <f>Table10s2!H63</f>
        <v>15366.505570000001</v>
      </c>
      <c r="I64" s="4089">
        <f>Table10s2!I63</f>
        <v>16319.267620000002</v>
      </c>
      <c r="J64" s="4089">
        <f>Table10s2!J63</f>
        <v>17109.553749999999</v>
      </c>
      <c r="K64" s="4089">
        <f>Table10s2!K63</f>
        <v>18140.992340000004</v>
      </c>
      <c r="L64" s="4089">
        <f>Table10s2!L63</f>
        <v>19020.636110000003</v>
      </c>
      <c r="M64" s="4089">
        <f>Table10s2!M63</f>
        <v>19328.68835</v>
      </c>
      <c r="N64" s="4089">
        <f>Table10s2!N63</f>
        <v>19067.450679999998</v>
      </c>
      <c r="O64" s="4089">
        <f>Table10s2!O63</f>
        <v>19243.867299999998</v>
      </c>
      <c r="P64" s="4089">
        <f>Table10s2!P63</f>
        <v>18429.667800000003</v>
      </c>
      <c r="Q64" s="4089">
        <f>Table10s2!Q63</f>
        <v>16548.893514000003</v>
      </c>
      <c r="R64" s="4089">
        <f>Table10s2!R63</f>
        <v>18217.176067586293</v>
      </c>
      <c r="S64" s="4089">
        <f>Table10s2!S63</f>
        <v>18497.257284546271</v>
      </c>
      <c r="T64" s="4089">
        <f>Table10s2!T63</f>
        <v>19092.019215944791</v>
      </c>
      <c r="U64" s="4089">
        <f>Table10s2!U63</f>
        <v>19104.041734213242</v>
      </c>
      <c r="V64" s="4089">
        <f>Table10s2!V63</f>
        <v>19252.600125708163</v>
      </c>
      <c r="W64" s="4089">
        <f>Table10s2!W63</f>
        <v>19671.551527105297</v>
      </c>
      <c r="X64" s="4089">
        <f>Table10s2!X63</f>
        <v>14682.810440562394</v>
      </c>
      <c r="Y64" s="4089">
        <f>Table10s2!Y63</f>
        <v>17170.624238716351</v>
      </c>
      <c r="Z64" s="4089">
        <f>Table10s2!Z63</f>
        <v>16455.288575753701</v>
      </c>
      <c r="AA64" s="4089">
        <f>Table10s2!AA63</f>
        <v>16529.063075565657</v>
      </c>
      <c r="AB64" s="4089">
        <f>Table10s2!AB63</f>
        <v>18039.799317792531</v>
      </c>
      <c r="AC64" s="4089">
        <f>Table10s2!AC63</f>
        <v>17898.475606673011</v>
      </c>
      <c r="AD64" s="4089">
        <f>Table10s2!AD63</f>
        <v>19040.21011526381</v>
      </c>
      <c r="AE64" s="4089">
        <f>Table10s2!AE63</f>
        <v>19056.789306434563</v>
      </c>
      <c r="AF64" s="4089">
        <f>Table10s2!AF63</f>
        <v>20194.191151191651</v>
      </c>
      <c r="AG64" s="4089">
        <f>Table10s2!AG63</f>
        <v>16501.187294004005</v>
      </c>
      <c r="AH64" s="4089">
        <f>Table10s2!AH63</f>
        <v>15553.66145711963</v>
      </c>
      <c r="AI64" s="4089">
        <f>Table10s2!AI63</f>
        <v>16278.472390810326</v>
      </c>
      <c r="AJ64" s="4089">
        <f>Table10s2!AJ63</f>
        <v>17038.838972092974</v>
      </c>
      <c r="AK64" s="4089">
        <f>Table10s2!AK63</f>
        <v>16931.329062250377</v>
      </c>
      <c r="AL64" s="4080">
        <f t="shared" si="3"/>
        <v>11.815035048526966</v>
      </c>
    </row>
    <row r="65" spans="2:38" ht="18" customHeight="1" x14ac:dyDescent="0.2">
      <c r="B65" s="1382" t="s">
        <v>1964</v>
      </c>
      <c r="C65" s="2027"/>
      <c r="D65" s="2027"/>
      <c r="E65" s="4089" t="str">
        <f>Table10s2!E64</f>
        <v>NO</v>
      </c>
      <c r="F65" s="4089" t="str">
        <f>Table10s2!F64</f>
        <v>NO</v>
      </c>
      <c r="G65" s="4089" t="str">
        <f>Table10s2!G64</f>
        <v>NO</v>
      </c>
      <c r="H65" s="4089" t="str">
        <f>Table10s2!H64</f>
        <v>NO</v>
      </c>
      <c r="I65" s="4089" t="str">
        <f>Table10s2!I64</f>
        <v>NO</v>
      </c>
      <c r="J65" s="4089" t="str">
        <f>Table10s2!J64</f>
        <v>NO</v>
      </c>
      <c r="K65" s="4089" t="str">
        <f>Table10s2!K64</f>
        <v>NO</v>
      </c>
      <c r="L65" s="4089" t="str">
        <f>Table10s2!L64</f>
        <v>NO</v>
      </c>
      <c r="M65" s="4089" t="str">
        <f>Table10s2!M64</f>
        <v>NO</v>
      </c>
      <c r="N65" s="4089" t="str">
        <f>Table10s2!N64</f>
        <v>NO</v>
      </c>
      <c r="O65" s="4089" t="str">
        <f>Table10s2!O64</f>
        <v>NO</v>
      </c>
      <c r="P65" s="4089" t="str">
        <f>Table10s2!P64</f>
        <v>NO</v>
      </c>
      <c r="Q65" s="4089" t="str">
        <f>Table10s2!Q64</f>
        <v>NO</v>
      </c>
      <c r="R65" s="4089" t="str">
        <f>Table10s2!R64</f>
        <v>NO</v>
      </c>
      <c r="S65" s="4089" t="str">
        <f>Table10s2!S64</f>
        <v>NO</v>
      </c>
      <c r="T65" s="4089" t="str">
        <f>Table10s2!T64</f>
        <v>NO</v>
      </c>
      <c r="U65" s="4089" t="str">
        <f>Table10s2!U64</f>
        <v>NO</v>
      </c>
      <c r="V65" s="4089" t="str">
        <f>Table10s2!V64</f>
        <v>NO</v>
      </c>
      <c r="W65" s="4089" t="str">
        <f>Table10s2!W64</f>
        <v>NO</v>
      </c>
      <c r="X65" s="4089" t="str">
        <f>Table10s2!X64</f>
        <v>NO</v>
      </c>
      <c r="Y65" s="4089" t="str">
        <f>Table10s2!Y64</f>
        <v>NO</v>
      </c>
      <c r="Z65" s="4089" t="str">
        <f>Table10s2!Z64</f>
        <v>NO</v>
      </c>
      <c r="AA65" s="4089" t="str">
        <f>Table10s2!AA64</f>
        <v>NO</v>
      </c>
      <c r="AB65" s="4089" t="str">
        <f>Table10s2!AB64</f>
        <v>NO</v>
      </c>
      <c r="AC65" s="4089" t="str">
        <f>Table10s2!AC64</f>
        <v>NO</v>
      </c>
      <c r="AD65" s="4089" t="str">
        <f>Table10s2!AD64</f>
        <v>NO</v>
      </c>
      <c r="AE65" s="4089" t="str">
        <f>Table10s2!AE64</f>
        <v>NO</v>
      </c>
      <c r="AF65" s="4089" t="str">
        <f>Table10s2!AF64</f>
        <v>NO</v>
      </c>
      <c r="AG65" s="4089" t="str">
        <f>Table10s2!AG64</f>
        <v>NO</v>
      </c>
      <c r="AH65" s="4089" t="str">
        <f>Table10s2!AH64</f>
        <v>NO</v>
      </c>
      <c r="AI65" s="4089">
        <f>Table10s2!AI64</f>
        <v>2164.8240000000001</v>
      </c>
      <c r="AJ65" s="4089">
        <f>Table10s2!AJ64</f>
        <v>2720.328</v>
      </c>
      <c r="AK65" s="4089">
        <f>Table10s2!AK64</f>
        <v>1646.4929999999999</v>
      </c>
      <c r="AL65" s="4080">
        <f t="shared" si="3"/>
        <v>100</v>
      </c>
    </row>
    <row r="66" spans="2:38" ht="18" customHeight="1" x14ac:dyDescent="0.2">
      <c r="B66" s="1383" t="s">
        <v>1965</v>
      </c>
      <c r="C66" s="2254"/>
      <c r="D66" s="2254"/>
      <c r="E66" s="4089">
        <f>Table10s2!E65</f>
        <v>186837.52681501082</v>
      </c>
      <c r="F66" s="4089">
        <f>Table10s2!F65</f>
        <v>191008.2991050088</v>
      </c>
      <c r="G66" s="4089">
        <f>Table10s2!G65</f>
        <v>195204.17985202701</v>
      </c>
      <c r="H66" s="4089">
        <f>Table10s2!H65</f>
        <v>199356.97940795182</v>
      </c>
      <c r="I66" s="4089">
        <f>Table10s2!I65</f>
        <v>203492.86646496458</v>
      </c>
      <c r="J66" s="4089">
        <f>Table10s2!J65</f>
        <v>207719.6243452398</v>
      </c>
      <c r="K66" s="4089">
        <f>Table10s2!K65</f>
        <v>212137.14125804187</v>
      </c>
      <c r="L66" s="4089">
        <f>Table10s2!L65</f>
        <v>216505.66544917307</v>
      </c>
      <c r="M66" s="4089">
        <f>Table10s2!M65</f>
        <v>220912.12970598124</v>
      </c>
      <c r="N66" s="4089">
        <f>Table10s2!N65</f>
        <v>225505.32363434634</v>
      </c>
      <c r="O66" s="4089">
        <f>Table10s2!O65</f>
        <v>229989.38215038864</v>
      </c>
      <c r="P66" s="4089">
        <f>Table10s2!P65</f>
        <v>234770.34559658531</v>
      </c>
      <c r="Q66" s="4089">
        <f>Table10s2!Q65</f>
        <v>239386.87216001595</v>
      </c>
      <c r="R66" s="4089">
        <f>Table10s2!R65</f>
        <v>244014.08217888058</v>
      </c>
      <c r="S66" s="4089">
        <f>Table10s2!S65</f>
        <v>248746.92909798762</v>
      </c>
      <c r="T66" s="4089">
        <f>Table10s2!T65</f>
        <v>253806.85499479342</v>
      </c>
      <c r="U66" s="4089">
        <f>Table10s2!U65</f>
        <v>258915.41439428658</v>
      </c>
      <c r="V66" s="4089">
        <f>Table10s2!V65</f>
        <v>263961.04090265837</v>
      </c>
      <c r="W66" s="4089">
        <f>Table10s2!W65</f>
        <v>268909.26940331148</v>
      </c>
      <c r="X66" s="4089">
        <f>Table10s2!X65</f>
        <v>273785.94821395894</v>
      </c>
      <c r="Y66" s="4089">
        <f>Table10s2!Y65</f>
        <v>278449.60794762743</v>
      </c>
      <c r="Z66" s="4089">
        <f>Table10s2!Z65</f>
        <v>282823.15214588447</v>
      </c>
      <c r="AA66" s="4089">
        <f>Table10s2!AA65</f>
        <v>287376.68198365142</v>
      </c>
      <c r="AB66" s="4089">
        <f>Table10s2!AB65</f>
        <v>291485.50700511056</v>
      </c>
      <c r="AC66" s="4089">
        <f>Table10s2!AC65</f>
        <v>295510.11206349486</v>
      </c>
      <c r="AD66" s="4089">
        <f>Table10s2!AD65</f>
        <v>299562.4313967601</v>
      </c>
      <c r="AE66" s="4089">
        <f>Table10s2!AE65</f>
        <v>303469.60009146732</v>
      </c>
      <c r="AF66" s="4089">
        <f>Table10s2!AF65</f>
        <v>307313.92418405256</v>
      </c>
      <c r="AG66" s="4089">
        <f>Table10s2!AG65</f>
        <v>311003.62447329535</v>
      </c>
      <c r="AH66" s="4089">
        <f>Table10s2!AH65</f>
        <v>315106.42824677972</v>
      </c>
      <c r="AI66" s="4089">
        <f>Table10s2!AI65</f>
        <v>319218.82531955553</v>
      </c>
      <c r="AJ66" s="4089">
        <f>Table10s2!AJ65</f>
        <v>323256.03024599818</v>
      </c>
      <c r="AK66" s="4089">
        <f>Table10s2!AK65</f>
        <v>327358.09608612536</v>
      </c>
      <c r="AL66" s="4080">
        <f t="shared" si="3"/>
        <v>75.210034978810739</v>
      </c>
    </row>
    <row r="67" spans="2:38" ht="18" customHeight="1" thickBot="1" x14ac:dyDescent="0.25">
      <c r="B67" s="776" t="s">
        <v>1996</v>
      </c>
      <c r="C67" s="2043"/>
      <c r="D67" s="2043"/>
      <c r="E67" s="4077" t="str">
        <f>Table10s4!E69</f>
        <v>IE,NE,NO</v>
      </c>
      <c r="F67" s="4077" t="str">
        <f>Table10s4!F69</f>
        <v>IE,NE,NO</v>
      </c>
      <c r="G67" s="4077" t="str">
        <f>Table10s4!G69</f>
        <v>IE,NE,NO</v>
      </c>
      <c r="H67" s="4077" t="str">
        <f>Table10s4!H69</f>
        <v>IE,NE,NO</v>
      </c>
      <c r="I67" s="4077" t="str">
        <f>Table10s4!I69</f>
        <v>IE,NE,NO</v>
      </c>
      <c r="J67" s="4077" t="str">
        <f>Table10s4!J69</f>
        <v>IE,NE,NO</v>
      </c>
      <c r="K67" s="4077" t="str">
        <f>Table10s4!K69</f>
        <v>IE,NE,NO</v>
      </c>
      <c r="L67" s="4077" t="str">
        <f>Table10s4!L69</f>
        <v>IE,NE,NO</v>
      </c>
      <c r="M67" s="4077" t="str">
        <f>Table10s4!M69</f>
        <v>IE,NE,NO</v>
      </c>
      <c r="N67" s="4077" t="str">
        <f>Table10s4!N69</f>
        <v>IE,NE,NO</v>
      </c>
      <c r="O67" s="4077" t="str">
        <f>Table10s4!O69</f>
        <v>IE,NE,NO</v>
      </c>
      <c r="P67" s="4077" t="str">
        <f>Table10s4!P69</f>
        <v>IE,NE,NO</v>
      </c>
      <c r="Q67" s="4077" t="str">
        <f>Table10s4!Q69</f>
        <v>IE,NE,NO</v>
      </c>
      <c r="R67" s="4077" t="str">
        <f>Table10s4!R69</f>
        <v>IE,NE,NO</v>
      </c>
      <c r="S67" s="4077" t="str">
        <f>Table10s4!S69</f>
        <v>IE,NE,NO</v>
      </c>
      <c r="T67" s="4077" t="str">
        <f>Table10s4!T69</f>
        <v>IE,NE,NO</v>
      </c>
      <c r="U67" s="4077" t="str">
        <f>Table10s4!U69</f>
        <v>IE,NE,NO</v>
      </c>
      <c r="V67" s="4077" t="str">
        <f>Table10s4!V69</f>
        <v>IE,NE,NO</v>
      </c>
      <c r="W67" s="4077" t="str">
        <f>Table10s4!W69</f>
        <v>IE,NE,NO</v>
      </c>
      <c r="X67" s="4077" t="str">
        <f>Table10s4!X69</f>
        <v>IE,NE,NO</v>
      </c>
      <c r="Y67" s="4077" t="str">
        <f>Table10s4!Y69</f>
        <v>IE,NE,NO</v>
      </c>
      <c r="Z67" s="4077" t="str">
        <f>Table10s4!Z69</f>
        <v>IE,NE,NO</v>
      </c>
      <c r="AA67" s="4077" t="str">
        <f>Table10s4!AA69</f>
        <v>IE,NE,NO</v>
      </c>
      <c r="AB67" s="4077" t="str">
        <f>Table10s4!AB69</f>
        <v>IE,NE,NO</v>
      </c>
      <c r="AC67" s="4077" t="str">
        <f>Table10s4!AC69</f>
        <v>IE,NE,NO</v>
      </c>
      <c r="AD67" s="4077" t="str">
        <f>Table10s4!AD69</f>
        <v>IE,NE,NO</v>
      </c>
      <c r="AE67" s="4077" t="str">
        <f>Table10s4!AE69</f>
        <v>IE,NE,NO</v>
      </c>
      <c r="AF67" s="4077" t="str">
        <f>Table10s4!AF69</f>
        <v>IE,NE,NO</v>
      </c>
      <c r="AG67" s="4077" t="str">
        <f>Table10s4!AG69</f>
        <v>IE,NE,NO</v>
      </c>
      <c r="AH67" s="4077" t="str">
        <f>Table10s4!AH69</f>
        <v>IE,NE,NO</v>
      </c>
      <c r="AI67" s="4077" t="str">
        <f>Table10s4!AI69</f>
        <v>IE,NE,NO</v>
      </c>
      <c r="AJ67" s="4077" t="str">
        <f>Table10s4!AJ69</f>
        <v>IE,NE,NO</v>
      </c>
      <c r="AK67" s="4077" t="str">
        <f>Table10s4!AK69</f>
        <v>IE,NE,NO</v>
      </c>
      <c r="AL67" s="4086" t="s">
        <v>205</v>
      </c>
    </row>
    <row r="68" spans="2:38" ht="18" customHeight="1" thickBot="1" x14ac:dyDescent="0.25"/>
    <row r="69" spans="2:38" ht="18" customHeight="1" thickBot="1" x14ac:dyDescent="0.25">
      <c r="B69" s="777" t="s">
        <v>2387</v>
      </c>
      <c r="C69" s="2031"/>
      <c r="D69" s="2031"/>
      <c r="E69" s="4091" t="str">
        <f>Table10s2!E68</f>
        <v>NE,NO</v>
      </c>
      <c r="F69" s="4091" t="str">
        <f>Table10s2!F68</f>
        <v>NE,NO</v>
      </c>
      <c r="G69" s="4091" t="str">
        <f>Table10s2!G68</f>
        <v>NE,NO</v>
      </c>
      <c r="H69" s="4091" t="str">
        <f>Table10s2!H68</f>
        <v>NE,NO</v>
      </c>
      <c r="I69" s="4091" t="str">
        <f>Table10s2!I68</f>
        <v>NE,NO</v>
      </c>
      <c r="J69" s="4091" t="str">
        <f>Table10s2!J68</f>
        <v>NE,NO</v>
      </c>
      <c r="K69" s="4091" t="str">
        <f>Table10s2!K68</f>
        <v>NE,NO</v>
      </c>
      <c r="L69" s="4091" t="str">
        <f>Table10s2!L68</f>
        <v>NE,NO</v>
      </c>
      <c r="M69" s="4091" t="str">
        <f>Table10s2!M68</f>
        <v>NE,NO</v>
      </c>
      <c r="N69" s="4091" t="str">
        <f>Table10s2!N68</f>
        <v>NE,NO</v>
      </c>
      <c r="O69" s="4091" t="str">
        <f>Table10s2!O68</f>
        <v>NE,NO</v>
      </c>
      <c r="P69" s="4091" t="str">
        <f>Table10s2!P68</f>
        <v>NE,NO</v>
      </c>
      <c r="Q69" s="4091" t="str">
        <f>Table10s2!Q68</f>
        <v>NE,NO</v>
      </c>
      <c r="R69" s="4091" t="str">
        <f>Table10s2!R68</f>
        <v>NE,NO</v>
      </c>
      <c r="S69" s="4091" t="str">
        <f>Table10s2!S68</f>
        <v>NE,NO</v>
      </c>
      <c r="T69" s="4091" t="str">
        <f>Table10s2!T68</f>
        <v>NE,NO</v>
      </c>
      <c r="U69" s="4091" t="str">
        <f>Table10s2!U68</f>
        <v>NE,NO</v>
      </c>
      <c r="V69" s="4091" t="str">
        <f>Table10s2!V68</f>
        <v>NE,NO</v>
      </c>
      <c r="W69" s="4091" t="str">
        <f>Table10s2!W68</f>
        <v>NE,NO</v>
      </c>
      <c r="X69" s="4091" t="str">
        <f>Table10s2!X68</f>
        <v>NE,NO</v>
      </c>
      <c r="Y69" s="4091" t="str">
        <f>Table10s2!Y68</f>
        <v>NE,NO</v>
      </c>
      <c r="Z69" s="4091" t="str">
        <f>Table10s2!Z68</f>
        <v>NE,NO</v>
      </c>
      <c r="AA69" s="4091" t="str">
        <f>Table10s2!AA68</f>
        <v>NE,NO</v>
      </c>
      <c r="AB69" s="4091" t="str">
        <f>Table10s2!AB68</f>
        <v>NE,NO</v>
      </c>
      <c r="AC69" s="4091" t="str">
        <f>Table10s2!AC68</f>
        <v>NE,NO</v>
      </c>
      <c r="AD69" s="4091" t="str">
        <f>Table10s2!AD68</f>
        <v>NE,NO</v>
      </c>
      <c r="AE69" s="4091" t="str">
        <f>Table10s2!AE68</f>
        <v>NE,NO</v>
      </c>
      <c r="AF69" s="4091" t="str">
        <f>Table10s2!AF68</f>
        <v>NE,NO</v>
      </c>
      <c r="AG69" s="4091" t="str">
        <f>Table10s2!AG68</f>
        <v>NE,NO</v>
      </c>
      <c r="AH69" s="4091" t="str">
        <f>Table10s2!AH68</f>
        <v>NE,NO</v>
      </c>
      <c r="AI69" s="4091" t="str">
        <f>Table10s2!AI68</f>
        <v>NE,NO</v>
      </c>
      <c r="AJ69" s="4091" t="str">
        <f>Table10s2!AJ68</f>
        <v>NE,NO</v>
      </c>
      <c r="AK69" s="4091" t="str">
        <f>Table10s2!AK68</f>
        <v>NE,NO</v>
      </c>
      <c r="AL69" s="4095"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100">
        <f>E72-E42</f>
        <v>437120.09424243984</v>
      </c>
      <c r="F71" s="4100">
        <f t="shared" ref="F71:AJ71" si="4">F72-F42</f>
        <v>437221.89676100219</v>
      </c>
      <c r="G71" s="4100">
        <f t="shared" si="4"/>
        <v>441026.62601250334</v>
      </c>
      <c r="H71" s="4100">
        <f t="shared" si="4"/>
        <v>441346.32056527224</v>
      </c>
      <c r="I71" s="4100">
        <f t="shared" si="4"/>
        <v>441582.50470464193</v>
      </c>
      <c r="J71" s="4100">
        <f t="shared" si="4"/>
        <v>450275.96055641148</v>
      </c>
      <c r="K71" s="4100">
        <f t="shared" si="4"/>
        <v>456436.44916589896</v>
      </c>
      <c r="L71" s="4100">
        <f t="shared" si="4"/>
        <v>468505.59149230632</v>
      </c>
      <c r="M71" s="4100">
        <f t="shared" si="4"/>
        <v>482953.83369738876</v>
      </c>
      <c r="N71" s="4100">
        <f t="shared" si="4"/>
        <v>488856.76386380458</v>
      </c>
      <c r="O71" s="4100">
        <f t="shared" si="4"/>
        <v>500452.72044360684</v>
      </c>
      <c r="P71" s="4100">
        <f t="shared" si="4"/>
        <v>508411.47775409603</v>
      </c>
      <c r="Q71" s="4100">
        <f t="shared" si="4"/>
        <v>512028.39678833436</v>
      </c>
      <c r="R71" s="4100">
        <f t="shared" si="4"/>
        <v>511249.40009840002</v>
      </c>
      <c r="S71" s="4100">
        <f t="shared" si="4"/>
        <v>527977.34703873214</v>
      </c>
      <c r="T71" s="4100">
        <f t="shared" si="4"/>
        <v>534477.11171433097</v>
      </c>
      <c r="U71" s="4100">
        <f t="shared" si="4"/>
        <v>538698.03034436028</v>
      </c>
      <c r="V71" s="4100">
        <f t="shared" si="4"/>
        <v>545914.99549756991</v>
      </c>
      <c r="W71" s="4100">
        <f t="shared" si="4"/>
        <v>548836.78605171083</v>
      </c>
      <c r="X71" s="4100">
        <f t="shared" si="4"/>
        <v>550629.16716883145</v>
      </c>
      <c r="Y71" s="4100">
        <f t="shared" si="4"/>
        <v>545875.286129824</v>
      </c>
      <c r="Z71" s="4100">
        <f t="shared" si="4"/>
        <v>547539.01620499813</v>
      </c>
      <c r="AA71" s="4100">
        <f t="shared" si="4"/>
        <v>550595.5827722036</v>
      </c>
      <c r="AB71" s="4100">
        <f t="shared" si="4"/>
        <v>542518.81392878015</v>
      </c>
      <c r="AC71" s="4100">
        <f t="shared" si="4"/>
        <v>534092.04328255693</v>
      </c>
      <c r="AD71" s="4100">
        <f t="shared" si="4"/>
        <v>543339.69825429213</v>
      </c>
      <c r="AE71" s="4100">
        <f t="shared" si="4"/>
        <v>551588.80702385202</v>
      </c>
      <c r="AF71" s="4100">
        <f t="shared" si="4"/>
        <v>558300.32564293465</v>
      </c>
      <c r="AG71" s="4100">
        <f t="shared" si="4"/>
        <v>560030.83366683568</v>
      </c>
      <c r="AH71" s="4100">
        <f t="shared" si="4"/>
        <v>554209.01177958737</v>
      </c>
      <c r="AI71" s="4100">
        <f t="shared" si="4"/>
        <v>535775.9559534716</v>
      </c>
      <c r="AJ71" s="4100">
        <f t="shared" si="4"/>
        <v>527276.13376268733</v>
      </c>
      <c r="AK71" s="4100">
        <f t="shared" ref="AK71" si="5">AK72-AK42</f>
        <v>520995.05770597071</v>
      </c>
      <c r="AL71" s="4080">
        <f t="shared" ref="AL71:AL72" si="6">IF(AK71="NO",IF(E71="NO","NA",-100),IF(E71="NO",100,AK71/E71*100-100))</f>
        <v>19.188082306966962</v>
      </c>
    </row>
    <row r="72" spans="2:38" ht="18" customHeight="1" x14ac:dyDescent="0.2">
      <c r="B72" s="779" t="s">
        <v>2389</v>
      </c>
      <c r="C72" s="2027"/>
      <c r="D72" s="2027"/>
      <c r="E72" s="4065">
        <f>E10</f>
        <v>615387.33158157731</v>
      </c>
      <c r="F72" s="4065">
        <f t="shared" ref="F72:AJ72" si="7">F10</f>
        <v>594992.05584437493</v>
      </c>
      <c r="G72" s="4065">
        <f t="shared" si="7"/>
        <v>554505.69382057013</v>
      </c>
      <c r="H72" s="4065">
        <f t="shared" si="7"/>
        <v>533504.41248450219</v>
      </c>
      <c r="I72" s="4065">
        <f t="shared" si="7"/>
        <v>523368.45044243411</v>
      </c>
      <c r="J72" s="4065">
        <f t="shared" si="7"/>
        <v>510972.6128152663</v>
      </c>
      <c r="K72" s="4065">
        <f t="shared" si="7"/>
        <v>512168.51640588255</v>
      </c>
      <c r="L72" s="4065">
        <f t="shared" si="7"/>
        <v>510321.33805232425</v>
      </c>
      <c r="M72" s="4065">
        <f t="shared" si="7"/>
        <v>527928.744262986</v>
      </c>
      <c r="N72" s="4065">
        <f t="shared" si="7"/>
        <v>548328.05028453644</v>
      </c>
      <c r="O72" s="4065">
        <f t="shared" si="7"/>
        <v>569826.39322789689</v>
      </c>
      <c r="P72" s="4065">
        <f t="shared" si="7"/>
        <v>586480.1969095266</v>
      </c>
      <c r="Q72" s="4065">
        <f t="shared" si="7"/>
        <v>590984.08540300885</v>
      </c>
      <c r="R72" s="4065">
        <f t="shared" si="7"/>
        <v>590522.57147545065</v>
      </c>
      <c r="S72" s="4065">
        <f t="shared" si="7"/>
        <v>574702.00404791615</v>
      </c>
      <c r="T72" s="4065">
        <f t="shared" si="7"/>
        <v>609446.11738497834</v>
      </c>
      <c r="U72" s="4065">
        <f t="shared" si="7"/>
        <v>644924.25962383696</v>
      </c>
      <c r="V72" s="4065">
        <f t="shared" si="7"/>
        <v>626119.71239156905</v>
      </c>
      <c r="W72" s="4065">
        <f t="shared" si="7"/>
        <v>614649.06367942365</v>
      </c>
      <c r="X72" s="4065">
        <f t="shared" si="7"/>
        <v>607868.15784504137</v>
      </c>
      <c r="Y72" s="4065">
        <f t="shared" si="7"/>
        <v>609168.59844432015</v>
      </c>
      <c r="Z72" s="4065">
        <f t="shared" si="7"/>
        <v>577597.91271958745</v>
      </c>
      <c r="AA72" s="4065">
        <f t="shared" si="7"/>
        <v>554652.15299763659</v>
      </c>
      <c r="AB72" s="4065">
        <f t="shared" si="7"/>
        <v>557099.10662609374</v>
      </c>
      <c r="AC72" s="4065">
        <f t="shared" si="7"/>
        <v>538319.26705382892</v>
      </c>
      <c r="AD72" s="4065">
        <f t="shared" si="7"/>
        <v>533688.36831237073</v>
      </c>
      <c r="AE72" s="4065">
        <f t="shared" si="7"/>
        <v>491065.00379444496</v>
      </c>
      <c r="AF72" s="4065">
        <f t="shared" si="7"/>
        <v>528911.16518691659</v>
      </c>
      <c r="AG72" s="4065">
        <f t="shared" si="7"/>
        <v>501666.11985272123</v>
      </c>
      <c r="AH72" s="4065">
        <f t="shared" si="7"/>
        <v>490705.77650568791</v>
      </c>
      <c r="AI72" s="4065">
        <f t="shared" si="7"/>
        <v>474544.2922087331</v>
      </c>
      <c r="AJ72" s="4065">
        <f t="shared" si="7"/>
        <v>438745.05754808907</v>
      </c>
      <c r="AK72" s="4065">
        <f t="shared" ref="AK72" si="8">AK10</f>
        <v>432620.83505134587</v>
      </c>
      <c r="AL72" s="4080">
        <f t="shared" si="6"/>
        <v>-29.699424598246452</v>
      </c>
    </row>
    <row r="73" spans="2:38" ht="18" customHeight="1" x14ac:dyDescent="0.2">
      <c r="B73" s="779" t="s">
        <v>2000</v>
      </c>
      <c r="C73" s="2027"/>
      <c r="D73" s="2027"/>
      <c r="E73" s="4073" t="s">
        <v>205</v>
      </c>
      <c r="F73" s="4073" t="s">
        <v>205</v>
      </c>
      <c r="G73" s="4073" t="s">
        <v>205</v>
      </c>
      <c r="H73" s="4073" t="s">
        <v>205</v>
      </c>
      <c r="I73" s="4073" t="s">
        <v>205</v>
      </c>
      <c r="J73" s="4073" t="s">
        <v>205</v>
      </c>
      <c r="K73" s="4073" t="s">
        <v>205</v>
      </c>
      <c r="L73" s="4073" t="s">
        <v>205</v>
      </c>
      <c r="M73" s="4073" t="s">
        <v>205</v>
      </c>
      <c r="N73" s="4073" t="s">
        <v>205</v>
      </c>
      <c r="O73" s="4073" t="s">
        <v>205</v>
      </c>
      <c r="P73" s="4073" t="s">
        <v>205</v>
      </c>
      <c r="Q73" s="4073" t="s">
        <v>205</v>
      </c>
      <c r="R73" s="4073" t="s">
        <v>205</v>
      </c>
      <c r="S73" s="4073" t="s">
        <v>205</v>
      </c>
      <c r="T73" s="4073" t="s">
        <v>205</v>
      </c>
      <c r="U73" s="4073" t="s">
        <v>205</v>
      </c>
      <c r="V73" s="4073" t="s">
        <v>205</v>
      </c>
      <c r="W73" s="4073" t="s">
        <v>205</v>
      </c>
      <c r="X73" s="4073" t="s">
        <v>205</v>
      </c>
      <c r="Y73" s="4073" t="s">
        <v>205</v>
      </c>
      <c r="Z73" s="4073" t="s">
        <v>205</v>
      </c>
      <c r="AA73" s="4073" t="s">
        <v>205</v>
      </c>
      <c r="AB73" s="4073" t="s">
        <v>205</v>
      </c>
      <c r="AC73" s="4073" t="s">
        <v>205</v>
      </c>
      <c r="AD73" s="4073" t="s">
        <v>205</v>
      </c>
      <c r="AE73" s="4073" t="s">
        <v>205</v>
      </c>
      <c r="AF73" s="4073" t="s">
        <v>205</v>
      </c>
      <c r="AG73" s="4073" t="s">
        <v>205</v>
      </c>
      <c r="AH73" s="4073" t="s">
        <v>205</v>
      </c>
      <c r="AI73" s="4073" t="s">
        <v>205</v>
      </c>
      <c r="AJ73" s="4073" t="s">
        <v>205</v>
      </c>
      <c r="AK73" s="4073" t="s">
        <v>205</v>
      </c>
      <c r="AL73" s="4093" t="s">
        <v>205</v>
      </c>
    </row>
    <row r="74" spans="2:38" ht="18" customHeight="1" thickBot="1" x14ac:dyDescent="0.25">
      <c r="B74" s="2551" t="s">
        <v>2390</v>
      </c>
      <c r="C74" s="2043"/>
      <c r="D74" s="2043"/>
      <c r="E74" s="4077" t="s">
        <v>205</v>
      </c>
      <c r="F74" s="4077" t="s">
        <v>205</v>
      </c>
      <c r="G74" s="4077" t="s">
        <v>205</v>
      </c>
      <c r="H74" s="4077" t="s">
        <v>205</v>
      </c>
      <c r="I74" s="4077" t="s">
        <v>205</v>
      </c>
      <c r="J74" s="4077" t="s">
        <v>205</v>
      </c>
      <c r="K74" s="4077" t="s">
        <v>205</v>
      </c>
      <c r="L74" s="4077" t="s">
        <v>205</v>
      </c>
      <c r="M74" s="4077" t="s">
        <v>205</v>
      </c>
      <c r="N74" s="4077" t="s">
        <v>205</v>
      </c>
      <c r="O74" s="4077" t="s">
        <v>205</v>
      </c>
      <c r="P74" s="4077" t="s">
        <v>205</v>
      </c>
      <c r="Q74" s="4077" t="s">
        <v>205</v>
      </c>
      <c r="R74" s="4077" t="s">
        <v>205</v>
      </c>
      <c r="S74" s="4077" t="s">
        <v>205</v>
      </c>
      <c r="T74" s="4077" t="s">
        <v>205</v>
      </c>
      <c r="U74" s="4077" t="s">
        <v>205</v>
      </c>
      <c r="V74" s="4077" t="s">
        <v>205</v>
      </c>
      <c r="W74" s="4077" t="s">
        <v>205</v>
      </c>
      <c r="X74" s="4077" t="s">
        <v>205</v>
      </c>
      <c r="Y74" s="4077" t="s">
        <v>205</v>
      </c>
      <c r="Z74" s="4077" t="s">
        <v>205</v>
      </c>
      <c r="AA74" s="4077" t="s">
        <v>205</v>
      </c>
      <c r="AB74" s="4077" t="s">
        <v>205</v>
      </c>
      <c r="AC74" s="4077" t="s">
        <v>205</v>
      </c>
      <c r="AD74" s="4077" t="s">
        <v>205</v>
      </c>
      <c r="AE74" s="4077" t="s">
        <v>205</v>
      </c>
      <c r="AF74" s="4077" t="s">
        <v>205</v>
      </c>
      <c r="AG74" s="4077" t="s">
        <v>205</v>
      </c>
      <c r="AH74" s="4077" t="s">
        <v>205</v>
      </c>
      <c r="AI74" s="4077" t="s">
        <v>205</v>
      </c>
      <c r="AJ74" s="4077" t="s">
        <v>205</v>
      </c>
      <c r="AK74" s="4077" t="s">
        <v>205</v>
      </c>
      <c r="AL74" s="4086"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V36" activePane="bottomRight" state="frozen"/>
      <selection pane="topRight" activeCell="E1" sqref="E1"/>
      <selection pane="bottomLeft" activeCell="A10" sqref="A10"/>
      <selection pane="bottomRight" activeCell="AE15" sqref="AE1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1"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68">
        <f>SUM(E11,E17,E20)</f>
        <v>258952.01190728179</v>
      </c>
      <c r="F10" s="4068">
        <f t="shared" ref="F10:AK10" si="0">SUM(F11,F17,F20)</f>
        <v>260937.39761643976</v>
      </c>
      <c r="G10" s="4068">
        <f t="shared" si="0"/>
        <v>265479.75782440969</v>
      </c>
      <c r="H10" s="4068">
        <f t="shared" si="0"/>
        <v>269540.92082573089</v>
      </c>
      <c r="I10" s="4068">
        <f t="shared" si="0"/>
        <v>272324.00152569573</v>
      </c>
      <c r="J10" s="4068">
        <f t="shared" si="0"/>
        <v>283311.4656802456</v>
      </c>
      <c r="K10" s="4068">
        <f t="shared" si="0"/>
        <v>289909.97498730302</v>
      </c>
      <c r="L10" s="4068">
        <f t="shared" si="0"/>
        <v>298077.30084264063</v>
      </c>
      <c r="M10" s="4068">
        <f t="shared" si="0"/>
        <v>311286.61848755152</v>
      </c>
      <c r="N10" s="4068">
        <f t="shared" si="0"/>
        <v>320228.21974241873</v>
      </c>
      <c r="O10" s="4068">
        <f t="shared" si="0"/>
        <v>326697.26326850633</v>
      </c>
      <c r="P10" s="4068">
        <f t="shared" si="0"/>
        <v>334695.14600314084</v>
      </c>
      <c r="Q10" s="4068">
        <f t="shared" si="0"/>
        <v>339322.03474788956</v>
      </c>
      <c r="R10" s="4068">
        <f t="shared" si="0"/>
        <v>344660.61830827221</v>
      </c>
      <c r="S10" s="4068">
        <f t="shared" si="0"/>
        <v>357279.70904621849</v>
      </c>
      <c r="T10" s="4068">
        <f t="shared" si="0"/>
        <v>362042.96161830926</v>
      </c>
      <c r="U10" s="4068">
        <f t="shared" si="0"/>
        <v>367255.89690506988</v>
      </c>
      <c r="V10" s="4068">
        <f t="shared" si="0"/>
        <v>372938.50135631009</v>
      </c>
      <c r="W10" s="4068">
        <f t="shared" si="0"/>
        <v>379030.93063415948</v>
      </c>
      <c r="X10" s="4068">
        <f t="shared" si="0"/>
        <v>383999.21672986221</v>
      </c>
      <c r="Y10" s="4068">
        <f t="shared" si="0"/>
        <v>379505.22987497237</v>
      </c>
      <c r="Z10" s="4068">
        <f t="shared" si="0"/>
        <v>377579.38751233678</v>
      </c>
      <c r="AA10" s="4068">
        <f t="shared" si="0"/>
        <v>382667.64405213739</v>
      </c>
      <c r="AB10" s="4068">
        <f t="shared" si="0"/>
        <v>377178.33140094014</v>
      </c>
      <c r="AC10" s="4068">
        <f t="shared" si="0"/>
        <v>371036.04992430686</v>
      </c>
      <c r="AD10" s="4068">
        <f t="shared" si="0"/>
        <v>379536.16830955551</v>
      </c>
      <c r="AE10" s="4068">
        <f t="shared" si="0"/>
        <v>388513.72927277104</v>
      </c>
      <c r="AF10" s="4068">
        <f t="shared" si="0"/>
        <v>391437.18978384516</v>
      </c>
      <c r="AG10" s="4068">
        <f t="shared" si="0"/>
        <v>393043.41527242545</v>
      </c>
      <c r="AH10" s="4068">
        <f t="shared" si="0"/>
        <v>393703.19259955682</v>
      </c>
      <c r="AI10" s="4068">
        <f t="shared" si="0"/>
        <v>377584.25662637874</v>
      </c>
      <c r="AJ10" s="4068">
        <f t="shared" si="0"/>
        <v>366499.16482696502</v>
      </c>
      <c r="AK10" s="4068">
        <f t="shared" si="0"/>
        <v>361194.44181664172</v>
      </c>
      <c r="AL10" s="4067">
        <f>IF(AK10="NO",IF(E10="NO","NA",-100),IF(E10="NO",100,AK10/E10*100-100))</f>
        <v>39.483157190517602</v>
      </c>
      <c r="AM10" s="721"/>
      <c r="AP10" s="4417"/>
    </row>
    <row r="11" spans="2:42" ht="18" customHeight="1" x14ac:dyDescent="0.2">
      <c r="B11" s="1369" t="s">
        <v>1922</v>
      </c>
      <c r="C11" s="2027"/>
      <c r="D11" s="2027"/>
      <c r="E11" s="4065">
        <f>SUM(E12:E16)</f>
        <v>251679.28872254479</v>
      </c>
      <c r="F11" s="4065">
        <f t="shared" ref="F11:AJ11" si="1">SUM(F12:F16)</f>
        <v>253935.97573652302</v>
      </c>
      <c r="G11" s="4065">
        <f t="shared" si="1"/>
        <v>258175.82649789358</v>
      </c>
      <c r="H11" s="4065">
        <f t="shared" si="1"/>
        <v>262403.93799937482</v>
      </c>
      <c r="I11" s="4065">
        <f t="shared" si="1"/>
        <v>265443.60463729384</v>
      </c>
      <c r="J11" s="4065">
        <f t="shared" si="1"/>
        <v>276250.48898081743</v>
      </c>
      <c r="K11" s="4065">
        <f t="shared" si="1"/>
        <v>283148.65591932641</v>
      </c>
      <c r="L11" s="4065">
        <f t="shared" si="1"/>
        <v>291389.68945926498</v>
      </c>
      <c r="M11" s="4065">
        <f t="shared" si="1"/>
        <v>304384.38556825276</v>
      </c>
      <c r="N11" s="4065">
        <f t="shared" si="1"/>
        <v>313062.80677665863</v>
      </c>
      <c r="O11" s="4065">
        <f t="shared" si="1"/>
        <v>318744.12437437929</v>
      </c>
      <c r="P11" s="4065">
        <f t="shared" si="1"/>
        <v>326522.57605830533</v>
      </c>
      <c r="Q11" s="4065">
        <f t="shared" si="1"/>
        <v>331314.54276073753</v>
      </c>
      <c r="R11" s="4065">
        <f t="shared" si="1"/>
        <v>337502.35367384175</v>
      </c>
      <c r="S11" s="4065">
        <f t="shared" si="1"/>
        <v>350421.48132262455</v>
      </c>
      <c r="T11" s="4065">
        <f t="shared" si="1"/>
        <v>355128.20575605682</v>
      </c>
      <c r="U11" s="4065">
        <f t="shared" si="1"/>
        <v>360209.50711034512</v>
      </c>
      <c r="V11" s="4065">
        <f t="shared" si="1"/>
        <v>365433.45730423921</v>
      </c>
      <c r="W11" s="4065">
        <f t="shared" si="1"/>
        <v>371547.2521605533</v>
      </c>
      <c r="X11" s="4065">
        <f t="shared" si="1"/>
        <v>376029.89863237907</v>
      </c>
      <c r="Y11" s="4065">
        <f t="shared" si="1"/>
        <v>371311.48850370245</v>
      </c>
      <c r="Z11" s="4065">
        <f t="shared" si="1"/>
        <v>369696.78610851301</v>
      </c>
      <c r="AA11" s="4065">
        <f t="shared" si="1"/>
        <v>374373.11996466469</v>
      </c>
      <c r="AB11" s="4065">
        <f t="shared" si="1"/>
        <v>368323.72147592145</v>
      </c>
      <c r="AC11" s="4065">
        <f t="shared" si="1"/>
        <v>361755.42857504578</v>
      </c>
      <c r="AD11" s="4065">
        <f t="shared" si="1"/>
        <v>368700.73897720798</v>
      </c>
      <c r="AE11" s="4065">
        <f t="shared" si="1"/>
        <v>376066.45334594941</v>
      </c>
      <c r="AF11" s="4065">
        <f t="shared" si="1"/>
        <v>376568.48221389158</v>
      </c>
      <c r="AG11" s="4065">
        <f t="shared" si="1"/>
        <v>376104.88808579603</v>
      </c>
      <c r="AH11" s="4065">
        <f t="shared" si="1"/>
        <v>373491.22235545854</v>
      </c>
      <c r="AI11" s="4065">
        <f t="shared" si="1"/>
        <v>360287.65911070595</v>
      </c>
      <c r="AJ11" s="4065">
        <f t="shared" si="1"/>
        <v>351082.75792210415</v>
      </c>
      <c r="AK11" s="4065">
        <f t="shared" ref="AK11" si="2">SUM(AK12:AK16)</f>
        <v>344054.33100090548</v>
      </c>
      <c r="AL11" s="4067">
        <f t="shared" ref="AL11:AL25" si="3">IF(AK11="NO",IF(E11="NO","NA",-100),IF(E11="NO",100,AK11/E11*100-100))</f>
        <v>36.703473991535475</v>
      </c>
      <c r="AM11" s="721"/>
      <c r="AP11" s="4417"/>
    </row>
    <row r="12" spans="2:42" ht="18" customHeight="1" x14ac:dyDescent="0.2">
      <c r="B12" s="1370" t="s">
        <v>1923</v>
      </c>
      <c r="C12" s="2027"/>
      <c r="D12" s="2027"/>
      <c r="E12" s="4065">
        <v>142550.6880303224</v>
      </c>
      <c r="F12" s="4065">
        <v>145798.89301365922</v>
      </c>
      <c r="G12" s="4065">
        <v>149114.46071351453</v>
      </c>
      <c r="H12" s="4065">
        <v>150856.91356228245</v>
      </c>
      <c r="I12" s="4065">
        <v>151678.65928030587</v>
      </c>
      <c r="J12" s="4065">
        <v>157480.76333664166</v>
      </c>
      <c r="K12" s="4065">
        <v>162065.77593256431</v>
      </c>
      <c r="L12" s="4065">
        <v>168676.2909260561</v>
      </c>
      <c r="M12" s="4065">
        <v>181214.84033435359</v>
      </c>
      <c r="N12" s="4065">
        <v>188804.16706406118</v>
      </c>
      <c r="O12" s="4065">
        <v>191576.04276882473</v>
      </c>
      <c r="P12" s="4065">
        <v>199024.16474164414</v>
      </c>
      <c r="Q12" s="4065">
        <v>201393.46834509313</v>
      </c>
      <c r="R12" s="4065">
        <v>204240.7465426953</v>
      </c>
      <c r="S12" s="4065">
        <v>213236.3397051424</v>
      </c>
      <c r="T12" s="4065">
        <v>215219.58413056424</v>
      </c>
      <c r="U12" s="4065">
        <v>219705.33865122736</v>
      </c>
      <c r="V12" s="4065">
        <v>222727.89215060009</v>
      </c>
      <c r="W12" s="4065">
        <v>224490.41435401241</v>
      </c>
      <c r="X12" s="4065">
        <v>230787.71621986479</v>
      </c>
      <c r="Y12" s="4065">
        <v>224948.31350382374</v>
      </c>
      <c r="Z12" s="4065">
        <v>219013.47583026011</v>
      </c>
      <c r="AA12" s="4065">
        <v>220698.04942543415</v>
      </c>
      <c r="AB12" s="4065">
        <v>209738.86269675242</v>
      </c>
      <c r="AC12" s="4065">
        <v>203661.98819126311</v>
      </c>
      <c r="AD12" s="4065">
        <v>210547.29297480278</v>
      </c>
      <c r="AE12" s="4065">
        <v>217705.63582111028</v>
      </c>
      <c r="AF12" s="4065">
        <v>216632.19907844404</v>
      </c>
      <c r="AG12" s="4065">
        <v>212775.48425166204</v>
      </c>
      <c r="AH12" s="4065">
        <v>211944.24017957883</v>
      </c>
      <c r="AI12" s="4065">
        <v>206098.02671549976</v>
      </c>
      <c r="AJ12" s="4065">
        <v>196331.17641434309</v>
      </c>
      <c r="AK12" s="4065">
        <v>189680.16234160837</v>
      </c>
      <c r="AL12" s="4067">
        <f t="shared" si="3"/>
        <v>33.061555129962557</v>
      </c>
      <c r="AM12" s="721"/>
      <c r="AP12" s="4417"/>
    </row>
    <row r="13" spans="2:42" ht="18" customHeight="1" x14ac:dyDescent="0.2">
      <c r="B13" s="1370" t="s">
        <v>2379</v>
      </c>
      <c r="C13" s="2027"/>
      <c r="D13" s="2027"/>
      <c r="E13" s="4065">
        <v>35866.538631108204</v>
      </c>
      <c r="F13" s="4065">
        <v>35411.642792381528</v>
      </c>
      <c r="G13" s="4065">
        <v>34991.92526133739</v>
      </c>
      <c r="H13" s="4065">
        <v>35542.950719171269</v>
      </c>
      <c r="I13" s="4065">
        <v>36314.325746396418</v>
      </c>
      <c r="J13" s="4065">
        <v>37242.617392116292</v>
      </c>
      <c r="K13" s="4065">
        <v>37257.607917071393</v>
      </c>
      <c r="L13" s="4065">
        <v>37342.362579876848</v>
      </c>
      <c r="M13" s="4065">
        <v>37440.664739964937</v>
      </c>
      <c r="N13" s="4065">
        <v>37694.584804338752</v>
      </c>
      <c r="O13" s="4065">
        <v>38507.765084999031</v>
      </c>
      <c r="P13" s="4065">
        <v>38027.956942513309</v>
      </c>
      <c r="Q13" s="4065">
        <v>38705.238695703512</v>
      </c>
      <c r="R13" s="4065">
        <v>39194.987751362663</v>
      </c>
      <c r="S13" s="4065">
        <v>40063.565027746365</v>
      </c>
      <c r="T13" s="4065">
        <v>41127.210522033107</v>
      </c>
      <c r="U13" s="4065">
        <v>40191.294818873052</v>
      </c>
      <c r="V13" s="4065">
        <v>40457.906147434813</v>
      </c>
      <c r="W13" s="4065">
        <v>42551.080627390671</v>
      </c>
      <c r="X13" s="4065">
        <v>40172.086958314503</v>
      </c>
      <c r="Y13" s="4065">
        <v>39306.733886702707</v>
      </c>
      <c r="Z13" s="4065">
        <v>40476.859709533957</v>
      </c>
      <c r="AA13" s="4065">
        <v>42444.025966216832</v>
      </c>
      <c r="AB13" s="4065">
        <v>45496.846030480061</v>
      </c>
      <c r="AC13" s="4065">
        <v>45733.231352848241</v>
      </c>
      <c r="AD13" s="4065">
        <v>42520.430117744727</v>
      </c>
      <c r="AE13" s="4065">
        <v>41256.694350751903</v>
      </c>
      <c r="AF13" s="4065">
        <v>40567.046562832067</v>
      </c>
      <c r="AG13" s="4065">
        <v>41650.120510385757</v>
      </c>
      <c r="AH13" s="4065">
        <v>41337.502229621889</v>
      </c>
      <c r="AI13" s="4065">
        <v>41271.375033629483</v>
      </c>
      <c r="AJ13" s="4065">
        <v>42689.716069213384</v>
      </c>
      <c r="AK13" s="4065">
        <v>42634.424017132049</v>
      </c>
      <c r="AL13" s="4067">
        <f t="shared" si="3"/>
        <v>18.869636280301222</v>
      </c>
      <c r="AM13" s="721"/>
      <c r="AP13" s="4417"/>
    </row>
    <row r="14" spans="2:42" ht="18" customHeight="1" x14ac:dyDescent="0.2">
      <c r="B14" s="1370" t="s">
        <v>1925</v>
      </c>
      <c r="C14" s="2027"/>
      <c r="D14" s="2027"/>
      <c r="E14" s="4065">
        <v>59818.854504549039</v>
      </c>
      <c r="F14" s="4065">
        <v>59194.713824602695</v>
      </c>
      <c r="G14" s="4065">
        <v>60120.184709680128</v>
      </c>
      <c r="H14" s="4065">
        <v>61592.800976943552</v>
      </c>
      <c r="I14" s="4065">
        <v>62999.576146424559</v>
      </c>
      <c r="J14" s="4065">
        <v>66233.064080284705</v>
      </c>
      <c r="K14" s="4065">
        <v>68031.287231265407</v>
      </c>
      <c r="L14" s="4065">
        <v>69276.048857972608</v>
      </c>
      <c r="M14" s="4065">
        <v>69419.201486535341</v>
      </c>
      <c r="N14" s="4065">
        <v>70158.123867649978</v>
      </c>
      <c r="O14" s="4065">
        <v>71720.781142142252</v>
      </c>
      <c r="P14" s="4065">
        <v>71661.080626622526</v>
      </c>
      <c r="Q14" s="4065">
        <v>73052.310487438939</v>
      </c>
      <c r="R14" s="4065">
        <v>75332.462474494692</v>
      </c>
      <c r="S14" s="4065">
        <v>78390.142901532192</v>
      </c>
      <c r="T14" s="4065">
        <v>79548.865445808435</v>
      </c>
      <c r="U14" s="4065">
        <v>80852.979449696941</v>
      </c>
      <c r="V14" s="4065">
        <v>82772.894979733144</v>
      </c>
      <c r="W14" s="4065">
        <v>84599.349336854182</v>
      </c>
      <c r="X14" s="4065">
        <v>84904.621577574857</v>
      </c>
      <c r="Y14" s="4065">
        <v>86456.728586701356</v>
      </c>
      <c r="Z14" s="4065">
        <v>89136.106454077177</v>
      </c>
      <c r="AA14" s="4065">
        <v>89746.900002213864</v>
      </c>
      <c r="AB14" s="4065">
        <v>91143.808302532998</v>
      </c>
      <c r="AC14" s="4065">
        <v>91191.407059096819</v>
      </c>
      <c r="AD14" s="4065">
        <v>93360.110727369625</v>
      </c>
      <c r="AE14" s="4065">
        <v>94418.697310255928</v>
      </c>
      <c r="AF14" s="4065">
        <v>96097.092576264156</v>
      </c>
      <c r="AG14" s="4065">
        <v>98509.345142011327</v>
      </c>
      <c r="AH14" s="4065">
        <v>98631.003512585317</v>
      </c>
      <c r="AI14" s="4065">
        <v>91747.348470689438</v>
      </c>
      <c r="AJ14" s="4065">
        <v>88692.181352404106</v>
      </c>
      <c r="AK14" s="4065">
        <v>88424.602608911955</v>
      </c>
      <c r="AL14" s="4067">
        <f t="shared" si="3"/>
        <v>47.820621677380245</v>
      </c>
      <c r="AM14" s="721"/>
      <c r="AP14" s="4417"/>
    </row>
    <row r="15" spans="2:42" ht="18" customHeight="1" x14ac:dyDescent="0.2">
      <c r="B15" s="1370" t="s">
        <v>1926</v>
      </c>
      <c r="C15" s="2027"/>
      <c r="D15" s="2027"/>
      <c r="E15" s="4065">
        <v>13024.212038643216</v>
      </c>
      <c r="F15" s="4065">
        <v>13119.622313292621</v>
      </c>
      <c r="G15" s="4065">
        <v>13489.893659100042</v>
      </c>
      <c r="H15" s="4065">
        <v>13944.616180151335</v>
      </c>
      <c r="I15" s="4065">
        <v>13892.470994678699</v>
      </c>
      <c r="J15" s="4065">
        <v>14604.092651138488</v>
      </c>
      <c r="K15" s="4065">
        <v>15019.506364180272</v>
      </c>
      <c r="L15" s="4065">
        <v>15281.499188238162</v>
      </c>
      <c r="M15" s="4065">
        <v>15631.369884876362</v>
      </c>
      <c r="N15" s="4065">
        <v>15779.171072274739</v>
      </c>
      <c r="O15" s="4065">
        <v>16317.519653930993</v>
      </c>
      <c r="P15" s="4065">
        <v>17176.22035223055</v>
      </c>
      <c r="Q15" s="4065">
        <v>17571.429797245488</v>
      </c>
      <c r="R15" s="4065">
        <v>18178.330226123875</v>
      </c>
      <c r="S15" s="4065">
        <v>18154.095769734224</v>
      </c>
      <c r="T15" s="4065">
        <v>18613.327510152572</v>
      </c>
      <c r="U15" s="4065">
        <v>18814.077822321709</v>
      </c>
      <c r="V15" s="4065">
        <v>18698.623052534163</v>
      </c>
      <c r="W15" s="4065">
        <v>19090.370323937001</v>
      </c>
      <c r="X15" s="4065">
        <v>19338.074952012557</v>
      </c>
      <c r="Y15" s="4065">
        <v>19718.536071082905</v>
      </c>
      <c r="Z15" s="4065">
        <v>20179.952444306127</v>
      </c>
      <c r="AA15" s="4065">
        <v>20619.970448276905</v>
      </c>
      <c r="AB15" s="4065">
        <v>21040.688190571178</v>
      </c>
      <c r="AC15" s="4065">
        <v>20151.743905091054</v>
      </c>
      <c r="AD15" s="4065">
        <v>21335.586989080624</v>
      </c>
      <c r="AE15" s="4065">
        <v>21587.164737197432</v>
      </c>
      <c r="AF15" s="4065">
        <v>22356.080896956282</v>
      </c>
      <c r="AG15" s="4065">
        <v>22249.422251836324</v>
      </c>
      <c r="AH15" s="4065">
        <v>20793.450536002136</v>
      </c>
      <c r="AI15" s="4065">
        <v>20231.839330714669</v>
      </c>
      <c r="AJ15" s="4065">
        <v>22560.268192552965</v>
      </c>
      <c r="AK15" s="4065">
        <v>22593.206143357158</v>
      </c>
      <c r="AL15" s="4067">
        <f t="shared" si="3"/>
        <v>73.470810182776944</v>
      </c>
      <c r="AM15" s="721"/>
      <c r="AP15" s="4417"/>
    </row>
    <row r="16" spans="2:42" ht="18" customHeight="1" x14ac:dyDescent="0.2">
      <c r="B16" s="1370" t="s">
        <v>1927</v>
      </c>
      <c r="C16" s="2027"/>
      <c r="D16" s="2027"/>
      <c r="E16" s="4065">
        <v>418.99551792193483</v>
      </c>
      <c r="F16" s="4065">
        <v>411.10379258697043</v>
      </c>
      <c r="G16" s="4065">
        <v>459.36215426147743</v>
      </c>
      <c r="H16" s="4065">
        <v>466.65656082625463</v>
      </c>
      <c r="I16" s="4065">
        <v>558.57246948830539</v>
      </c>
      <c r="J16" s="4065">
        <v>689.95152063630883</v>
      </c>
      <c r="K16" s="4065">
        <v>774.4784742449724</v>
      </c>
      <c r="L16" s="4065">
        <v>813.48790712126572</v>
      </c>
      <c r="M16" s="4065">
        <v>678.30912252252608</v>
      </c>
      <c r="N16" s="4065">
        <v>626.75996833401359</v>
      </c>
      <c r="O16" s="4065">
        <v>622.01572448228933</v>
      </c>
      <c r="P16" s="4065">
        <v>633.15339529481673</v>
      </c>
      <c r="Q16" s="4065">
        <v>592.09543525646222</v>
      </c>
      <c r="R16" s="4065">
        <v>555.82667916527021</v>
      </c>
      <c r="S16" s="4065">
        <v>577.33791846936003</v>
      </c>
      <c r="T16" s="4065">
        <v>619.21814749842201</v>
      </c>
      <c r="U16" s="4065">
        <v>645.81636822602309</v>
      </c>
      <c r="V16" s="4065">
        <v>776.14097393694124</v>
      </c>
      <c r="W16" s="4065">
        <v>816.03751835909372</v>
      </c>
      <c r="X16" s="4065">
        <v>827.39892461234956</v>
      </c>
      <c r="Y16" s="4065">
        <v>881.17645539169962</v>
      </c>
      <c r="Z16" s="4065">
        <v>890.39167033567935</v>
      </c>
      <c r="AA16" s="4065">
        <v>864.17412252301722</v>
      </c>
      <c r="AB16" s="4065">
        <v>903.51625558477349</v>
      </c>
      <c r="AC16" s="4065">
        <v>1017.0580667465537</v>
      </c>
      <c r="AD16" s="4065">
        <v>937.31816821020152</v>
      </c>
      <c r="AE16" s="4065">
        <v>1098.2611266338724</v>
      </c>
      <c r="AF16" s="4065">
        <v>916.06309939504331</v>
      </c>
      <c r="AG16" s="4065">
        <v>920.51592990055406</v>
      </c>
      <c r="AH16" s="4065">
        <v>785.02589767037421</v>
      </c>
      <c r="AI16" s="4065">
        <v>939.0695601726469</v>
      </c>
      <c r="AJ16" s="4065">
        <v>809.41589359057934</v>
      </c>
      <c r="AK16" s="4065">
        <v>721.93588989594377</v>
      </c>
      <c r="AL16" s="4067">
        <f t="shared" si="3"/>
        <v>72.301578183099139</v>
      </c>
      <c r="AM16" s="721"/>
      <c r="AP16" s="4417"/>
    </row>
    <row r="17" spans="2:42" ht="18" customHeight="1" x14ac:dyDescent="0.2">
      <c r="B17" s="1369" t="s">
        <v>201</v>
      </c>
      <c r="C17" s="2027"/>
      <c r="D17" s="2027"/>
      <c r="E17" s="4065">
        <f>SUM(E18:E19)</f>
        <v>7272.7231847369876</v>
      </c>
      <c r="F17" s="4065">
        <f t="shared" ref="F17:AJ17" si="4">SUM(F18:F19)</f>
        <v>7001.4218799167465</v>
      </c>
      <c r="G17" s="4065">
        <f t="shared" si="4"/>
        <v>7303.9313265161372</v>
      </c>
      <c r="H17" s="4065">
        <f t="shared" si="4"/>
        <v>7136.9828263560594</v>
      </c>
      <c r="I17" s="4065">
        <f t="shared" si="4"/>
        <v>6880.3968884018941</v>
      </c>
      <c r="J17" s="4065">
        <f t="shared" si="4"/>
        <v>7060.9766994281817</v>
      </c>
      <c r="K17" s="4065">
        <f t="shared" si="4"/>
        <v>6761.3190679766067</v>
      </c>
      <c r="L17" s="4065">
        <f t="shared" si="4"/>
        <v>6687.6113833756253</v>
      </c>
      <c r="M17" s="4065">
        <f t="shared" si="4"/>
        <v>6902.2329192987709</v>
      </c>
      <c r="N17" s="4065">
        <f t="shared" si="4"/>
        <v>7165.4129657600861</v>
      </c>
      <c r="O17" s="4065">
        <f t="shared" si="4"/>
        <v>7953.1388941270516</v>
      </c>
      <c r="P17" s="4065">
        <f t="shared" si="4"/>
        <v>8172.5699448355026</v>
      </c>
      <c r="Q17" s="4065">
        <f t="shared" si="4"/>
        <v>8007.4919871520215</v>
      </c>
      <c r="R17" s="4065">
        <f t="shared" si="4"/>
        <v>7158.2646344304849</v>
      </c>
      <c r="S17" s="4065">
        <f t="shared" si="4"/>
        <v>6858.2277235939637</v>
      </c>
      <c r="T17" s="4065">
        <f t="shared" si="4"/>
        <v>6914.7558622524612</v>
      </c>
      <c r="U17" s="4065">
        <f t="shared" si="4"/>
        <v>7046.389794724766</v>
      </c>
      <c r="V17" s="4065">
        <f t="shared" si="4"/>
        <v>7505.0440520709017</v>
      </c>
      <c r="W17" s="4065">
        <f t="shared" si="4"/>
        <v>7483.6784736061727</v>
      </c>
      <c r="X17" s="4065">
        <f t="shared" si="4"/>
        <v>7969.3180974831548</v>
      </c>
      <c r="Y17" s="4065">
        <f t="shared" si="4"/>
        <v>8193.741371269929</v>
      </c>
      <c r="Z17" s="4065">
        <f t="shared" si="4"/>
        <v>7882.6014038237718</v>
      </c>
      <c r="AA17" s="4065">
        <f t="shared" si="4"/>
        <v>8294.524087472726</v>
      </c>
      <c r="AB17" s="4065">
        <f t="shared" si="4"/>
        <v>8854.6099250187071</v>
      </c>
      <c r="AC17" s="4065">
        <f t="shared" si="4"/>
        <v>9280.6213492610768</v>
      </c>
      <c r="AD17" s="4065">
        <f t="shared" si="4"/>
        <v>10835.429332347512</v>
      </c>
      <c r="AE17" s="4065">
        <f t="shared" si="4"/>
        <v>12447.275926821654</v>
      </c>
      <c r="AF17" s="4065">
        <f t="shared" si="4"/>
        <v>14868.707569953562</v>
      </c>
      <c r="AG17" s="4065">
        <f t="shared" si="4"/>
        <v>16938.527186629442</v>
      </c>
      <c r="AH17" s="4065">
        <f t="shared" si="4"/>
        <v>20211.970244098258</v>
      </c>
      <c r="AI17" s="4065">
        <f t="shared" si="4"/>
        <v>17284.180515672786</v>
      </c>
      <c r="AJ17" s="4065">
        <f t="shared" si="4"/>
        <v>15414.161904860885</v>
      </c>
      <c r="AK17" s="4065">
        <f t="shared" ref="AK17" si="5">SUM(AK18:AK19)</f>
        <v>17139.767815736217</v>
      </c>
      <c r="AL17" s="4067">
        <f t="shared" si="3"/>
        <v>135.67193993725559</v>
      </c>
      <c r="AM17" s="721"/>
      <c r="AP17" s="4417"/>
    </row>
    <row r="18" spans="2:42" ht="18" customHeight="1" x14ac:dyDescent="0.2">
      <c r="B18" s="1370" t="s">
        <v>1928</v>
      </c>
      <c r="C18" s="2027"/>
      <c r="D18" s="2027"/>
      <c r="E18" s="4065">
        <v>1183.8805823664284</v>
      </c>
      <c r="F18" s="4065">
        <v>1171.7683050721826</v>
      </c>
      <c r="G18" s="4065">
        <v>1300.9915961012323</v>
      </c>
      <c r="H18" s="4065">
        <v>1195.2733323961852</v>
      </c>
      <c r="I18" s="4065">
        <v>1119.4358267168013</v>
      </c>
      <c r="J18" s="4065">
        <v>1111.5267994507171</v>
      </c>
      <c r="K18" s="4065">
        <v>1222.6491030835141</v>
      </c>
      <c r="L18" s="4065">
        <v>1333.0836919676028</v>
      </c>
      <c r="M18" s="4065">
        <v>1320.7717624290267</v>
      </c>
      <c r="N18" s="4065">
        <v>1127.8534806311104</v>
      </c>
      <c r="O18" s="4065">
        <v>1150.5101382610046</v>
      </c>
      <c r="P18" s="4065">
        <v>1218.1287625307975</v>
      </c>
      <c r="Q18" s="4065">
        <v>1239.4846044535864</v>
      </c>
      <c r="R18" s="4065">
        <v>1098.167618646499</v>
      </c>
      <c r="S18" s="4065">
        <v>1056.4851416166223</v>
      </c>
      <c r="T18" s="4065">
        <v>1295.9899052920709</v>
      </c>
      <c r="U18" s="4065">
        <v>1212.9142005812867</v>
      </c>
      <c r="V18" s="4065">
        <v>1284.9645005780499</v>
      </c>
      <c r="W18" s="4065">
        <v>1162.3635762445854</v>
      </c>
      <c r="X18" s="4065">
        <v>1308.4125121797349</v>
      </c>
      <c r="Y18" s="4065">
        <v>1292.1040585003002</v>
      </c>
      <c r="Z18" s="4065">
        <v>1545.9622565642071</v>
      </c>
      <c r="AA18" s="4065">
        <v>1580.216366257682</v>
      </c>
      <c r="AB18" s="4065">
        <v>1887.6981156232673</v>
      </c>
      <c r="AC18" s="4065">
        <v>1837.8700527484675</v>
      </c>
      <c r="AD18" s="4065">
        <v>1909.730431069916</v>
      </c>
      <c r="AE18" s="4065">
        <v>2063.8682509928403</v>
      </c>
      <c r="AF18" s="4065">
        <v>2143.2636270202638</v>
      </c>
      <c r="AG18" s="4065">
        <v>2361.4971654210785</v>
      </c>
      <c r="AH18" s="4065">
        <v>2062.347040363311</v>
      </c>
      <c r="AI18" s="4065">
        <v>2380.4751845029359</v>
      </c>
      <c r="AJ18" s="4065">
        <v>2087.8740202040094</v>
      </c>
      <c r="AK18" s="4065">
        <v>1960.7017463980765</v>
      </c>
      <c r="AL18" s="4067">
        <f t="shared" si="3"/>
        <v>65.616513658740843</v>
      </c>
      <c r="AM18" s="721"/>
      <c r="AP18" s="4417"/>
    </row>
    <row r="19" spans="2:42" ht="18" customHeight="1" x14ac:dyDescent="0.2">
      <c r="B19" s="1414" t="s">
        <v>1929</v>
      </c>
      <c r="C19" s="2027"/>
      <c r="D19" s="2027"/>
      <c r="E19" s="4065">
        <v>6088.8426023705597</v>
      </c>
      <c r="F19" s="4065">
        <v>5829.653574844564</v>
      </c>
      <c r="G19" s="4065">
        <v>6002.9397304149052</v>
      </c>
      <c r="H19" s="4065">
        <v>5941.7094939598737</v>
      </c>
      <c r="I19" s="4065">
        <v>5760.9610616850932</v>
      </c>
      <c r="J19" s="4065">
        <v>5949.4498999774642</v>
      </c>
      <c r="K19" s="4065">
        <v>5538.6699648930926</v>
      </c>
      <c r="L19" s="4065">
        <v>5354.5276914080223</v>
      </c>
      <c r="M19" s="4065">
        <v>5581.4611568697437</v>
      </c>
      <c r="N19" s="4065">
        <v>6037.5594851289761</v>
      </c>
      <c r="O19" s="4065">
        <v>6802.628755866047</v>
      </c>
      <c r="P19" s="4065">
        <v>6954.4411823047049</v>
      </c>
      <c r="Q19" s="4065">
        <v>6768.0073826984353</v>
      </c>
      <c r="R19" s="4065">
        <v>6060.0970157839856</v>
      </c>
      <c r="S19" s="4065">
        <v>5801.7425819773416</v>
      </c>
      <c r="T19" s="4065">
        <v>5618.7659569603902</v>
      </c>
      <c r="U19" s="4065">
        <v>5833.4755941434796</v>
      </c>
      <c r="V19" s="4065">
        <v>6220.0795514928523</v>
      </c>
      <c r="W19" s="4065">
        <v>6321.3148973615871</v>
      </c>
      <c r="X19" s="4065">
        <v>6660.9055853034197</v>
      </c>
      <c r="Y19" s="4065">
        <v>6901.6373127696288</v>
      </c>
      <c r="Z19" s="4065">
        <v>6336.6391472595651</v>
      </c>
      <c r="AA19" s="4065">
        <v>6714.3077212150447</v>
      </c>
      <c r="AB19" s="4065">
        <v>6966.9118093954394</v>
      </c>
      <c r="AC19" s="4065">
        <v>7442.7512965126098</v>
      </c>
      <c r="AD19" s="4065">
        <v>8925.6989012775957</v>
      </c>
      <c r="AE19" s="4065">
        <v>10383.407675828814</v>
      </c>
      <c r="AF19" s="4065">
        <v>12725.443942933298</v>
      </c>
      <c r="AG19" s="4065">
        <v>14577.030021208366</v>
      </c>
      <c r="AH19" s="4065">
        <v>18149.623203734947</v>
      </c>
      <c r="AI19" s="4065">
        <v>14903.705331169851</v>
      </c>
      <c r="AJ19" s="4065">
        <v>13326.287884656875</v>
      </c>
      <c r="AK19" s="4065">
        <v>15179.066069338141</v>
      </c>
      <c r="AL19" s="4067">
        <f t="shared" si="3"/>
        <v>149.29312614237227</v>
      </c>
      <c r="AM19" s="721"/>
      <c r="AP19" s="4417"/>
    </row>
    <row r="20" spans="2:42" ht="18" customHeight="1" thickBot="1" x14ac:dyDescent="0.25">
      <c r="B20" s="1372" t="s">
        <v>1930</v>
      </c>
      <c r="C20" s="2254"/>
      <c r="D20" s="2254"/>
      <c r="E20" s="4066" t="s">
        <v>199</v>
      </c>
      <c r="F20" s="4066" t="s">
        <v>199</v>
      </c>
      <c r="G20" s="4066" t="s">
        <v>199</v>
      </c>
      <c r="H20" s="4066" t="s">
        <v>199</v>
      </c>
      <c r="I20" s="4066" t="s">
        <v>199</v>
      </c>
      <c r="J20" s="4066" t="s">
        <v>199</v>
      </c>
      <c r="K20" s="4066" t="s">
        <v>199</v>
      </c>
      <c r="L20" s="4066" t="s">
        <v>199</v>
      </c>
      <c r="M20" s="4066" t="s">
        <v>199</v>
      </c>
      <c r="N20" s="4066" t="s">
        <v>199</v>
      </c>
      <c r="O20" s="4066" t="s">
        <v>199</v>
      </c>
      <c r="P20" s="4066" t="s">
        <v>199</v>
      </c>
      <c r="Q20" s="4066" t="s">
        <v>199</v>
      </c>
      <c r="R20" s="4066" t="s">
        <v>199</v>
      </c>
      <c r="S20" s="4066" t="s">
        <v>199</v>
      </c>
      <c r="T20" s="4066" t="s">
        <v>199</v>
      </c>
      <c r="U20" s="4066" t="s">
        <v>199</v>
      </c>
      <c r="V20" s="4066" t="s">
        <v>199</v>
      </c>
      <c r="W20" s="4066" t="s">
        <v>199</v>
      </c>
      <c r="X20" s="4066" t="s">
        <v>199</v>
      </c>
      <c r="Y20" s="4066" t="s">
        <v>199</v>
      </c>
      <c r="Z20" s="4066" t="s">
        <v>199</v>
      </c>
      <c r="AA20" s="4066" t="s">
        <v>199</v>
      </c>
      <c r="AB20" s="4066" t="s">
        <v>199</v>
      </c>
      <c r="AC20" s="4066" t="s">
        <v>199</v>
      </c>
      <c r="AD20" s="4066" t="s">
        <v>199</v>
      </c>
      <c r="AE20" s="4066" t="s">
        <v>199</v>
      </c>
      <c r="AF20" s="4066" t="s">
        <v>199</v>
      </c>
      <c r="AG20" s="4066" t="s">
        <v>199</v>
      </c>
      <c r="AH20" s="4066" t="s">
        <v>199</v>
      </c>
      <c r="AI20" s="4084">
        <v>12.417</v>
      </c>
      <c r="AJ20" s="4084">
        <v>2.2450000000000001</v>
      </c>
      <c r="AK20" s="4414">
        <v>0.34300000000000003</v>
      </c>
      <c r="AL20" s="4067">
        <f t="shared" si="3"/>
        <v>100</v>
      </c>
      <c r="AM20" s="721"/>
      <c r="AP20" s="4417"/>
    </row>
    <row r="21" spans="2:42" ht="18" customHeight="1" x14ac:dyDescent="0.2">
      <c r="B21" s="1373" t="s">
        <v>1931</v>
      </c>
      <c r="C21" s="2029"/>
      <c r="D21" s="2029"/>
      <c r="E21" s="4071">
        <f>SUM(E22:E29)</f>
        <v>18552.628794626791</v>
      </c>
      <c r="F21" s="4071">
        <f t="shared" ref="F21:AJ21" si="6">SUM(F22:F29)</f>
        <v>17887.970274958665</v>
      </c>
      <c r="G21" s="4072">
        <f t="shared" si="6"/>
        <v>18285.307489733619</v>
      </c>
      <c r="H21" s="4072">
        <f t="shared" si="6"/>
        <v>18491.530253017816</v>
      </c>
      <c r="I21" s="4072">
        <f t="shared" si="6"/>
        <v>20433.980142541426</v>
      </c>
      <c r="J21" s="4072">
        <f t="shared" si="6"/>
        <v>20744.892915963468</v>
      </c>
      <c r="K21" s="4072">
        <f t="shared" si="6"/>
        <v>21026.592998158303</v>
      </c>
      <c r="L21" s="4072">
        <f t="shared" si="6"/>
        <v>21073.538601312317</v>
      </c>
      <c r="M21" s="4072">
        <f t="shared" si="6"/>
        <v>21491.85503553482</v>
      </c>
      <c r="N21" s="4072">
        <f t="shared" si="6"/>
        <v>22189.035610987365</v>
      </c>
      <c r="O21" s="4072">
        <f t="shared" si="6"/>
        <v>21581.379409024335</v>
      </c>
      <c r="P21" s="4072">
        <f t="shared" si="6"/>
        <v>21241.524367521088</v>
      </c>
      <c r="Q21" s="4072">
        <f t="shared" si="6"/>
        <v>21255.560630579857</v>
      </c>
      <c r="R21" s="4072">
        <f t="shared" si="6"/>
        <v>23014.446495124863</v>
      </c>
      <c r="S21" s="4072">
        <f t="shared" si="6"/>
        <v>23815.400141611957</v>
      </c>
      <c r="T21" s="4072">
        <f t="shared" si="6"/>
        <v>22140.575952241092</v>
      </c>
      <c r="U21" s="4072">
        <f t="shared" si="6"/>
        <v>23245.05679168686</v>
      </c>
      <c r="V21" s="4072">
        <f t="shared" si="6"/>
        <v>24691.051147405644</v>
      </c>
      <c r="W21" s="4072">
        <f t="shared" si="6"/>
        <v>23949.045712951374</v>
      </c>
      <c r="X21" s="4072">
        <f t="shared" si="6"/>
        <v>21120.996965749539</v>
      </c>
      <c r="Y21" s="4072">
        <f t="shared" si="6"/>
        <v>23406.27231333212</v>
      </c>
      <c r="Z21" s="4072">
        <f t="shared" si="6"/>
        <v>24047.683142812897</v>
      </c>
      <c r="AA21" s="4072">
        <f t="shared" si="6"/>
        <v>21453.352539628704</v>
      </c>
      <c r="AB21" s="4072">
        <f t="shared" si="6"/>
        <v>19819.986049090239</v>
      </c>
      <c r="AC21" s="4072">
        <f t="shared" si="6"/>
        <v>19170.429333493201</v>
      </c>
      <c r="AD21" s="4072">
        <f t="shared" si="6"/>
        <v>19396.304925043227</v>
      </c>
      <c r="AE21" s="4072">
        <f t="shared" si="6"/>
        <v>19179.771442578964</v>
      </c>
      <c r="AF21" s="4072">
        <f t="shared" si="6"/>
        <v>19487.304329219434</v>
      </c>
      <c r="AG21" s="4072">
        <f t="shared" si="6"/>
        <v>19841.625454227382</v>
      </c>
      <c r="AH21" s="4072">
        <f t="shared" si="6"/>
        <v>19369.841919175869</v>
      </c>
      <c r="AI21" s="4072">
        <f t="shared" si="6"/>
        <v>18771.640519708133</v>
      </c>
      <c r="AJ21" s="4072">
        <f t="shared" si="6"/>
        <v>19404.684886846499</v>
      </c>
      <c r="AK21" s="4072">
        <f t="shared" ref="AK21" si="7">SUM(AK22:AK29)</f>
        <v>19932.848604988314</v>
      </c>
      <c r="AL21" s="4082">
        <f>IF(AK21="NO",IF(E21="NO","NA",-100),IF(E21="NO",100,AK21/E21*100-100))</f>
        <v>7.4394837822727453</v>
      </c>
      <c r="AM21" s="721"/>
      <c r="AP21" s="4417"/>
    </row>
    <row r="22" spans="2:42" ht="18" customHeight="1" x14ac:dyDescent="0.2">
      <c r="B22" s="1129" t="s">
        <v>1932</v>
      </c>
      <c r="C22" s="2027"/>
      <c r="D22" s="2027"/>
      <c r="E22" s="4065">
        <v>5489.5881371538135</v>
      </c>
      <c r="F22" s="4065">
        <v>5152.3958590686525</v>
      </c>
      <c r="G22" s="4065">
        <v>4966.195058905646</v>
      </c>
      <c r="H22" s="4065">
        <v>5195.8065521548606</v>
      </c>
      <c r="I22" s="4065">
        <v>5996.3007606972551</v>
      </c>
      <c r="J22" s="4065">
        <v>5826.2709371596793</v>
      </c>
      <c r="K22" s="4065">
        <v>5901.636801490803</v>
      </c>
      <c r="L22" s="4065">
        <v>5977.0239216720511</v>
      </c>
      <c r="M22" s="4065">
        <v>6357.0664970637499</v>
      </c>
      <c r="N22" s="4065">
        <v>6439.3317149694594</v>
      </c>
      <c r="O22" s="4065">
        <v>6231.9337366516957</v>
      </c>
      <c r="P22" s="4065">
        <v>6238.6898869835759</v>
      </c>
      <c r="Q22" s="4065">
        <v>6291.2170628710073</v>
      </c>
      <c r="R22" s="4065">
        <v>6429.0336414871217</v>
      </c>
      <c r="S22" s="4065">
        <v>6389.4246039360687</v>
      </c>
      <c r="T22" s="4065">
        <v>6478.7569533611777</v>
      </c>
      <c r="U22" s="4065">
        <v>6668.9977667490348</v>
      </c>
      <c r="V22" s="4065">
        <v>6985.4738057376526</v>
      </c>
      <c r="W22" s="4065">
        <v>6898.3975325174652</v>
      </c>
      <c r="X22" s="4065">
        <v>6408.1365207979152</v>
      </c>
      <c r="Y22" s="4065">
        <v>6303.975122199774</v>
      </c>
      <c r="Z22" s="4065">
        <v>6453.9523771024305</v>
      </c>
      <c r="AA22" s="4065">
        <v>6411.4555716656751</v>
      </c>
      <c r="AB22" s="4065">
        <v>6105.2887144225651</v>
      </c>
      <c r="AC22" s="4065">
        <v>6004.4444739685987</v>
      </c>
      <c r="AD22" s="4065">
        <v>5878.5222930542859</v>
      </c>
      <c r="AE22" s="4065">
        <v>5691.6016866448363</v>
      </c>
      <c r="AF22" s="4065">
        <v>5599.4523046343256</v>
      </c>
      <c r="AG22" s="4065">
        <v>5521.8884703989015</v>
      </c>
      <c r="AH22" s="4065">
        <v>5588.898734328729</v>
      </c>
      <c r="AI22" s="4065">
        <v>5230.4617644063874</v>
      </c>
      <c r="AJ22" s="4065">
        <v>5613.9712902377578</v>
      </c>
      <c r="AK22" s="4065">
        <v>5582.3786556946143</v>
      </c>
      <c r="AL22" s="4067">
        <f t="shared" si="3"/>
        <v>1.6903001868717524</v>
      </c>
      <c r="AM22" s="721"/>
      <c r="AP22" s="4417"/>
    </row>
    <row r="23" spans="2:42" ht="18" customHeight="1" x14ac:dyDescent="0.2">
      <c r="B23" s="1129" t="s">
        <v>846</v>
      </c>
      <c r="C23" s="2027"/>
      <c r="D23" s="2027"/>
      <c r="E23" s="4065">
        <v>1054.6897029809472</v>
      </c>
      <c r="F23" s="4065">
        <v>1061.076471625664</v>
      </c>
      <c r="G23" s="4065">
        <v>1114.7499284654682</v>
      </c>
      <c r="H23" s="4065">
        <v>1181.6235528289817</v>
      </c>
      <c r="I23" s="4065">
        <v>1213.297108074546</v>
      </c>
      <c r="J23" s="4065">
        <v>1426.6149132761357</v>
      </c>
      <c r="K23" s="4065">
        <v>1444.8131706630345</v>
      </c>
      <c r="L23" s="4065">
        <v>1420.3346702602553</v>
      </c>
      <c r="M23" s="4065">
        <v>1604.0621241970471</v>
      </c>
      <c r="N23" s="4065">
        <v>1591.5349229289993</v>
      </c>
      <c r="O23" s="4065">
        <v>1742.9476361760005</v>
      </c>
      <c r="P23" s="4065">
        <v>2004.6535722962217</v>
      </c>
      <c r="Q23" s="4065">
        <v>2036.7093705866048</v>
      </c>
      <c r="R23" s="4065">
        <v>2394.0595336421802</v>
      </c>
      <c r="S23" s="4065">
        <v>2572.6230039920592</v>
      </c>
      <c r="T23" s="4065">
        <v>2728.3187362065478</v>
      </c>
      <c r="U23" s="4065">
        <v>3442.2998770693698</v>
      </c>
      <c r="V23" s="4065">
        <v>4015.7436099825823</v>
      </c>
      <c r="W23" s="4065">
        <v>3459.3511337487348</v>
      </c>
      <c r="X23" s="4065">
        <v>3186.7659698427397</v>
      </c>
      <c r="Y23" s="4065">
        <v>3586.524987165104</v>
      </c>
      <c r="Z23" s="4065">
        <v>3536.8966812225599</v>
      </c>
      <c r="AA23" s="4065">
        <v>3232.4648896797157</v>
      </c>
      <c r="AB23" s="4065">
        <v>3139.8890230772722</v>
      </c>
      <c r="AC23" s="4065">
        <v>3127.379594033554</v>
      </c>
      <c r="AD23" s="4065">
        <v>3219.227462382009</v>
      </c>
      <c r="AE23" s="4065">
        <v>3099.1911378975892</v>
      </c>
      <c r="AF23" s="4065">
        <v>3073.5514193622521</v>
      </c>
      <c r="AG23" s="4065">
        <v>3267.8967948494778</v>
      </c>
      <c r="AH23" s="4065">
        <v>2820.7714109988178</v>
      </c>
      <c r="AI23" s="4065">
        <v>2987.1547812315525</v>
      </c>
      <c r="AJ23" s="4065">
        <v>3104.4552540351287</v>
      </c>
      <c r="AK23" s="4065">
        <v>3254.3745008231658</v>
      </c>
      <c r="AL23" s="4067">
        <f t="shared" si="3"/>
        <v>208.56227112344868</v>
      </c>
      <c r="AM23" s="721"/>
      <c r="AP23" s="4417"/>
    </row>
    <row r="24" spans="2:42" ht="18" customHeight="1" x14ac:dyDescent="0.2">
      <c r="B24" s="1129" t="s">
        <v>637</v>
      </c>
      <c r="C24" s="2027"/>
      <c r="D24" s="2027"/>
      <c r="E24" s="4065">
        <v>11644.473410340323</v>
      </c>
      <c r="F24" s="4065">
        <v>11331.682904243107</v>
      </c>
      <c r="G24" s="4065">
        <v>11860.438182471731</v>
      </c>
      <c r="H24" s="4065">
        <v>11759.366392773665</v>
      </c>
      <c r="I24" s="4065">
        <v>12862.996292639786</v>
      </c>
      <c r="J24" s="4065">
        <v>13085.711804528277</v>
      </c>
      <c r="K24" s="4065">
        <v>13259.681686861362</v>
      </c>
      <c r="L24" s="4065">
        <v>13255.058139770597</v>
      </c>
      <c r="M24" s="4065">
        <v>13111.731997972498</v>
      </c>
      <c r="N24" s="4065">
        <v>13745.157397730107</v>
      </c>
      <c r="O24" s="4065">
        <v>13177.297517780564</v>
      </c>
      <c r="P24" s="4065">
        <v>12559.720129267938</v>
      </c>
      <c r="Q24" s="4065">
        <v>12479.913157591616</v>
      </c>
      <c r="R24" s="4065">
        <v>13734.632117094354</v>
      </c>
      <c r="S24" s="4065">
        <v>14357.155159378399</v>
      </c>
      <c r="T24" s="4065">
        <v>12513.827512585631</v>
      </c>
      <c r="U24" s="4065">
        <v>12730.761169823347</v>
      </c>
      <c r="V24" s="4065">
        <v>13315.672838033806</v>
      </c>
      <c r="W24" s="4065">
        <v>13190.956265353814</v>
      </c>
      <c r="X24" s="4065">
        <v>11125.923167063165</v>
      </c>
      <c r="Y24" s="4065">
        <v>13036.785223962206</v>
      </c>
      <c r="Z24" s="4065">
        <v>13563.090273006294</v>
      </c>
      <c r="AA24" s="4065">
        <v>11398.781007211959</v>
      </c>
      <c r="AB24" s="4065">
        <v>10125.110621348897</v>
      </c>
      <c r="AC24" s="4065">
        <v>9608.8558369057628</v>
      </c>
      <c r="AD24" s="4065">
        <v>9863.6965812133349</v>
      </c>
      <c r="AE24" s="4065">
        <v>9904.9580408883448</v>
      </c>
      <c r="AF24" s="4065">
        <v>10374.471556019664</v>
      </c>
      <c r="AG24" s="4065">
        <v>10659.504142456715</v>
      </c>
      <c r="AH24" s="4065">
        <v>10558.578640061034</v>
      </c>
      <c r="AI24" s="4065">
        <v>10162.119319579855</v>
      </c>
      <c r="AJ24" s="4065">
        <v>10297.766614924123</v>
      </c>
      <c r="AK24" s="4065">
        <v>10694.516104139599</v>
      </c>
      <c r="AL24" s="4067">
        <f t="shared" si="3"/>
        <v>-8.158010008053779</v>
      </c>
      <c r="AM24" s="721"/>
      <c r="AP24" s="4417"/>
    </row>
    <row r="25" spans="2:42" ht="18" customHeight="1" x14ac:dyDescent="0.2">
      <c r="B25" s="1129" t="s">
        <v>1933</v>
      </c>
      <c r="C25" s="2027"/>
      <c r="D25" s="2027"/>
      <c r="E25" s="4065">
        <v>281.30450949999999</v>
      </c>
      <c r="F25" s="4065">
        <v>257.74698899999999</v>
      </c>
      <c r="G25" s="4065">
        <v>256.36125249999998</v>
      </c>
      <c r="H25" s="4065">
        <v>264.67567149999996</v>
      </c>
      <c r="I25" s="4065">
        <v>268.83288099999999</v>
      </c>
      <c r="J25" s="4065">
        <v>267.44714449999998</v>
      </c>
      <c r="K25" s="4065">
        <v>281.30450949999999</v>
      </c>
      <c r="L25" s="4065">
        <v>278.53303650000004</v>
      </c>
      <c r="M25" s="4065">
        <v>278.53303649999992</v>
      </c>
      <c r="N25" s="4065">
        <v>270.21861749999999</v>
      </c>
      <c r="O25" s="4065">
        <v>284.07598249999995</v>
      </c>
      <c r="P25" s="4065">
        <v>291.00466499999993</v>
      </c>
      <c r="Q25" s="4065">
        <v>297.93334750000002</v>
      </c>
      <c r="R25" s="4065">
        <v>304.86203</v>
      </c>
      <c r="S25" s="4065">
        <v>331.19102350000003</v>
      </c>
      <c r="T25" s="4065">
        <v>252.20404299999996</v>
      </c>
      <c r="U25" s="4065">
        <v>242.50388750000002</v>
      </c>
      <c r="V25" s="4065">
        <v>225.87504949999993</v>
      </c>
      <c r="W25" s="4065">
        <v>236.96094150000002</v>
      </c>
      <c r="X25" s="4065">
        <v>238.76239894999998</v>
      </c>
      <c r="Y25" s="4065">
        <v>247.53411099499993</v>
      </c>
      <c r="Z25" s="4065">
        <v>232.16629320999996</v>
      </c>
      <c r="AA25" s="4065">
        <v>192.64508823</v>
      </c>
      <c r="AB25" s="4065">
        <v>209.32935569</v>
      </c>
      <c r="AC25" s="4065">
        <v>228.05065580499999</v>
      </c>
      <c r="AD25" s="4065">
        <v>219.12651274499996</v>
      </c>
      <c r="AE25" s="4065">
        <v>211.18624259999999</v>
      </c>
      <c r="AF25" s="4065">
        <v>226.52634565499997</v>
      </c>
      <c r="AG25" s="4065">
        <v>173.43878034000002</v>
      </c>
      <c r="AH25" s="4065">
        <v>182.59849860500003</v>
      </c>
      <c r="AI25" s="4065">
        <v>178.35814491499997</v>
      </c>
      <c r="AJ25" s="4065">
        <v>162.71317983</v>
      </c>
      <c r="AK25" s="4065">
        <v>178.36308899999997</v>
      </c>
      <c r="AL25" s="4067">
        <f t="shared" si="3"/>
        <v>-36.594301557046329</v>
      </c>
      <c r="AM25" s="721"/>
      <c r="AP25" s="4417"/>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417"/>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417"/>
    </row>
    <row r="28" spans="2:42"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080" t="str">
        <f>IF(AK28="NO",IF(E28="NO","NA",-100),IF(E28="NO",100,AK28/E28*100-100))</f>
        <v>NA</v>
      </c>
      <c r="AM28" s="721"/>
      <c r="AP28" s="4417"/>
    </row>
    <row r="29" spans="2:42" ht="18" customHeight="1" thickBot="1" x14ac:dyDescent="0.25">
      <c r="B29" s="1374" t="s">
        <v>2380</v>
      </c>
      <c r="C29" s="2043"/>
      <c r="D29" s="2043"/>
      <c r="E29" s="4083">
        <v>82.573034651705768</v>
      </c>
      <c r="F29" s="4083">
        <v>85.06805102123964</v>
      </c>
      <c r="G29" s="4083">
        <v>87.563067390773512</v>
      </c>
      <c r="H29" s="4083">
        <v>90.058083760307383</v>
      </c>
      <c r="I29" s="4083">
        <v>92.553100129841269</v>
      </c>
      <c r="J29" s="4083">
        <v>138.84811649937512</v>
      </c>
      <c r="K29" s="4083">
        <v>139.15682964310255</v>
      </c>
      <c r="L29" s="4083">
        <v>142.58883310941064</v>
      </c>
      <c r="M29" s="4083">
        <v>140.46137980152514</v>
      </c>
      <c r="N29" s="4083">
        <v>142.79295785880095</v>
      </c>
      <c r="O29" s="4083">
        <v>145.12453591607675</v>
      </c>
      <c r="P29" s="4083">
        <v>147.45611397335256</v>
      </c>
      <c r="Q29" s="4083">
        <v>149.78769203062836</v>
      </c>
      <c r="R29" s="4083">
        <v>151.85917290120341</v>
      </c>
      <c r="S29" s="4083">
        <v>165.00635080543125</v>
      </c>
      <c r="T29" s="4083">
        <v>167.46870708773244</v>
      </c>
      <c r="U29" s="4083">
        <v>160.49409054511213</v>
      </c>
      <c r="V29" s="4083">
        <v>148.28584415160208</v>
      </c>
      <c r="W29" s="4083">
        <v>163.37983983135788</v>
      </c>
      <c r="X29" s="4083">
        <v>161.40890909572053</v>
      </c>
      <c r="Y29" s="4083">
        <v>231.45286901003672</v>
      </c>
      <c r="Z29" s="4083">
        <v>261.5775182716128</v>
      </c>
      <c r="AA29" s="4083">
        <v>218.00598284134924</v>
      </c>
      <c r="AB29" s="4083">
        <v>240.36833455150557</v>
      </c>
      <c r="AC29" s="4083">
        <v>201.69877278028781</v>
      </c>
      <c r="AD29" s="4083">
        <v>215.73207564860138</v>
      </c>
      <c r="AE29" s="4083">
        <v>272.83433454819283</v>
      </c>
      <c r="AF29" s="4083">
        <v>213.3027035481928</v>
      </c>
      <c r="AG29" s="4083">
        <v>218.8972661822873</v>
      </c>
      <c r="AH29" s="4083">
        <v>218.99463518228731</v>
      </c>
      <c r="AI29" s="4083">
        <v>213.54650957533741</v>
      </c>
      <c r="AJ29" s="4083">
        <v>225.77854781948912</v>
      </c>
      <c r="AK29" s="4083">
        <v>223.21625533094004</v>
      </c>
      <c r="AL29" s="4067">
        <f t="shared" ref="AL29" si="8">IF(AK29="NO",IF(E29="NO","NA",-100),IF(E29="NO",100,AK29/E29*100-100))</f>
        <v>170.32584701830251</v>
      </c>
      <c r="AM29" s="721"/>
      <c r="AP29" s="4417"/>
    </row>
    <row r="30" spans="2:42" ht="18" customHeight="1" x14ac:dyDescent="0.2">
      <c r="B30" s="772" t="s">
        <v>1937</v>
      </c>
      <c r="C30" s="2026"/>
      <c r="D30" s="2026"/>
      <c r="E30" s="4071">
        <f>SUM(E31:E40)</f>
        <v>582.01320937951778</v>
      </c>
      <c r="F30" s="4071">
        <f t="shared" ref="F30:AK30" si="9">SUM(F31:F40)</f>
        <v>634.89614176008422</v>
      </c>
      <c r="G30" s="4071">
        <f t="shared" si="9"/>
        <v>689.81122303868347</v>
      </c>
      <c r="H30" s="4071">
        <f t="shared" si="9"/>
        <v>767.03461056825881</v>
      </c>
      <c r="I30" s="4071">
        <f t="shared" si="9"/>
        <v>868.78488273287883</v>
      </c>
      <c r="J30" s="4071">
        <f t="shared" si="9"/>
        <v>919.39740653519459</v>
      </c>
      <c r="K30" s="4071">
        <f t="shared" si="9"/>
        <v>945.55276989130448</v>
      </c>
      <c r="L30" s="4071">
        <f t="shared" si="9"/>
        <v>1153.6863212061298</v>
      </c>
      <c r="M30" s="4071">
        <f t="shared" si="9"/>
        <v>1328.7246776096777</v>
      </c>
      <c r="N30" s="4071">
        <f t="shared" si="9"/>
        <v>1512.8996475617591</v>
      </c>
      <c r="O30" s="4071">
        <f t="shared" si="9"/>
        <v>1701.1214271861495</v>
      </c>
      <c r="P30" s="4071">
        <f t="shared" si="9"/>
        <v>1818.6433506091305</v>
      </c>
      <c r="Q30" s="4071">
        <f t="shared" si="9"/>
        <v>1930.4128002981445</v>
      </c>
      <c r="R30" s="4071">
        <f t="shared" si="9"/>
        <v>1925.9237464120329</v>
      </c>
      <c r="S30" s="4071">
        <f t="shared" si="9"/>
        <v>2035.0700679623124</v>
      </c>
      <c r="T30" s="4071">
        <f t="shared" si="9"/>
        <v>1963.4523584977419</v>
      </c>
      <c r="U30" s="4071">
        <f t="shared" si="9"/>
        <v>1829.6911462013227</v>
      </c>
      <c r="V30" s="4071">
        <f t="shared" si="9"/>
        <v>1815.7872546355406</v>
      </c>
      <c r="W30" s="4071">
        <f t="shared" si="9"/>
        <v>1830.382472917935</v>
      </c>
      <c r="X30" s="4071">
        <f t="shared" si="9"/>
        <v>1943.1837325816937</v>
      </c>
      <c r="Y30" s="4071">
        <f t="shared" si="9"/>
        <v>2189.1387733806687</v>
      </c>
      <c r="Z30" s="4071">
        <f t="shared" si="9"/>
        <v>2200.5507644848653</v>
      </c>
      <c r="AA30" s="4071">
        <f t="shared" si="9"/>
        <v>2045.0737274324219</v>
      </c>
      <c r="AB30" s="4071">
        <f t="shared" si="9"/>
        <v>2038.1123900765215</v>
      </c>
      <c r="AC30" s="4071">
        <f t="shared" si="9"/>
        <v>2490.9097255348615</v>
      </c>
      <c r="AD30" s="4071">
        <f t="shared" si="9"/>
        <v>2532.9696484659198</v>
      </c>
      <c r="AE30" s="4071">
        <f t="shared" si="9"/>
        <v>2663.2503062592914</v>
      </c>
      <c r="AF30" s="4071">
        <f t="shared" si="9"/>
        <v>2861.7397487352414</v>
      </c>
      <c r="AG30" s="4071">
        <f t="shared" si="9"/>
        <v>2674.7142496895085</v>
      </c>
      <c r="AH30" s="4071">
        <f t="shared" si="9"/>
        <v>2665.3844979798414</v>
      </c>
      <c r="AI30" s="4071">
        <f t="shared" si="9"/>
        <v>2796.5451532274419</v>
      </c>
      <c r="AJ30" s="4071">
        <f t="shared" si="9"/>
        <v>3083.3902291881086</v>
      </c>
      <c r="AK30" s="4071">
        <f t="shared" si="9"/>
        <v>3202.4168905321749</v>
      </c>
      <c r="AL30" s="4082">
        <f>IF(AK30="NO",IF(E30="NO","NA",-100),IF(E30="NO",100,AK30/E30*100-100))</f>
        <v>450.23096364879075</v>
      </c>
      <c r="AM30" s="721"/>
      <c r="AP30" s="4417"/>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417"/>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417"/>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417"/>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417"/>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417"/>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417"/>
    </row>
    <row r="37" spans="2:42" ht="18" customHeight="1" x14ac:dyDescent="0.2">
      <c r="B37" s="1132" t="s">
        <v>955</v>
      </c>
      <c r="C37" s="2254"/>
      <c r="D37" s="2254"/>
      <c r="E37" s="4065">
        <v>215.34654271285109</v>
      </c>
      <c r="F37" s="4065">
        <v>260.25846060066385</v>
      </c>
      <c r="G37" s="4065">
        <v>316.7677447778139</v>
      </c>
      <c r="H37" s="4065">
        <v>382.83171201753419</v>
      </c>
      <c r="I37" s="4065">
        <v>487.77038997925558</v>
      </c>
      <c r="J37" s="4065">
        <v>439.54233407142647</v>
      </c>
      <c r="K37" s="4065">
        <v>385.98755249999999</v>
      </c>
      <c r="L37" s="4065">
        <v>485.71530671337609</v>
      </c>
      <c r="M37" s="4065">
        <v>585.8261268850398</v>
      </c>
      <c r="N37" s="4065">
        <v>720.58080698204878</v>
      </c>
      <c r="O37" s="4065">
        <v>738.22287646151176</v>
      </c>
      <c r="P37" s="4065">
        <v>761.68682887</v>
      </c>
      <c r="Q37" s="4065">
        <v>1021.2878336833335</v>
      </c>
      <c r="R37" s="4065">
        <v>1050.1937704120328</v>
      </c>
      <c r="S37" s="4065">
        <v>1079.5133123531791</v>
      </c>
      <c r="T37" s="4065">
        <v>1076.1779476621882</v>
      </c>
      <c r="U37" s="4065">
        <v>1072.8425829711978</v>
      </c>
      <c r="V37" s="4065">
        <v>1069.5072182802071</v>
      </c>
      <c r="W37" s="4065">
        <v>1065.5307007157301</v>
      </c>
      <c r="X37" s="4065">
        <v>1159.4904844523769</v>
      </c>
      <c r="Y37" s="4065">
        <v>1252.8287349164823</v>
      </c>
      <c r="Z37" s="4065">
        <v>1088.302771159184</v>
      </c>
      <c r="AA37" s="4065">
        <v>924.61635380044606</v>
      </c>
      <c r="AB37" s="4065">
        <v>760.31554032500014</v>
      </c>
      <c r="AC37" s="4065">
        <v>1138.7434395518412</v>
      </c>
      <c r="AD37" s="4065">
        <v>1224.3892800541203</v>
      </c>
      <c r="AE37" s="4065">
        <v>1153.3920301118246</v>
      </c>
      <c r="AF37" s="4065">
        <v>1318.3866247265748</v>
      </c>
      <c r="AG37" s="4065">
        <v>1318.3866247265748</v>
      </c>
      <c r="AH37" s="4065">
        <v>1318.3866247265748</v>
      </c>
      <c r="AI37" s="4065">
        <v>1318.3866247265748</v>
      </c>
      <c r="AJ37" s="4065">
        <v>1318.3866247265748</v>
      </c>
      <c r="AK37" s="4065">
        <v>1318.3866247265748</v>
      </c>
      <c r="AL37" s="4067">
        <f t="shared" ref="AL37:AL48" si="10">IF(AK37="NO",IF(E37="NO","NA",-100),IF(E37="NO",100,AK37/E37*100-100))</f>
        <v>512.2162947768087</v>
      </c>
      <c r="AM37" s="721"/>
      <c r="AP37" s="4417"/>
    </row>
    <row r="38" spans="2:42" ht="18" customHeight="1" x14ac:dyDescent="0.2">
      <c r="B38" s="1132" t="s">
        <v>956</v>
      </c>
      <c r="C38" s="2254"/>
      <c r="D38" s="2254"/>
      <c r="E38" s="4065">
        <v>366.66666666666663</v>
      </c>
      <c r="F38" s="4065">
        <v>374.63768115942037</v>
      </c>
      <c r="G38" s="4065">
        <v>373.04347826086962</v>
      </c>
      <c r="H38" s="4065">
        <v>384.20289855072468</v>
      </c>
      <c r="I38" s="4065">
        <v>381.01449275362324</v>
      </c>
      <c r="J38" s="4065">
        <v>479.85507246376812</v>
      </c>
      <c r="K38" s="4065">
        <v>559.56521739130449</v>
      </c>
      <c r="L38" s="4065">
        <v>667.97101449275374</v>
      </c>
      <c r="M38" s="4065">
        <v>742.89855072463774</v>
      </c>
      <c r="N38" s="4065">
        <v>792.31884057971024</v>
      </c>
      <c r="O38" s="4065">
        <v>962.89855072463774</v>
      </c>
      <c r="P38" s="4065">
        <v>1056.9565217391305</v>
      </c>
      <c r="Q38" s="4065">
        <v>909.124966614811</v>
      </c>
      <c r="R38" s="4065">
        <v>875.72997600000019</v>
      </c>
      <c r="S38" s="4065">
        <v>955.55675560913323</v>
      </c>
      <c r="T38" s="4065">
        <v>887.27441083555368</v>
      </c>
      <c r="U38" s="4065">
        <v>756.84856323012491</v>
      </c>
      <c r="V38" s="4065">
        <v>746.28003635533344</v>
      </c>
      <c r="W38" s="4065">
        <v>764.85177220220487</v>
      </c>
      <c r="X38" s="4065">
        <v>783.69324812931677</v>
      </c>
      <c r="Y38" s="4065">
        <v>936.31003846418662</v>
      </c>
      <c r="Z38" s="4065">
        <v>1112.2479933256814</v>
      </c>
      <c r="AA38" s="4065">
        <v>1120.457373631976</v>
      </c>
      <c r="AB38" s="4065">
        <v>1277.7968497515212</v>
      </c>
      <c r="AC38" s="4065">
        <v>1352.1662859830203</v>
      </c>
      <c r="AD38" s="4065">
        <v>1308.5803684117998</v>
      </c>
      <c r="AE38" s="4065">
        <v>1509.858276147467</v>
      </c>
      <c r="AF38" s="4065">
        <v>1543.3531240086666</v>
      </c>
      <c r="AG38" s="4065">
        <v>1356.3276249629334</v>
      </c>
      <c r="AH38" s="4065">
        <v>1346.9978732532668</v>
      </c>
      <c r="AI38" s="4065">
        <v>1478.1585285008669</v>
      </c>
      <c r="AJ38" s="4065">
        <v>1765.0036044615335</v>
      </c>
      <c r="AK38" s="4065">
        <v>1884.0302658056</v>
      </c>
      <c r="AL38" s="4067">
        <f t="shared" si="10"/>
        <v>413.82643612880008</v>
      </c>
      <c r="AM38" s="721"/>
      <c r="AP38" s="4417"/>
    </row>
    <row r="39" spans="2:42" ht="18" customHeight="1" x14ac:dyDescent="0.2">
      <c r="B39" s="1132" t="s">
        <v>1944</v>
      </c>
      <c r="C39" s="2254"/>
      <c r="D39" s="2254"/>
      <c r="E39" s="4073" t="s">
        <v>221</v>
      </c>
      <c r="F39" s="4073" t="s">
        <v>221</v>
      </c>
      <c r="G39" s="4073" t="s">
        <v>221</v>
      </c>
      <c r="H39" s="4073" t="s">
        <v>221</v>
      </c>
      <c r="I39" s="4073" t="s">
        <v>221</v>
      </c>
      <c r="J39" s="4073" t="s">
        <v>221</v>
      </c>
      <c r="K39" s="4073" t="s">
        <v>221</v>
      </c>
      <c r="L39" s="4073" t="s">
        <v>221</v>
      </c>
      <c r="M39" s="4073" t="s">
        <v>221</v>
      </c>
      <c r="N39" s="4073" t="s">
        <v>221</v>
      </c>
      <c r="O39" s="4073" t="s">
        <v>221</v>
      </c>
      <c r="P39" s="4073" t="s">
        <v>221</v>
      </c>
      <c r="Q39" s="4073" t="s">
        <v>221</v>
      </c>
      <c r="R39" s="4073" t="s">
        <v>221</v>
      </c>
      <c r="S39" s="4073" t="s">
        <v>221</v>
      </c>
      <c r="T39" s="4073" t="s">
        <v>221</v>
      </c>
      <c r="U39" s="4073" t="s">
        <v>221</v>
      </c>
      <c r="V39" s="4073" t="s">
        <v>221</v>
      </c>
      <c r="W39" s="4073" t="s">
        <v>221</v>
      </c>
      <c r="X39" s="4073" t="s">
        <v>221</v>
      </c>
      <c r="Y39" s="4073" t="s">
        <v>221</v>
      </c>
      <c r="Z39" s="4073" t="s">
        <v>221</v>
      </c>
      <c r="AA39" s="4073" t="s">
        <v>221</v>
      </c>
      <c r="AB39" s="4073" t="s">
        <v>221</v>
      </c>
      <c r="AC39" s="4073" t="s">
        <v>221</v>
      </c>
      <c r="AD39" s="4073" t="s">
        <v>221</v>
      </c>
      <c r="AE39" s="4073" t="s">
        <v>221</v>
      </c>
      <c r="AF39" s="4073" t="s">
        <v>221</v>
      </c>
      <c r="AG39" s="4073" t="s">
        <v>221</v>
      </c>
      <c r="AH39" s="4073" t="s">
        <v>221</v>
      </c>
      <c r="AI39" s="4073" t="s">
        <v>221</v>
      </c>
      <c r="AJ39" s="4073" t="s">
        <v>221</v>
      </c>
      <c r="AK39" s="4073" t="s">
        <v>221</v>
      </c>
      <c r="AL39" s="4415" t="s">
        <v>205</v>
      </c>
      <c r="AM39" s="721"/>
      <c r="AP39" s="4417"/>
    </row>
    <row r="40" spans="2:42" ht="18" customHeight="1" thickBot="1" x14ac:dyDescent="0.25">
      <c r="B40" s="1375" t="s">
        <v>1945</v>
      </c>
      <c r="C40" s="2254"/>
      <c r="D40" s="2254"/>
      <c r="E40" s="4066" t="s">
        <v>199</v>
      </c>
      <c r="F40" s="4066" t="s">
        <v>199</v>
      </c>
      <c r="G40" s="4085" t="s">
        <v>199</v>
      </c>
      <c r="H40" s="4085" t="s">
        <v>199</v>
      </c>
      <c r="I40" s="4085" t="s">
        <v>199</v>
      </c>
      <c r="J40" s="4085" t="s">
        <v>199</v>
      </c>
      <c r="K40" s="4085" t="s">
        <v>199</v>
      </c>
      <c r="L40" s="4085" t="s">
        <v>199</v>
      </c>
      <c r="M40" s="4085" t="s">
        <v>199</v>
      </c>
      <c r="N40" s="4085" t="s">
        <v>199</v>
      </c>
      <c r="O40" s="4085" t="s">
        <v>199</v>
      </c>
      <c r="P40" s="4085" t="s">
        <v>199</v>
      </c>
      <c r="Q40" s="4085" t="s">
        <v>199</v>
      </c>
      <c r="R40" s="4085" t="s">
        <v>199</v>
      </c>
      <c r="S40" s="4085" t="s">
        <v>199</v>
      </c>
      <c r="T40" s="4085" t="s">
        <v>199</v>
      </c>
      <c r="U40" s="4085" t="s">
        <v>199</v>
      </c>
      <c r="V40" s="4085" t="s">
        <v>199</v>
      </c>
      <c r="W40" s="4085" t="s">
        <v>199</v>
      </c>
      <c r="X40" s="4085" t="s">
        <v>199</v>
      </c>
      <c r="Y40" s="4085" t="s">
        <v>199</v>
      </c>
      <c r="Z40" s="4085" t="s">
        <v>199</v>
      </c>
      <c r="AA40" s="4085" t="s">
        <v>199</v>
      </c>
      <c r="AB40" s="4085" t="s">
        <v>199</v>
      </c>
      <c r="AC40" s="4085" t="s">
        <v>199</v>
      </c>
      <c r="AD40" s="4085" t="s">
        <v>199</v>
      </c>
      <c r="AE40" s="4085" t="s">
        <v>199</v>
      </c>
      <c r="AF40" s="4085" t="s">
        <v>199</v>
      </c>
      <c r="AG40" s="4085" t="s">
        <v>199</v>
      </c>
      <c r="AH40" s="4085" t="s">
        <v>199</v>
      </c>
      <c r="AI40" s="4085" t="s">
        <v>199</v>
      </c>
      <c r="AJ40" s="4085" t="s">
        <v>199</v>
      </c>
      <c r="AK40" s="4085" t="s">
        <v>199</v>
      </c>
      <c r="AL40" s="4081" t="s">
        <v>205</v>
      </c>
      <c r="AM40" s="721"/>
      <c r="AP40" s="4417"/>
    </row>
    <row r="41" spans="2:42" ht="18" customHeight="1" x14ac:dyDescent="0.2">
      <c r="B41" s="773" t="s">
        <v>2393</v>
      </c>
      <c r="C41" s="2029"/>
      <c r="D41" s="2029"/>
      <c r="E41" s="4071">
        <f>SUM(E42:E49)</f>
        <v>153350.00396199463</v>
      </c>
      <c r="F41" s="4071">
        <f t="shared" ref="F41:AJ41" si="11">SUM(F42:F49)</f>
        <v>133784.21891553811</v>
      </c>
      <c r="G41" s="4071">
        <f t="shared" si="11"/>
        <v>91407.70961924654</v>
      </c>
      <c r="H41" s="4071">
        <f t="shared" si="11"/>
        <v>70881.522873018257</v>
      </c>
      <c r="I41" s="4071">
        <f t="shared" si="11"/>
        <v>61036.957021223752</v>
      </c>
      <c r="J41" s="4071">
        <f t="shared" si="11"/>
        <v>40144.346517085476</v>
      </c>
      <c r="K41" s="4071">
        <f t="shared" si="11"/>
        <v>33934.952432732382</v>
      </c>
      <c r="L41" s="4071">
        <f t="shared" si="11"/>
        <v>20070.184448754593</v>
      </c>
      <c r="M41" s="4071">
        <f t="shared" si="11"/>
        <v>22991.555851087342</v>
      </c>
      <c r="N41" s="4071">
        <f t="shared" si="11"/>
        <v>36001.143254447277</v>
      </c>
      <c r="O41" s="4071">
        <f t="shared" si="11"/>
        <v>43280.419522750541</v>
      </c>
      <c r="P41" s="4071">
        <f t="shared" si="11"/>
        <v>52842.368528409541</v>
      </c>
      <c r="Q41" s="4071">
        <f t="shared" si="11"/>
        <v>53342.273620376582</v>
      </c>
      <c r="R41" s="4071">
        <f t="shared" si="11"/>
        <v>53451.454009381057</v>
      </c>
      <c r="S41" s="4071">
        <f t="shared" si="11"/>
        <v>23201.569236669617</v>
      </c>
      <c r="T41" s="4071">
        <f t="shared" si="11"/>
        <v>51141.09780882793</v>
      </c>
      <c r="U41" s="4071">
        <f t="shared" si="11"/>
        <v>80660.306232489762</v>
      </c>
      <c r="V41" s="4071">
        <f t="shared" si="11"/>
        <v>53745.012522106066</v>
      </c>
      <c r="W41" s="4071">
        <f t="shared" si="11"/>
        <v>40245.413493554297</v>
      </c>
      <c r="X41" s="4071">
        <f t="shared" si="11"/>
        <v>31539.95486670305</v>
      </c>
      <c r="Y41" s="4071">
        <f t="shared" si="11"/>
        <v>37584.701912980847</v>
      </c>
      <c r="Z41" s="4071">
        <f t="shared" si="11"/>
        <v>3904.9535083586734</v>
      </c>
      <c r="AA41" s="4071">
        <f t="shared" si="11"/>
        <v>-20234.722516169953</v>
      </c>
      <c r="AB41" s="4071">
        <f t="shared" si="11"/>
        <v>-9525.7703689440277</v>
      </c>
      <c r="AC41" s="4071">
        <f t="shared" si="11"/>
        <v>-20514.15091888461</v>
      </c>
      <c r="AD41" s="4071">
        <f t="shared" si="11"/>
        <v>-33236.458966416059</v>
      </c>
      <c r="AE41" s="4071">
        <f t="shared" si="11"/>
        <v>-82557.762408874114</v>
      </c>
      <c r="AF41" s="4071">
        <f t="shared" si="11"/>
        <v>-51592.757223754787</v>
      </c>
      <c r="AG41" s="4071">
        <f t="shared" si="11"/>
        <v>-78288.969848426495</v>
      </c>
      <c r="AH41" s="4071">
        <f t="shared" si="11"/>
        <v>-82612.908090120385</v>
      </c>
      <c r="AI41" s="4071">
        <f t="shared" si="11"/>
        <v>-78758.785798327925</v>
      </c>
      <c r="AJ41" s="4071">
        <f t="shared" si="11"/>
        <v>-105645.33679957411</v>
      </c>
      <c r="AK41" s="4071">
        <f t="shared" ref="AK41" si="12">SUM(AK42:AK49)</f>
        <v>-105680.14933362287</v>
      </c>
      <c r="AL41" s="4082">
        <f>IF(AK41="NO",IF(E41="NO","NA",-100),IF(E41="NO",100,AK41/E41*100-100))</f>
        <v>-168.9143440516728</v>
      </c>
      <c r="AM41" s="721"/>
      <c r="AP41" s="4417"/>
    </row>
    <row r="42" spans="2:42" ht="18" customHeight="1" x14ac:dyDescent="0.2">
      <c r="B42" s="1131" t="s">
        <v>1252</v>
      </c>
      <c r="C42" s="2027"/>
      <c r="D42" s="2027"/>
      <c r="E42" s="4065">
        <v>-13132.69831950849</v>
      </c>
      <c r="F42" s="4065">
        <v>-13884.157619537069</v>
      </c>
      <c r="G42" s="4065">
        <v>-19037.783969289638</v>
      </c>
      <c r="H42" s="4065">
        <v>-24513.131470714674</v>
      </c>
      <c r="I42" s="4065">
        <v>-17822.501770573297</v>
      </c>
      <c r="J42" s="4065">
        <v>-26152.347260274953</v>
      </c>
      <c r="K42" s="4065">
        <v>-24907.842242582039</v>
      </c>
      <c r="L42" s="4065">
        <v>-41260.607239294812</v>
      </c>
      <c r="M42" s="4065">
        <v>-33223.296592007609</v>
      </c>
      <c r="N42" s="4065">
        <v>-38682.085427286518</v>
      </c>
      <c r="O42" s="4065">
        <v>-26646.633772045065</v>
      </c>
      <c r="P42" s="4065">
        <v>-28941.214564856637</v>
      </c>
      <c r="Q42" s="4065">
        <v>-33800.247214740273</v>
      </c>
      <c r="R42" s="4065">
        <v>-36956.832828431361</v>
      </c>
      <c r="S42" s="4065">
        <v>-48070.723705090728</v>
      </c>
      <c r="T42" s="4065">
        <v>-42777.090901159274</v>
      </c>
      <c r="U42" s="4065">
        <v>-44102.758532752036</v>
      </c>
      <c r="V42" s="4065">
        <v>-39411.955402476699</v>
      </c>
      <c r="W42" s="4065">
        <v>-28733.416777769846</v>
      </c>
      <c r="X42" s="4065">
        <v>-22199.76670946696</v>
      </c>
      <c r="Y42" s="4065">
        <v>-21477.139345406555</v>
      </c>
      <c r="Z42" s="4065">
        <v>-33167.597755041112</v>
      </c>
      <c r="AA42" s="4065">
        <v>-37190.54751179149</v>
      </c>
      <c r="AB42" s="4065">
        <v>-44100.962638974393</v>
      </c>
      <c r="AC42" s="4065">
        <v>-58758.56585095526</v>
      </c>
      <c r="AD42" s="4065">
        <v>-60716.73251785808</v>
      </c>
      <c r="AE42" s="4065">
        <v>-89883.263136805632</v>
      </c>
      <c r="AF42" s="4065">
        <v>-88943.369614525349</v>
      </c>
      <c r="AG42" s="4065">
        <v>-96094.257520441344</v>
      </c>
      <c r="AH42" s="4065">
        <v>-76411.357434243473</v>
      </c>
      <c r="AI42" s="4065">
        <v>-80293.884304624618</v>
      </c>
      <c r="AJ42" s="4065">
        <v>-83849.429630125625</v>
      </c>
      <c r="AK42" s="4065">
        <v>-72107.54093562474</v>
      </c>
      <c r="AL42" s="4067">
        <f t="shared" si="10"/>
        <v>449.06873805598445</v>
      </c>
      <c r="AM42" s="721"/>
      <c r="AP42" s="4417"/>
    </row>
    <row r="43" spans="2:42" ht="18" customHeight="1" x14ac:dyDescent="0.2">
      <c r="B43" s="1131" t="s">
        <v>1255</v>
      </c>
      <c r="C43" s="2027"/>
      <c r="D43" s="2027"/>
      <c r="E43" s="4065">
        <v>34547.320297364073</v>
      </c>
      <c r="F43" s="4065">
        <v>34351.576179386313</v>
      </c>
      <c r="G43" s="4065">
        <v>24680.479964561506</v>
      </c>
      <c r="H43" s="4065">
        <v>21032.731107488777</v>
      </c>
      <c r="I43" s="4065">
        <v>17716.013941099689</v>
      </c>
      <c r="J43" s="4065">
        <v>11718.450890968958</v>
      </c>
      <c r="K43" s="4065">
        <v>11817.158564814554</v>
      </c>
      <c r="L43" s="4065">
        <v>7370.6323877009927</v>
      </c>
      <c r="M43" s="4065">
        <v>7213.2214716809467</v>
      </c>
      <c r="N43" s="4065">
        <v>9330.6043604125061</v>
      </c>
      <c r="O43" s="4065">
        <v>5436.9313177995527</v>
      </c>
      <c r="P43" s="4065">
        <v>6653.3121768366618</v>
      </c>
      <c r="Q43" s="4065">
        <v>9339.6894092403145</v>
      </c>
      <c r="R43" s="4065">
        <v>10461.241546908142</v>
      </c>
      <c r="S43" s="4065">
        <v>9826.9951960792059</v>
      </c>
      <c r="T43" s="4065">
        <v>9022.3424354018516</v>
      </c>
      <c r="U43" s="4065">
        <v>12987.76138942539</v>
      </c>
      <c r="V43" s="4065">
        <v>9016.0798520951339</v>
      </c>
      <c r="W43" s="4065">
        <v>7623.6284408483198</v>
      </c>
      <c r="X43" s="4065">
        <v>6392.9286160119609</v>
      </c>
      <c r="Y43" s="4065">
        <v>7228.1772717641034</v>
      </c>
      <c r="Z43" s="4065">
        <v>6725.8403179998804</v>
      </c>
      <c r="AA43" s="4065">
        <v>-969.91863339067118</v>
      </c>
      <c r="AB43" s="4065">
        <v>2930.291421366112</v>
      </c>
      <c r="AC43" s="4065">
        <v>-398.44045443091568</v>
      </c>
      <c r="AD43" s="4065">
        <v>-351.42382559629073</v>
      </c>
      <c r="AE43" s="4065">
        <v>-2997.199914139087</v>
      </c>
      <c r="AF43" s="4065">
        <v>-2292.9385131899435</v>
      </c>
      <c r="AG43" s="4065">
        <v>-6193.7839290837692</v>
      </c>
      <c r="AH43" s="4065">
        <v>-6646.2328176163528</v>
      </c>
      <c r="AI43" s="4065">
        <v>-8911.086745989167</v>
      </c>
      <c r="AJ43" s="4065">
        <v>-9931.8201906091635</v>
      </c>
      <c r="AK43" s="4065">
        <v>-11712.835731968753</v>
      </c>
      <c r="AL43" s="4067">
        <f t="shared" si="10"/>
        <v>-133.90374602473128</v>
      </c>
      <c r="AM43" s="721"/>
      <c r="AP43" s="4417"/>
    </row>
    <row r="44" spans="2:42" ht="18" customHeight="1" x14ac:dyDescent="0.2">
      <c r="B44" s="1131" t="s">
        <v>2382</v>
      </c>
      <c r="C44" s="2027"/>
      <c r="D44" s="2027"/>
      <c r="E44" s="4065">
        <v>129951.71841814721</v>
      </c>
      <c r="F44" s="4065">
        <v>111128.53882818406</v>
      </c>
      <c r="G44" s="4065">
        <v>83556.927914898188</v>
      </c>
      <c r="H44" s="4065">
        <v>73098.370066151721</v>
      </c>
      <c r="I44" s="4065">
        <v>62032.359197929676</v>
      </c>
      <c r="J44" s="4065">
        <v>56339.753489341398</v>
      </c>
      <c r="K44" s="4065">
        <v>47154.68948726188</v>
      </c>
      <c r="L44" s="4065">
        <v>53306.609121016547</v>
      </c>
      <c r="M44" s="4065">
        <v>50027.751999272317</v>
      </c>
      <c r="N44" s="4065">
        <v>65929.856523432434</v>
      </c>
      <c r="O44" s="4065">
        <v>65851.932481958065</v>
      </c>
      <c r="P44" s="4065">
        <v>76330.354789583638</v>
      </c>
      <c r="Q44" s="4065">
        <v>79047.807669472357</v>
      </c>
      <c r="R44" s="4065">
        <v>81565.712039508522</v>
      </c>
      <c r="S44" s="4065">
        <v>63759.371126649676</v>
      </c>
      <c r="T44" s="4065">
        <v>86787.327962776326</v>
      </c>
      <c r="U44" s="4065">
        <v>111265.70832686298</v>
      </c>
      <c r="V44" s="4065">
        <v>84789.598346893763</v>
      </c>
      <c r="W44" s="4065">
        <v>61463.68900274278</v>
      </c>
      <c r="X44" s="4065">
        <v>46286.304300373326</v>
      </c>
      <c r="Y44" s="4065">
        <v>49651.120295438886</v>
      </c>
      <c r="Z44" s="4065">
        <v>28925.999791672635</v>
      </c>
      <c r="AA44" s="4065">
        <v>17109.88813970903</v>
      </c>
      <c r="AB44" s="4065">
        <v>30336.399738192362</v>
      </c>
      <c r="AC44" s="4065">
        <v>37625.096834691227</v>
      </c>
      <c r="AD44" s="4065">
        <v>27830.424824007368</v>
      </c>
      <c r="AE44" s="4065">
        <v>11593.70959211781</v>
      </c>
      <c r="AF44" s="4065">
        <v>39921.909285722577</v>
      </c>
      <c r="AG44" s="4065">
        <v>26313.54599773014</v>
      </c>
      <c r="AH44" s="4065">
        <v>2761.1416737145237</v>
      </c>
      <c r="AI44" s="4065">
        <v>12423.756939155175</v>
      </c>
      <c r="AJ44" s="4065">
        <v>-8524.2810160450044</v>
      </c>
      <c r="AK44" s="4065">
        <v>-17419.991898383876</v>
      </c>
      <c r="AL44" s="4067">
        <f t="shared" si="10"/>
        <v>-113.40497233159422</v>
      </c>
      <c r="AM44" s="721"/>
      <c r="AP44" s="4417"/>
    </row>
    <row r="45" spans="2:42" ht="18" customHeight="1" x14ac:dyDescent="0.2">
      <c r="B45" s="1131" t="s">
        <v>1984</v>
      </c>
      <c r="C45" s="2027"/>
      <c r="D45" s="2027"/>
      <c r="E45" s="4065">
        <v>1783.0929076139923</v>
      </c>
      <c r="F45" s="4065">
        <v>2094.5991809202014</v>
      </c>
      <c r="G45" s="4065">
        <v>2203.7792523210055</v>
      </c>
      <c r="H45" s="4065">
        <v>1595.2107046581459</v>
      </c>
      <c r="I45" s="4065">
        <v>492.06018802110333</v>
      </c>
      <c r="J45" s="4065">
        <v>542.12801412050635</v>
      </c>
      <c r="K45" s="4065">
        <v>1346.7163393913008</v>
      </c>
      <c r="L45" s="4065">
        <v>1451.8113940927544</v>
      </c>
      <c r="M45" s="4065">
        <v>1275.9748409737845</v>
      </c>
      <c r="N45" s="4065">
        <v>1265.5391990429287</v>
      </c>
      <c r="O45" s="4065">
        <v>1251.7799344006023</v>
      </c>
      <c r="P45" s="4065">
        <v>557.70455684445778</v>
      </c>
      <c r="Q45" s="4065">
        <v>1035.99989958426</v>
      </c>
      <c r="R45" s="4065">
        <v>846.29914427467622</v>
      </c>
      <c r="S45" s="4065">
        <v>282.45548576131932</v>
      </c>
      <c r="T45" s="4065">
        <v>915.47381533706528</v>
      </c>
      <c r="U45" s="4065">
        <v>1391.6380789291645</v>
      </c>
      <c r="V45" s="4065">
        <v>1137.0405416596705</v>
      </c>
      <c r="W45" s="4065">
        <v>1364.7947658129629</v>
      </c>
      <c r="X45" s="4065">
        <v>1407.7458687701276</v>
      </c>
      <c r="Y45" s="4065">
        <v>1508.348366800667</v>
      </c>
      <c r="Z45" s="4065">
        <v>2131.4194210147716</v>
      </c>
      <c r="AA45" s="4065">
        <v>323.13623179214591</v>
      </c>
      <c r="AB45" s="4065">
        <v>323.31055740395107</v>
      </c>
      <c r="AC45" s="4065">
        <v>323.13814266130896</v>
      </c>
      <c r="AD45" s="4065">
        <v>439.05659615188438</v>
      </c>
      <c r="AE45" s="4065">
        <v>-258.8401236427116</v>
      </c>
      <c r="AF45" s="4065">
        <v>-341.49219660115773</v>
      </c>
      <c r="AG45" s="4065">
        <v>-694.89438734630312</v>
      </c>
      <c r="AH45" s="4065">
        <v>-501.11408142992377</v>
      </c>
      <c r="AI45" s="4065">
        <v>-1022.9871660343515</v>
      </c>
      <c r="AJ45" s="4065">
        <v>-709.86503669737317</v>
      </c>
      <c r="AK45" s="4065">
        <v>-582.96071063820432</v>
      </c>
      <c r="AL45" s="4067">
        <f t="shared" si="10"/>
        <v>-132.69379336034041</v>
      </c>
      <c r="AM45" s="721"/>
      <c r="AP45" s="4417"/>
    </row>
    <row r="46" spans="2:42" ht="18" customHeight="1" x14ac:dyDescent="0.2">
      <c r="B46" s="1131" t="s">
        <v>1264</v>
      </c>
      <c r="C46" s="2027"/>
      <c r="D46" s="2027"/>
      <c r="E46" s="4065">
        <v>7337.8786786846813</v>
      </c>
      <c r="F46" s="4065">
        <v>6665.9078443745502</v>
      </c>
      <c r="G46" s="4065">
        <v>6707.6808676812061</v>
      </c>
      <c r="H46" s="4065">
        <v>6509.1942698276271</v>
      </c>
      <c r="I46" s="4065">
        <v>5733.0095219653558</v>
      </c>
      <c r="J46" s="4065">
        <v>5191.403649309791</v>
      </c>
      <c r="K46" s="4065">
        <v>4933.4853901987799</v>
      </c>
      <c r="L46" s="4065">
        <v>5552.454255686107</v>
      </c>
      <c r="M46" s="4065">
        <v>4832.6132158587898</v>
      </c>
      <c r="N46" s="4065">
        <v>4483.192635184002</v>
      </c>
      <c r="O46" s="4065">
        <v>5113.5087017162505</v>
      </c>
      <c r="P46" s="4065">
        <v>4735.3020882909896</v>
      </c>
      <c r="Q46" s="4065">
        <v>4535.4086992964194</v>
      </c>
      <c r="R46" s="4065">
        <v>4894.8149334138925</v>
      </c>
      <c r="S46" s="4065">
        <v>5445.1683514130073</v>
      </c>
      <c r="T46" s="4065">
        <v>5117.3046710161434</v>
      </c>
      <c r="U46" s="4065">
        <v>6613.0693315321951</v>
      </c>
      <c r="V46" s="4065">
        <v>4685.7284849017178</v>
      </c>
      <c r="W46" s="4065">
        <v>4834.5951756484283</v>
      </c>
      <c r="X46" s="4065">
        <v>4268.6248650799134</v>
      </c>
      <c r="Y46" s="4065">
        <v>4811.2246492280883</v>
      </c>
      <c r="Z46" s="4065">
        <v>3864.1955939452628</v>
      </c>
      <c r="AA46" s="4065">
        <v>4426.1221010674635</v>
      </c>
      <c r="AB46" s="4065">
        <v>4970.1151038047637</v>
      </c>
      <c r="AC46" s="4065">
        <v>4523.6301701224911</v>
      </c>
      <c r="AD46" s="4065">
        <v>3684.3433258981131</v>
      </c>
      <c r="AE46" s="4065">
        <v>3383.7367946466693</v>
      </c>
      <c r="AF46" s="4065">
        <v>4441.4324586275279</v>
      </c>
      <c r="AG46" s="4065">
        <v>3469.2709302577687</v>
      </c>
      <c r="AH46" s="4065">
        <v>3137.0733845727173</v>
      </c>
      <c r="AI46" s="4065">
        <v>3465.1997592324465</v>
      </c>
      <c r="AJ46" s="4065">
        <v>2301.362033881594</v>
      </c>
      <c r="AK46" s="4065">
        <v>1754.4794106119141</v>
      </c>
      <c r="AL46" s="4067">
        <f t="shared" si="10"/>
        <v>-76.090100593944328</v>
      </c>
      <c r="AM46" s="721"/>
      <c r="AP46" s="4417"/>
    </row>
    <row r="47" spans="2:42" ht="18" customHeight="1" x14ac:dyDescent="0.2">
      <c r="B47" s="1131" t="s">
        <v>1986</v>
      </c>
      <c r="C47" s="2027"/>
      <c r="D47" s="2027"/>
      <c r="E47" s="4089" t="s">
        <v>199</v>
      </c>
      <c r="F47" s="4089" t="s">
        <v>199</v>
      </c>
      <c r="G47" s="4089" t="s">
        <v>199</v>
      </c>
      <c r="H47" s="4089" t="s">
        <v>199</v>
      </c>
      <c r="I47" s="4089" t="s">
        <v>199</v>
      </c>
      <c r="J47" s="4089" t="s">
        <v>199</v>
      </c>
      <c r="K47" s="4089" t="s">
        <v>199</v>
      </c>
      <c r="L47" s="4089" t="s">
        <v>199</v>
      </c>
      <c r="M47" s="4089" t="s">
        <v>199</v>
      </c>
      <c r="N47" s="4089" t="s">
        <v>199</v>
      </c>
      <c r="O47" s="4089" t="s">
        <v>199</v>
      </c>
      <c r="P47" s="4089" t="s">
        <v>199</v>
      </c>
      <c r="Q47" s="4089" t="s">
        <v>199</v>
      </c>
      <c r="R47" s="4089" t="s">
        <v>199</v>
      </c>
      <c r="S47" s="4089" t="s">
        <v>199</v>
      </c>
      <c r="T47" s="4089" t="s">
        <v>199</v>
      </c>
      <c r="U47" s="4089" t="s">
        <v>199</v>
      </c>
      <c r="V47" s="4089" t="s">
        <v>199</v>
      </c>
      <c r="W47" s="4089" t="s">
        <v>199</v>
      </c>
      <c r="X47" s="4089" t="s">
        <v>199</v>
      </c>
      <c r="Y47" s="4089" t="s">
        <v>199</v>
      </c>
      <c r="Z47" s="4089" t="s">
        <v>199</v>
      </c>
      <c r="AA47" s="4089" t="s">
        <v>199</v>
      </c>
      <c r="AB47" s="4089" t="s">
        <v>199</v>
      </c>
      <c r="AC47" s="4089" t="s">
        <v>199</v>
      </c>
      <c r="AD47" s="4089" t="s">
        <v>199</v>
      </c>
      <c r="AE47" s="4089" t="s">
        <v>199</v>
      </c>
      <c r="AF47" s="4089" t="s">
        <v>199</v>
      </c>
      <c r="AG47" s="4089" t="s">
        <v>199</v>
      </c>
      <c r="AH47" s="4089" t="s">
        <v>199</v>
      </c>
      <c r="AI47" s="4089" t="s">
        <v>199</v>
      </c>
      <c r="AJ47" s="4089" t="s">
        <v>199</v>
      </c>
      <c r="AK47" s="4089" t="s">
        <v>199</v>
      </c>
      <c r="AL47" s="4080" t="str">
        <f>IF(AK47="NO",IF(E47="NO","NA",-100),IF(E47="NO",100,AK47/E47*100-100))</f>
        <v>NA</v>
      </c>
      <c r="AM47" s="721"/>
      <c r="AP47" s="4417"/>
    </row>
    <row r="48" spans="2:42" ht="18" customHeight="1" x14ac:dyDescent="0.2">
      <c r="B48" s="1131" t="s">
        <v>1987</v>
      </c>
      <c r="C48" s="2254"/>
      <c r="D48" s="2254"/>
      <c r="E48" s="4065">
        <v>-7137.3080203068521</v>
      </c>
      <c r="F48" s="4065">
        <v>-6572.2454977899297</v>
      </c>
      <c r="G48" s="4065">
        <v>-6703.3744109257241</v>
      </c>
      <c r="H48" s="4065">
        <v>-6840.8518043933382</v>
      </c>
      <c r="I48" s="4065">
        <v>-7113.9840572187732</v>
      </c>
      <c r="J48" s="4065">
        <v>-7495.0422663802219</v>
      </c>
      <c r="K48" s="4065">
        <v>-6409.2751637017127</v>
      </c>
      <c r="L48" s="4065">
        <v>-6351.2423647902096</v>
      </c>
      <c r="M48" s="4065">
        <v>-7135.2159216844802</v>
      </c>
      <c r="N48" s="4065">
        <v>-6326.4708733316693</v>
      </c>
      <c r="O48" s="4065">
        <v>-7727.6059780724609</v>
      </c>
      <c r="P48" s="4065">
        <v>-6495.1079920120274</v>
      </c>
      <c r="Q48" s="4065">
        <v>-6820.9855072035207</v>
      </c>
      <c r="R48" s="4065">
        <v>-7362.331001772226</v>
      </c>
      <c r="S48" s="4065">
        <v>-8043.9026478161604</v>
      </c>
      <c r="T48" s="4065">
        <v>-7935.1036061938112</v>
      </c>
      <c r="U48" s="4065">
        <v>-7505.3279406263191</v>
      </c>
      <c r="V48" s="4065">
        <v>-6472.1362233364061</v>
      </c>
      <c r="W48" s="4065">
        <v>-6362.3737142264654</v>
      </c>
      <c r="X48" s="4065">
        <v>-4616.2887655963832</v>
      </c>
      <c r="Y48" s="4065">
        <v>-4137.4360163754072</v>
      </c>
      <c r="Z48" s="4065">
        <v>-4574.9038612327631</v>
      </c>
      <c r="AA48" s="4065">
        <v>-3934.8637752528084</v>
      </c>
      <c r="AB48" s="4065">
        <v>-3986.6566336709193</v>
      </c>
      <c r="AC48" s="4065">
        <v>-3862.7706398082705</v>
      </c>
      <c r="AD48" s="4065">
        <v>-4123.621565569576</v>
      </c>
      <c r="AE48" s="4065">
        <v>-4395.905621051159</v>
      </c>
      <c r="AF48" s="4065">
        <v>-4378.298643788431</v>
      </c>
      <c r="AG48" s="4065">
        <v>-5088.8509395429901</v>
      </c>
      <c r="AH48" s="4065">
        <v>-4952.4188151178632</v>
      </c>
      <c r="AI48" s="4065">
        <v>-4419.7842800674098</v>
      </c>
      <c r="AJ48" s="4065">
        <v>-4931.3029599785514</v>
      </c>
      <c r="AK48" s="4065">
        <v>-5611.299467619222</v>
      </c>
      <c r="AL48" s="4067">
        <f t="shared" si="10"/>
        <v>-21.380729938316762</v>
      </c>
      <c r="AM48" s="721"/>
      <c r="AP48" s="4417"/>
    </row>
    <row r="49" spans="2:42" ht="18" customHeight="1" thickBot="1" x14ac:dyDescent="0.25">
      <c r="B49" s="1375" t="s">
        <v>2383</v>
      </c>
      <c r="C49" s="2043"/>
      <c r="D49" s="2043"/>
      <c r="E49" s="4087" t="s">
        <v>199</v>
      </c>
      <c r="F49" s="4087" t="s">
        <v>199</v>
      </c>
      <c r="G49" s="4087" t="s">
        <v>199</v>
      </c>
      <c r="H49" s="4087" t="s">
        <v>199</v>
      </c>
      <c r="I49" s="4087" t="s">
        <v>199</v>
      </c>
      <c r="J49" s="4087" t="s">
        <v>199</v>
      </c>
      <c r="K49" s="4087">
        <v>2.0057349620000001E-2</v>
      </c>
      <c r="L49" s="4087">
        <v>0.52689434321333339</v>
      </c>
      <c r="M49" s="4087">
        <v>0.50683699359333334</v>
      </c>
      <c r="N49" s="4087">
        <v>0.50683699359333334</v>
      </c>
      <c r="O49" s="4087">
        <v>0.50683699359333334</v>
      </c>
      <c r="P49" s="4087">
        <v>2.0174737224522223</v>
      </c>
      <c r="Q49" s="4087">
        <v>4.6006647270185557</v>
      </c>
      <c r="R49" s="4087">
        <v>2.5501754794022227</v>
      </c>
      <c r="S49" s="4087">
        <v>2.2054296732966669</v>
      </c>
      <c r="T49" s="4087">
        <v>10.843431649636667</v>
      </c>
      <c r="U49" s="4087">
        <v>10.215579118396668</v>
      </c>
      <c r="V49" s="4087">
        <v>0.65692236888666677</v>
      </c>
      <c r="W49" s="4087">
        <v>54.49660049812001</v>
      </c>
      <c r="X49" s="4087">
        <v>0.40669153106816663</v>
      </c>
      <c r="Y49" s="4087">
        <v>0.40669153106816663</v>
      </c>
      <c r="Z49" s="4087" t="s">
        <v>199</v>
      </c>
      <c r="AA49" s="4087">
        <v>1.4609316963755554</v>
      </c>
      <c r="AB49" s="4087">
        <v>1.7320829340955557</v>
      </c>
      <c r="AC49" s="4087">
        <v>33.760878834808885</v>
      </c>
      <c r="AD49" s="4087">
        <v>1.4941965505133337</v>
      </c>
      <c r="AE49" s="4087" t="s">
        <v>199</v>
      </c>
      <c r="AF49" s="4087" t="s">
        <v>199</v>
      </c>
      <c r="AG49" s="4087" t="s">
        <v>199</v>
      </c>
      <c r="AH49" s="4087" t="s">
        <v>199</v>
      </c>
      <c r="AI49" s="4087" t="s">
        <v>199</v>
      </c>
      <c r="AJ49" s="4087" t="s">
        <v>199</v>
      </c>
      <c r="AK49" s="4087" t="s">
        <v>199</v>
      </c>
      <c r="AL49" s="4080" t="str">
        <f>IF(AK49="NO",IF(E49="NO","NA",-100),IF(E49="NO",100,AK49/E49*100-100))</f>
        <v>NA</v>
      </c>
      <c r="AM49" s="721"/>
      <c r="AP49" s="4417"/>
    </row>
    <row r="50" spans="2:42" ht="18" customHeight="1" x14ac:dyDescent="0.2">
      <c r="B50" s="774" t="s">
        <v>1955</v>
      </c>
      <c r="C50" s="2026"/>
      <c r="D50" s="2026"/>
      <c r="E50" s="4071">
        <f>SUM(E51:E55)</f>
        <v>73.841444217785693</v>
      </c>
      <c r="F50" s="4071">
        <f t="shared" ref="F50:AJ50" si="13">SUM(F51:F55)</f>
        <v>73.988845759355272</v>
      </c>
      <c r="G50" s="4071">
        <f t="shared" si="13"/>
        <v>74.127612218528455</v>
      </c>
      <c r="H50" s="4071">
        <f t="shared" si="13"/>
        <v>74.260865903522287</v>
      </c>
      <c r="I50" s="4071">
        <f t="shared" si="13"/>
        <v>74.401996819369387</v>
      </c>
      <c r="J50" s="4071">
        <f t="shared" si="13"/>
        <v>80.093277747652635</v>
      </c>
      <c r="K50" s="4071">
        <f t="shared" si="13"/>
        <v>58.640624527512315</v>
      </c>
      <c r="L50" s="4071">
        <f t="shared" si="13"/>
        <v>28.498582921678484</v>
      </c>
      <c r="M50" s="4071">
        <f t="shared" si="13"/>
        <v>28.621172748861426</v>
      </c>
      <c r="N50" s="4071">
        <f t="shared" si="13"/>
        <v>29.325568882446802</v>
      </c>
      <c r="O50" s="4071">
        <f t="shared" si="13"/>
        <v>28.212514195710089</v>
      </c>
      <c r="P50" s="4071">
        <f t="shared" si="13"/>
        <v>28.362785964459299</v>
      </c>
      <c r="Q50" s="4071">
        <f t="shared" si="13"/>
        <v>28.521775413558473</v>
      </c>
      <c r="R50" s="4071">
        <f t="shared" si="13"/>
        <v>28.688468053852297</v>
      </c>
      <c r="S50" s="4071">
        <f t="shared" si="13"/>
        <v>28.845923344468943</v>
      </c>
      <c r="T50" s="4071">
        <f t="shared" si="13"/>
        <v>29.0183583726607</v>
      </c>
      <c r="U50" s="4071">
        <f t="shared" si="13"/>
        <v>29.308601056242154</v>
      </c>
      <c r="V50" s="4071">
        <f t="shared" si="13"/>
        <v>29.670531219562221</v>
      </c>
      <c r="W50" s="4071">
        <f t="shared" si="13"/>
        <v>30.138931124908421</v>
      </c>
      <c r="X50" s="4071">
        <f t="shared" si="13"/>
        <v>30.577141562580699</v>
      </c>
      <c r="Y50" s="4071">
        <f t="shared" si="13"/>
        <v>30.362806605700698</v>
      </c>
      <c r="Z50" s="4071">
        <f t="shared" si="13"/>
        <v>30.475238146900701</v>
      </c>
      <c r="AA50" s="4071">
        <f t="shared" si="13"/>
        <v>30.629801780740696</v>
      </c>
      <c r="AB50" s="4071">
        <f t="shared" si="13"/>
        <v>31.081119583060698</v>
      </c>
      <c r="AC50" s="4071">
        <f t="shared" si="13"/>
        <v>31.499220380900699</v>
      </c>
      <c r="AD50" s="4071">
        <f t="shared" si="13"/>
        <v>31.180693138900697</v>
      </c>
      <c r="AE50" s="4071">
        <f t="shared" si="13"/>
        <v>31.331062638344687</v>
      </c>
      <c r="AF50" s="4071">
        <f t="shared" si="13"/>
        <v>31.457446360654316</v>
      </c>
      <c r="AG50" s="4071">
        <f t="shared" si="13"/>
        <v>31.414508582309281</v>
      </c>
      <c r="AH50" s="4071">
        <f t="shared" si="13"/>
        <v>31.383403080597994</v>
      </c>
      <c r="AI50" s="4071">
        <f t="shared" si="13"/>
        <v>31.466299785649113</v>
      </c>
      <c r="AJ50" s="4071">
        <f t="shared" si="13"/>
        <v>32.297548304455532</v>
      </c>
      <c r="AK50" s="4071">
        <f t="shared" ref="AK50" si="14">SUM(AK51:AK55)</f>
        <v>32.439473766742161</v>
      </c>
      <c r="AL50" s="4082">
        <f>IF(AK50="NO",IF(E50="NO","NA",-100),IF(E50="NO",100,AK50/E50*100-100))</f>
        <v>-56.068744171543869</v>
      </c>
      <c r="AM50" s="721"/>
      <c r="AP50" s="4417"/>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417"/>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417"/>
    </row>
    <row r="53" spans="2:42" ht="18" customHeight="1" x14ac:dyDescent="0.2">
      <c r="B53" s="1131" t="s">
        <v>1991</v>
      </c>
      <c r="C53" s="2027"/>
      <c r="D53" s="2027"/>
      <c r="E53" s="4065">
        <v>73.841444217785693</v>
      </c>
      <c r="F53" s="4065">
        <v>73.988845759355272</v>
      </c>
      <c r="G53" s="4065">
        <v>74.127612218528455</v>
      </c>
      <c r="H53" s="4065">
        <v>74.260865903522287</v>
      </c>
      <c r="I53" s="4065">
        <v>74.401996819369387</v>
      </c>
      <c r="J53" s="4065">
        <v>80.093277747652635</v>
      </c>
      <c r="K53" s="4065">
        <v>58.640624527512315</v>
      </c>
      <c r="L53" s="4065">
        <v>28.498582921678484</v>
      </c>
      <c r="M53" s="4065">
        <v>28.621172748861426</v>
      </c>
      <c r="N53" s="4065">
        <v>29.325568882446802</v>
      </c>
      <c r="O53" s="4065">
        <v>28.212514195710089</v>
      </c>
      <c r="P53" s="4065">
        <v>28.362785964459299</v>
      </c>
      <c r="Q53" s="4065">
        <v>28.521775413558473</v>
      </c>
      <c r="R53" s="4065">
        <v>28.688468053852297</v>
      </c>
      <c r="S53" s="4065">
        <v>28.845923344468943</v>
      </c>
      <c r="T53" s="4065">
        <v>29.0183583726607</v>
      </c>
      <c r="U53" s="4065">
        <v>29.308601056242154</v>
      </c>
      <c r="V53" s="4065">
        <v>29.670531219562221</v>
      </c>
      <c r="W53" s="4065">
        <v>30.138931124908421</v>
      </c>
      <c r="X53" s="4065">
        <v>30.577141562580699</v>
      </c>
      <c r="Y53" s="4065">
        <v>30.362806605700698</v>
      </c>
      <c r="Z53" s="4065">
        <v>30.475238146900701</v>
      </c>
      <c r="AA53" s="4065">
        <v>30.629801780740696</v>
      </c>
      <c r="AB53" s="4065">
        <v>31.081119583060698</v>
      </c>
      <c r="AC53" s="4065">
        <v>31.499220380900699</v>
      </c>
      <c r="AD53" s="4065">
        <v>31.180693138900697</v>
      </c>
      <c r="AE53" s="4065">
        <v>31.331062638344687</v>
      </c>
      <c r="AF53" s="4065">
        <v>31.457446360654316</v>
      </c>
      <c r="AG53" s="4065">
        <v>31.414508582309281</v>
      </c>
      <c r="AH53" s="4065">
        <v>31.383403080597994</v>
      </c>
      <c r="AI53" s="4065">
        <v>31.466299785649113</v>
      </c>
      <c r="AJ53" s="4065">
        <v>32.297548304455532</v>
      </c>
      <c r="AK53" s="4065">
        <v>32.439473766742161</v>
      </c>
      <c r="AL53" s="4067">
        <f t="shared" ref="AL53" si="15">IF(AK53="NO",IF(E53="NO","NA",-100),IF(E53="NO",100,AK53/E53*100-100))</f>
        <v>-56.068744171543869</v>
      </c>
      <c r="AM53" s="721"/>
      <c r="AP53" s="4417"/>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417"/>
    </row>
    <row r="55" spans="2:42"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IF(AK55="NO",IF(E55="NO","NA",-100),IF(E55="NO",100,AK55/E55*100-100))</f>
        <v>NA</v>
      </c>
      <c r="AM55" s="721"/>
      <c r="AP55" s="4417"/>
    </row>
    <row r="56" spans="2:42" ht="18" customHeight="1" thickBot="1" x14ac:dyDescent="0.25">
      <c r="B56" s="1445" t="s">
        <v>2394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IF(AK56="NO",IF(E56="NO","NA",-100),IF(E56="NO",100,AK56/E56*100-100))</f>
        <v>NA</v>
      </c>
      <c r="AM56" s="721"/>
      <c r="AP56" s="4417"/>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417"/>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417"/>
    </row>
    <row r="59" spans="2:42" ht="18" customHeight="1" x14ac:dyDescent="0.2">
      <c r="B59" s="1378" t="s">
        <v>217</v>
      </c>
      <c r="C59" s="2027"/>
      <c r="D59" s="2027"/>
      <c r="E59" s="4094">
        <f>SUM(E60:E61)</f>
        <v>6460.402</v>
      </c>
      <c r="F59" s="4094">
        <f t="shared" ref="F59:AJ59" si="16">SUM(F60:F61)</f>
        <v>6436.1739999999991</v>
      </c>
      <c r="G59" s="4094">
        <f t="shared" si="16"/>
        <v>6645.570999999999</v>
      </c>
      <c r="H59" s="4094">
        <f t="shared" si="16"/>
        <v>7050.375</v>
      </c>
      <c r="I59" s="4094">
        <f t="shared" si="16"/>
        <v>7431.5759999999991</v>
      </c>
      <c r="J59" s="4094">
        <f t="shared" si="16"/>
        <v>8613.7479999999996</v>
      </c>
      <c r="K59" s="4094">
        <f t="shared" si="16"/>
        <v>9111.0519999999997</v>
      </c>
      <c r="L59" s="4094">
        <f t="shared" si="16"/>
        <v>9141.9429999999993</v>
      </c>
      <c r="M59" s="4094">
        <f t="shared" si="16"/>
        <v>9532.9939999999988</v>
      </c>
      <c r="N59" s="4094">
        <f t="shared" si="16"/>
        <v>9804.7000000000007</v>
      </c>
      <c r="O59" s="4094">
        <f t="shared" si="16"/>
        <v>10192.668999999998</v>
      </c>
      <c r="P59" s="4094">
        <f t="shared" si="16"/>
        <v>10489.664999999999</v>
      </c>
      <c r="Q59" s="4094">
        <f t="shared" si="16"/>
        <v>9620.1779999999962</v>
      </c>
      <c r="R59" s="4094">
        <f t="shared" si="16"/>
        <v>8768.5216600000003</v>
      </c>
      <c r="S59" s="4094">
        <f t="shared" si="16"/>
        <v>9980.8101775999985</v>
      </c>
      <c r="T59" s="4094">
        <f t="shared" si="16"/>
        <v>10929.704466239999</v>
      </c>
      <c r="U59" s="4094">
        <f t="shared" si="16"/>
        <v>11377.083790508199</v>
      </c>
      <c r="V59" s="4094">
        <f t="shared" si="16"/>
        <v>11913.955119279999</v>
      </c>
      <c r="W59" s="4094">
        <f t="shared" si="16"/>
        <v>12123.679361199998</v>
      </c>
      <c r="X59" s="4094">
        <f t="shared" si="16"/>
        <v>12141.913604479998</v>
      </c>
      <c r="Y59" s="4094">
        <f t="shared" si="16"/>
        <v>12442.13430304</v>
      </c>
      <c r="Z59" s="4094">
        <f t="shared" si="16"/>
        <v>11958.095999999998</v>
      </c>
      <c r="AA59" s="4094">
        <f t="shared" si="16"/>
        <v>12910.479500000001</v>
      </c>
      <c r="AB59" s="4094">
        <f t="shared" si="16"/>
        <v>12970.425499999999</v>
      </c>
      <c r="AC59" s="4094">
        <f t="shared" si="16"/>
        <v>14128.3205</v>
      </c>
      <c r="AD59" s="4094">
        <f t="shared" si="16"/>
        <v>14068.4366982432</v>
      </c>
      <c r="AE59" s="4094">
        <f t="shared" si="16"/>
        <v>15011.944219573897</v>
      </c>
      <c r="AF59" s="4094">
        <f t="shared" si="16"/>
        <v>16176.571254225399</v>
      </c>
      <c r="AG59" s="4094">
        <f t="shared" si="16"/>
        <v>16922.548092598725</v>
      </c>
      <c r="AH59" s="4094">
        <f t="shared" si="16"/>
        <v>17720.414028928801</v>
      </c>
      <c r="AI59" s="4094">
        <f t="shared" si="16"/>
        <v>13888.5497904</v>
      </c>
      <c r="AJ59" s="4094">
        <f t="shared" si="16"/>
        <v>5098.2721709400003</v>
      </c>
      <c r="AK59" s="4094">
        <f t="shared" ref="AK59" si="17">SUM(AK60:AK61)</f>
        <v>7247.2761881071992</v>
      </c>
      <c r="AL59" s="4067">
        <f t="shared" ref="AL59:AL65" si="18">IF(AK59="NO",IF(E59="NO","NA",-100),IF(E59="NO",100,AK59/E59*100-100))</f>
        <v>12.179957038388608</v>
      </c>
      <c r="AM59" s="721"/>
      <c r="AP59" s="4417"/>
    </row>
    <row r="60" spans="2:42" ht="18" customHeight="1" x14ac:dyDescent="0.2">
      <c r="B60" s="1370" t="s">
        <v>218</v>
      </c>
      <c r="C60" s="2027"/>
      <c r="D60" s="2027"/>
      <c r="E60" s="4065">
        <v>4382.7120000000004</v>
      </c>
      <c r="F60" s="4065">
        <v>4558.7999999999993</v>
      </c>
      <c r="G60" s="4065">
        <v>4837.1999999999989</v>
      </c>
      <c r="H60" s="4065">
        <v>5244.3600000000006</v>
      </c>
      <c r="I60" s="4065">
        <v>5396.7839999999997</v>
      </c>
      <c r="J60" s="4065">
        <v>5908.3440000000001</v>
      </c>
      <c r="K60" s="4065">
        <v>6363.5279999999984</v>
      </c>
      <c r="L60" s="4065">
        <v>6595.9919999999984</v>
      </c>
      <c r="M60" s="4065">
        <v>7293.3839999999991</v>
      </c>
      <c r="N60" s="4065">
        <v>7328.88</v>
      </c>
      <c r="O60" s="4065">
        <v>7394.3039999999983</v>
      </c>
      <c r="P60" s="4065">
        <v>7861.3199999999988</v>
      </c>
      <c r="Q60" s="4065">
        <v>6751.895999999997</v>
      </c>
      <c r="R60" s="4065">
        <v>5972.2785599999997</v>
      </c>
      <c r="S60" s="4065">
        <v>7162.7347775999988</v>
      </c>
      <c r="T60" s="4065">
        <v>8268.8312294399984</v>
      </c>
      <c r="U60" s="4065">
        <v>8381.4122918399989</v>
      </c>
      <c r="V60" s="4065">
        <v>9349.5914995200001</v>
      </c>
      <c r="W60" s="4065">
        <v>9264.841305599999</v>
      </c>
      <c r="X60" s="4065">
        <v>9474.0236044799985</v>
      </c>
      <c r="Y60" s="4065">
        <v>10347.61730304</v>
      </c>
      <c r="Z60" s="4065">
        <v>10093.391999999998</v>
      </c>
      <c r="AA60" s="4065">
        <v>10472.016000000001</v>
      </c>
      <c r="AB60" s="4065">
        <v>11026.031999999999</v>
      </c>
      <c r="AC60" s="4065">
        <v>11893.248</v>
      </c>
      <c r="AD60" s="4065">
        <v>11823.3210534432</v>
      </c>
      <c r="AE60" s="4065">
        <v>12628.216407614398</v>
      </c>
      <c r="AF60" s="4065">
        <v>13611.074913431999</v>
      </c>
      <c r="AG60" s="4065">
        <v>14415.996663681601</v>
      </c>
      <c r="AH60" s="4065">
        <v>15338.494217949599</v>
      </c>
      <c r="AI60" s="4065">
        <v>11757.883683840002</v>
      </c>
      <c r="AJ60" s="4065">
        <v>3840.5573990400003</v>
      </c>
      <c r="AK60" s="4065">
        <v>5379.3923519999998</v>
      </c>
      <c r="AL60" s="4067">
        <f t="shared" si="18"/>
        <v>22.741178338891515</v>
      </c>
      <c r="AM60" s="721"/>
      <c r="AP60" s="4417"/>
    </row>
    <row r="61" spans="2:42" ht="18" customHeight="1" x14ac:dyDescent="0.2">
      <c r="B61" s="1379" t="s">
        <v>1963</v>
      </c>
      <c r="C61" s="2027"/>
      <c r="D61" s="2027"/>
      <c r="E61" s="4065">
        <v>2077.69</v>
      </c>
      <c r="F61" s="4065">
        <v>1877.374</v>
      </c>
      <c r="G61" s="4065">
        <v>1808.3709999999999</v>
      </c>
      <c r="H61" s="4065">
        <v>1806.0149999999999</v>
      </c>
      <c r="I61" s="4065">
        <v>2034.7919999999997</v>
      </c>
      <c r="J61" s="4065">
        <v>2705.404</v>
      </c>
      <c r="K61" s="4065">
        <v>2747.5240000000003</v>
      </c>
      <c r="L61" s="4065">
        <v>2545.951</v>
      </c>
      <c r="M61" s="4065">
        <v>2239.6099999999997</v>
      </c>
      <c r="N61" s="4065">
        <v>2475.8199999999997</v>
      </c>
      <c r="O61" s="4065">
        <v>2798.3650000000002</v>
      </c>
      <c r="P61" s="4065">
        <v>2628.3449999999998</v>
      </c>
      <c r="Q61" s="4065">
        <v>2868.2820000000002</v>
      </c>
      <c r="R61" s="4065">
        <v>2796.2431000000001</v>
      </c>
      <c r="S61" s="4065">
        <v>2818.0753999999997</v>
      </c>
      <c r="T61" s="4065">
        <v>2660.8732368000001</v>
      </c>
      <c r="U61" s="4065">
        <v>2995.6714986682</v>
      </c>
      <c r="V61" s="4065">
        <v>2564.3636197599994</v>
      </c>
      <c r="W61" s="4065">
        <v>2858.8380555999997</v>
      </c>
      <c r="X61" s="4065">
        <v>2667.8899999999994</v>
      </c>
      <c r="Y61" s="4065">
        <v>2094.5169999999998</v>
      </c>
      <c r="Z61" s="4065">
        <v>1864.704</v>
      </c>
      <c r="AA61" s="4065">
        <v>2438.4634999999998</v>
      </c>
      <c r="AB61" s="4065">
        <v>1944.3934999999999</v>
      </c>
      <c r="AC61" s="4065">
        <v>2235.0724999999998</v>
      </c>
      <c r="AD61" s="4065">
        <v>2245.1156448000011</v>
      </c>
      <c r="AE61" s="4065">
        <v>2383.7278119594998</v>
      </c>
      <c r="AF61" s="4065">
        <v>2565.4963407933997</v>
      </c>
      <c r="AG61" s="4065">
        <v>2506.5514289171228</v>
      </c>
      <c r="AH61" s="4065">
        <v>2381.9198109792001</v>
      </c>
      <c r="AI61" s="4065">
        <v>2130.6661065599983</v>
      </c>
      <c r="AJ61" s="4065">
        <v>1257.7147719</v>
      </c>
      <c r="AK61" s="4065">
        <v>1867.8838361071996</v>
      </c>
      <c r="AL61" s="4067">
        <f t="shared" si="18"/>
        <v>-10.098049463240443</v>
      </c>
      <c r="AM61" s="721"/>
      <c r="AP61" s="4417"/>
    </row>
    <row r="62" spans="2:42" ht="18" customHeight="1" x14ac:dyDescent="0.2">
      <c r="B62" s="1380" t="s">
        <v>220</v>
      </c>
      <c r="C62" s="2027"/>
      <c r="D62" s="2027"/>
      <c r="E62" s="4073" t="s">
        <v>221</v>
      </c>
      <c r="F62" s="4073" t="s">
        <v>221</v>
      </c>
      <c r="G62" s="4073" t="s">
        <v>221</v>
      </c>
      <c r="H62" s="4073" t="s">
        <v>221</v>
      </c>
      <c r="I62" s="4073" t="s">
        <v>221</v>
      </c>
      <c r="J62" s="4073" t="s">
        <v>221</v>
      </c>
      <c r="K62" s="4073" t="s">
        <v>221</v>
      </c>
      <c r="L62" s="4073" t="s">
        <v>221</v>
      </c>
      <c r="M62" s="4073" t="s">
        <v>221</v>
      </c>
      <c r="N62" s="4073" t="s">
        <v>221</v>
      </c>
      <c r="O62" s="4073" t="s">
        <v>221</v>
      </c>
      <c r="P62" s="4073" t="s">
        <v>221</v>
      </c>
      <c r="Q62" s="4073" t="s">
        <v>221</v>
      </c>
      <c r="R62" s="4073" t="s">
        <v>221</v>
      </c>
      <c r="S62" s="4073" t="s">
        <v>221</v>
      </c>
      <c r="T62" s="4073" t="s">
        <v>221</v>
      </c>
      <c r="U62" s="4073" t="s">
        <v>221</v>
      </c>
      <c r="V62" s="4073" t="s">
        <v>221</v>
      </c>
      <c r="W62" s="4073" t="s">
        <v>221</v>
      </c>
      <c r="X62" s="4073" t="s">
        <v>221</v>
      </c>
      <c r="Y62" s="4073" t="s">
        <v>221</v>
      </c>
      <c r="Z62" s="4073" t="s">
        <v>221</v>
      </c>
      <c r="AA62" s="4073" t="s">
        <v>221</v>
      </c>
      <c r="AB62" s="4073" t="s">
        <v>221</v>
      </c>
      <c r="AC62" s="4073" t="s">
        <v>221</v>
      </c>
      <c r="AD62" s="4073" t="s">
        <v>221</v>
      </c>
      <c r="AE62" s="4073" t="s">
        <v>221</v>
      </c>
      <c r="AF62" s="4073" t="s">
        <v>221</v>
      </c>
      <c r="AG62" s="4073" t="s">
        <v>221</v>
      </c>
      <c r="AH62" s="4073" t="s">
        <v>221</v>
      </c>
      <c r="AI62" s="4073" t="s">
        <v>221</v>
      </c>
      <c r="AJ62" s="4073" t="s">
        <v>221</v>
      </c>
      <c r="AK62" s="4073" t="s">
        <v>221</v>
      </c>
      <c r="AL62" s="4415" t="s">
        <v>205</v>
      </c>
      <c r="AM62" s="721"/>
      <c r="AP62" s="4417"/>
    </row>
    <row r="63" spans="2:42" ht="18" customHeight="1" x14ac:dyDescent="0.2">
      <c r="B63" s="1378" t="s">
        <v>222</v>
      </c>
      <c r="C63" s="2027"/>
      <c r="D63" s="2027"/>
      <c r="E63" s="4065">
        <v>15142.26513</v>
      </c>
      <c r="F63" s="4065">
        <v>15017.92222</v>
      </c>
      <c r="G63" s="4065">
        <v>13705.034500000002</v>
      </c>
      <c r="H63" s="4065">
        <v>15366.505570000001</v>
      </c>
      <c r="I63" s="4065">
        <v>16319.267620000002</v>
      </c>
      <c r="J63" s="4065">
        <v>17109.553749999999</v>
      </c>
      <c r="K63" s="4065">
        <v>18140.992340000004</v>
      </c>
      <c r="L63" s="4065">
        <v>19020.636110000003</v>
      </c>
      <c r="M63" s="4065">
        <v>19328.68835</v>
      </c>
      <c r="N63" s="4065">
        <v>19067.450679999998</v>
      </c>
      <c r="O63" s="4065">
        <v>19243.867299999998</v>
      </c>
      <c r="P63" s="4065">
        <v>18429.667800000003</v>
      </c>
      <c r="Q63" s="4065">
        <v>16548.893514000003</v>
      </c>
      <c r="R63" s="4065">
        <v>18217.176067586293</v>
      </c>
      <c r="S63" s="4065">
        <v>18497.257284546271</v>
      </c>
      <c r="T63" s="4065">
        <v>19092.019215944791</v>
      </c>
      <c r="U63" s="4065">
        <v>19104.041734213242</v>
      </c>
      <c r="V63" s="4065">
        <v>19252.600125708163</v>
      </c>
      <c r="W63" s="4065">
        <v>19671.551527105297</v>
      </c>
      <c r="X63" s="4065">
        <v>14682.810440562394</v>
      </c>
      <c r="Y63" s="4065">
        <v>17170.624238716351</v>
      </c>
      <c r="Z63" s="4065">
        <v>16455.288575753701</v>
      </c>
      <c r="AA63" s="4065">
        <v>16529.063075565657</v>
      </c>
      <c r="AB63" s="4065">
        <v>18039.799317792531</v>
      </c>
      <c r="AC63" s="4065">
        <v>17898.475606673011</v>
      </c>
      <c r="AD63" s="4065">
        <v>19040.21011526381</v>
      </c>
      <c r="AE63" s="4065">
        <v>19056.789306434563</v>
      </c>
      <c r="AF63" s="4065">
        <v>20194.191151191651</v>
      </c>
      <c r="AG63" s="4065">
        <v>16501.187294004005</v>
      </c>
      <c r="AH63" s="4065">
        <v>15553.66145711963</v>
      </c>
      <c r="AI63" s="4065">
        <v>16278.472390810326</v>
      </c>
      <c r="AJ63" s="4065">
        <v>17038.838972092974</v>
      </c>
      <c r="AK63" s="4065">
        <v>16931.329062250377</v>
      </c>
      <c r="AL63" s="4067">
        <f t="shared" si="18"/>
        <v>11.815035048526966</v>
      </c>
      <c r="AM63" s="721"/>
      <c r="AP63" s="4417"/>
    </row>
    <row r="64" spans="2:42" ht="18" customHeight="1" x14ac:dyDescent="0.2">
      <c r="B64" s="1382" t="s">
        <v>1964</v>
      </c>
      <c r="C64" s="2027"/>
      <c r="D64" s="2027"/>
      <c r="E64" s="4073" t="s">
        <v>199</v>
      </c>
      <c r="F64" s="4073" t="s">
        <v>199</v>
      </c>
      <c r="G64" s="4073" t="s">
        <v>199</v>
      </c>
      <c r="H64" s="4073" t="s">
        <v>199</v>
      </c>
      <c r="I64" s="4073" t="s">
        <v>199</v>
      </c>
      <c r="J64" s="4073" t="s">
        <v>199</v>
      </c>
      <c r="K64" s="4073" t="s">
        <v>199</v>
      </c>
      <c r="L64" s="4073" t="s">
        <v>199</v>
      </c>
      <c r="M64" s="4073" t="s">
        <v>199</v>
      </c>
      <c r="N64" s="4073" t="s">
        <v>199</v>
      </c>
      <c r="O64" s="4073" t="s">
        <v>199</v>
      </c>
      <c r="P64" s="4073" t="s">
        <v>199</v>
      </c>
      <c r="Q64" s="4073" t="s">
        <v>199</v>
      </c>
      <c r="R64" s="4073" t="s">
        <v>199</v>
      </c>
      <c r="S64" s="4073" t="s">
        <v>199</v>
      </c>
      <c r="T64" s="4073" t="s">
        <v>199</v>
      </c>
      <c r="U64" s="4073" t="s">
        <v>199</v>
      </c>
      <c r="V64" s="4073" t="s">
        <v>199</v>
      </c>
      <c r="W64" s="4073" t="s">
        <v>199</v>
      </c>
      <c r="X64" s="4073" t="s">
        <v>199</v>
      </c>
      <c r="Y64" s="4073" t="s">
        <v>199</v>
      </c>
      <c r="Z64" s="4073" t="s">
        <v>199</v>
      </c>
      <c r="AA64" s="4073" t="s">
        <v>199</v>
      </c>
      <c r="AB64" s="4073" t="s">
        <v>199</v>
      </c>
      <c r="AC64" s="4073" t="s">
        <v>199</v>
      </c>
      <c r="AD64" s="4073" t="s">
        <v>199</v>
      </c>
      <c r="AE64" s="4073" t="s">
        <v>199</v>
      </c>
      <c r="AF64" s="4073" t="s">
        <v>199</v>
      </c>
      <c r="AG64" s="4073" t="s">
        <v>199</v>
      </c>
      <c r="AH64" s="4073" t="s">
        <v>199</v>
      </c>
      <c r="AI64" s="4065">
        <v>2164.8240000000001</v>
      </c>
      <c r="AJ64" s="4065">
        <v>2720.328</v>
      </c>
      <c r="AK64" s="4065">
        <v>1646.4929999999999</v>
      </c>
      <c r="AL64" s="4067">
        <f t="shared" si="18"/>
        <v>100</v>
      </c>
      <c r="AM64" s="721"/>
      <c r="AP64" s="4417"/>
    </row>
    <row r="65" spans="2:42" ht="18" customHeight="1" x14ac:dyDescent="0.2">
      <c r="B65" s="1383" t="s">
        <v>1965</v>
      </c>
      <c r="C65" s="2254"/>
      <c r="D65" s="2254"/>
      <c r="E65" s="4065">
        <v>186837.52681501082</v>
      </c>
      <c r="F65" s="4065">
        <v>191008.2991050088</v>
      </c>
      <c r="G65" s="4065">
        <v>195204.17985202701</v>
      </c>
      <c r="H65" s="4065">
        <v>199356.97940795182</v>
      </c>
      <c r="I65" s="4065">
        <v>203492.86646496458</v>
      </c>
      <c r="J65" s="4065">
        <v>207719.6243452398</v>
      </c>
      <c r="K65" s="4065">
        <v>212137.14125804187</v>
      </c>
      <c r="L65" s="4065">
        <v>216505.66544917307</v>
      </c>
      <c r="M65" s="4065">
        <v>220912.12970598124</v>
      </c>
      <c r="N65" s="4065">
        <v>225505.32363434634</v>
      </c>
      <c r="O65" s="4065">
        <v>229989.38215038864</v>
      </c>
      <c r="P65" s="4065">
        <v>234770.34559658531</v>
      </c>
      <c r="Q65" s="4065">
        <v>239386.87216001595</v>
      </c>
      <c r="R65" s="4065">
        <v>244014.08217888058</v>
      </c>
      <c r="S65" s="4065">
        <v>248746.92909798762</v>
      </c>
      <c r="T65" s="4065">
        <v>253806.85499479342</v>
      </c>
      <c r="U65" s="4065">
        <v>258915.41439428658</v>
      </c>
      <c r="V65" s="4065">
        <v>263961.04090265837</v>
      </c>
      <c r="W65" s="4065">
        <v>268909.26940331148</v>
      </c>
      <c r="X65" s="4065">
        <v>273785.94821395894</v>
      </c>
      <c r="Y65" s="4065">
        <v>278449.60794762743</v>
      </c>
      <c r="Z65" s="4065">
        <v>282823.15214588447</v>
      </c>
      <c r="AA65" s="4065">
        <v>287376.68198365142</v>
      </c>
      <c r="AB65" s="4065">
        <v>291485.50700511056</v>
      </c>
      <c r="AC65" s="4065">
        <v>295510.11206349486</v>
      </c>
      <c r="AD65" s="4065">
        <v>299562.4313967601</v>
      </c>
      <c r="AE65" s="4065">
        <v>303469.60009146732</v>
      </c>
      <c r="AF65" s="4065">
        <v>307313.92418405256</v>
      </c>
      <c r="AG65" s="4065">
        <v>311003.62447329535</v>
      </c>
      <c r="AH65" s="4065">
        <v>315106.42824677972</v>
      </c>
      <c r="AI65" s="4065">
        <v>319218.82531955553</v>
      </c>
      <c r="AJ65" s="4065">
        <v>323256.03024599818</v>
      </c>
      <c r="AK65" s="4065">
        <v>327358.09608612536</v>
      </c>
      <c r="AL65" s="4067">
        <f t="shared" si="18"/>
        <v>75.210034978810739</v>
      </c>
      <c r="AM65" s="19"/>
      <c r="AP65" s="4417"/>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417"/>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417"/>
    </row>
    <row r="68" spans="2:42" ht="18" customHeight="1" thickBot="1" x14ac:dyDescent="0.25">
      <c r="B68" s="777" t="s">
        <v>2396</v>
      </c>
      <c r="C68" s="2031"/>
      <c r="D68" s="2031"/>
      <c r="E68" s="4091" t="s">
        <v>2035</v>
      </c>
      <c r="F68" s="4091" t="s">
        <v>2035</v>
      </c>
      <c r="G68" s="4091" t="s">
        <v>2035</v>
      </c>
      <c r="H68" s="4091" t="s">
        <v>2035</v>
      </c>
      <c r="I68" s="4091" t="s">
        <v>2035</v>
      </c>
      <c r="J68" s="4091" t="s">
        <v>2035</v>
      </c>
      <c r="K68" s="4091" t="s">
        <v>2035</v>
      </c>
      <c r="L68" s="4091" t="s">
        <v>2035</v>
      </c>
      <c r="M68" s="4091" t="s">
        <v>2035</v>
      </c>
      <c r="N68" s="4091" t="s">
        <v>2035</v>
      </c>
      <c r="O68" s="4091" t="s">
        <v>2035</v>
      </c>
      <c r="P68" s="4091" t="s">
        <v>2035</v>
      </c>
      <c r="Q68" s="4091" t="s">
        <v>2035</v>
      </c>
      <c r="R68" s="4091" t="s">
        <v>2035</v>
      </c>
      <c r="S68" s="4091" t="s">
        <v>2035</v>
      </c>
      <c r="T68" s="4091" t="s">
        <v>2035</v>
      </c>
      <c r="U68" s="4091" t="s">
        <v>2035</v>
      </c>
      <c r="V68" s="4091" t="s">
        <v>2035</v>
      </c>
      <c r="W68" s="4091" t="s">
        <v>2035</v>
      </c>
      <c r="X68" s="4091" t="s">
        <v>2035</v>
      </c>
      <c r="Y68" s="4091" t="s">
        <v>2035</v>
      </c>
      <c r="Z68" s="4091" t="s">
        <v>2035</v>
      </c>
      <c r="AA68" s="4091" t="s">
        <v>2035</v>
      </c>
      <c r="AB68" s="4091" t="s">
        <v>2035</v>
      </c>
      <c r="AC68" s="4091" t="s">
        <v>2035</v>
      </c>
      <c r="AD68" s="4091" t="s">
        <v>2035</v>
      </c>
      <c r="AE68" s="4091" t="s">
        <v>2035</v>
      </c>
      <c r="AF68" s="4091" t="s">
        <v>2035</v>
      </c>
      <c r="AG68" s="4091" t="s">
        <v>2035</v>
      </c>
      <c r="AH68" s="4091" t="s">
        <v>2035</v>
      </c>
      <c r="AI68" s="4091" t="s">
        <v>2035</v>
      </c>
      <c r="AJ68" s="4091" t="s">
        <v>2035</v>
      </c>
      <c r="AK68" s="4091" t="s">
        <v>2035</v>
      </c>
      <c r="AL68" s="4416" t="s">
        <v>205</v>
      </c>
      <c r="AP68" s="4417"/>
    </row>
    <row r="69" spans="2:42" ht="18" customHeight="1" thickBot="1" x14ac:dyDescent="0.25">
      <c r="AL69" s="2042"/>
      <c r="AP69" s="4417"/>
    </row>
    <row r="70" spans="2:42" ht="18" customHeight="1" x14ac:dyDescent="0.2">
      <c r="B70" s="778" t="s">
        <v>2397</v>
      </c>
      <c r="C70" s="2029"/>
      <c r="D70" s="2029"/>
      <c r="E70" s="4100">
        <f>SUM(E10,E21,E30,E50,E56)</f>
        <v>278160.49535550585</v>
      </c>
      <c r="F70" s="4100">
        <f t="shared" ref="F70:AJ70" si="19">SUM(F10,F21,F30,F50,F56)</f>
        <v>279534.25287891791</v>
      </c>
      <c r="G70" s="4100">
        <f t="shared" si="19"/>
        <v>284529.00414940057</v>
      </c>
      <c r="H70" s="4100">
        <f t="shared" si="19"/>
        <v>288873.74655522045</v>
      </c>
      <c r="I70" s="4100">
        <f t="shared" si="19"/>
        <v>293701.16854778939</v>
      </c>
      <c r="J70" s="4100">
        <f t="shared" si="19"/>
        <v>305055.84928049194</v>
      </c>
      <c r="K70" s="4100">
        <f t="shared" si="19"/>
        <v>311940.76137988013</v>
      </c>
      <c r="L70" s="4100">
        <f t="shared" si="19"/>
        <v>320333.0243480808</v>
      </c>
      <c r="M70" s="4100">
        <f t="shared" si="19"/>
        <v>334135.81937344489</v>
      </c>
      <c r="N70" s="4100">
        <f t="shared" si="19"/>
        <v>343959.4805698503</v>
      </c>
      <c r="O70" s="4100">
        <f t="shared" si="19"/>
        <v>350007.97661891248</v>
      </c>
      <c r="P70" s="4100">
        <f t="shared" si="19"/>
        <v>357783.6765072355</v>
      </c>
      <c r="Q70" s="4100">
        <f t="shared" si="19"/>
        <v>362536.52995418111</v>
      </c>
      <c r="R70" s="4100">
        <f t="shared" si="19"/>
        <v>369629.67701786297</v>
      </c>
      <c r="S70" s="4100">
        <f t="shared" si="19"/>
        <v>383159.0251791373</v>
      </c>
      <c r="T70" s="4100">
        <f t="shared" si="19"/>
        <v>386176.00828742073</v>
      </c>
      <c r="U70" s="4100">
        <f t="shared" si="19"/>
        <v>392359.9534440143</v>
      </c>
      <c r="V70" s="4100">
        <f t="shared" si="19"/>
        <v>399475.01028957084</v>
      </c>
      <c r="W70" s="4100">
        <f t="shared" si="19"/>
        <v>404840.49775115377</v>
      </c>
      <c r="X70" s="4100">
        <f t="shared" si="19"/>
        <v>407093.97456975601</v>
      </c>
      <c r="Y70" s="4100">
        <f t="shared" si="19"/>
        <v>405131.00376829086</v>
      </c>
      <c r="Z70" s="4100">
        <f t="shared" si="19"/>
        <v>403858.09665778145</v>
      </c>
      <c r="AA70" s="4100">
        <f t="shared" si="19"/>
        <v>406196.70012097922</v>
      </c>
      <c r="AB70" s="4100">
        <f t="shared" si="19"/>
        <v>399067.51095968991</v>
      </c>
      <c r="AC70" s="4100">
        <f t="shared" si="19"/>
        <v>392728.88820371579</v>
      </c>
      <c r="AD70" s="4100">
        <f t="shared" si="19"/>
        <v>401496.62357620359</v>
      </c>
      <c r="AE70" s="4100">
        <f t="shared" si="19"/>
        <v>410388.08208424767</v>
      </c>
      <c r="AF70" s="4100">
        <f t="shared" si="19"/>
        <v>413817.69130816049</v>
      </c>
      <c r="AG70" s="4100">
        <f t="shared" si="19"/>
        <v>415591.16948492464</v>
      </c>
      <c r="AH70" s="4100">
        <f t="shared" si="19"/>
        <v>415769.80241979309</v>
      </c>
      <c r="AI70" s="4100">
        <f t="shared" si="19"/>
        <v>399183.90859910002</v>
      </c>
      <c r="AJ70" s="4100">
        <f t="shared" si="19"/>
        <v>389019.53749130404</v>
      </c>
      <c r="AK70" s="4100">
        <f t="shared" ref="AK70" si="20">SUM(AK10,AK21,AK30,AK50,AK56)</f>
        <v>384362.14678592893</v>
      </c>
      <c r="AL70" s="4067">
        <f t="shared" ref="AL70:AL71" si="21">IF(AK70="NO",IF(E70="NO","NA",-100),IF(E70="NO",100,AK70/E70*100-100))</f>
        <v>38.179990762056633</v>
      </c>
      <c r="AP70" s="4417"/>
    </row>
    <row r="71" spans="2:42" ht="18" customHeight="1" x14ac:dyDescent="0.2">
      <c r="B71" s="779" t="s">
        <v>2398</v>
      </c>
      <c r="C71" s="2027"/>
      <c r="D71" s="2027"/>
      <c r="E71" s="4065">
        <f>SUM(E70,E41)</f>
        <v>431510.49931750051</v>
      </c>
      <c r="F71" s="4065">
        <f t="shared" ref="F71:AJ71" si="22">SUM(F70,F41)</f>
        <v>413318.47179445601</v>
      </c>
      <c r="G71" s="4065">
        <f t="shared" si="22"/>
        <v>375936.71376864711</v>
      </c>
      <c r="H71" s="4065">
        <f t="shared" si="22"/>
        <v>359755.26942823874</v>
      </c>
      <c r="I71" s="4065">
        <f t="shared" si="22"/>
        <v>354738.12556901312</v>
      </c>
      <c r="J71" s="4065">
        <f t="shared" si="22"/>
        <v>345200.19579757738</v>
      </c>
      <c r="K71" s="4065">
        <f t="shared" si="22"/>
        <v>345875.71381261252</v>
      </c>
      <c r="L71" s="4065">
        <f t="shared" si="22"/>
        <v>340403.20879683539</v>
      </c>
      <c r="M71" s="4065">
        <f t="shared" si="22"/>
        <v>357127.37522453221</v>
      </c>
      <c r="N71" s="4065">
        <f t="shared" si="22"/>
        <v>379960.62382429757</v>
      </c>
      <c r="O71" s="4065">
        <f t="shared" si="22"/>
        <v>393288.39614166302</v>
      </c>
      <c r="P71" s="4065">
        <f t="shared" si="22"/>
        <v>410626.04503564502</v>
      </c>
      <c r="Q71" s="4065">
        <f t="shared" si="22"/>
        <v>415878.80357455771</v>
      </c>
      <c r="R71" s="4065">
        <f t="shared" si="22"/>
        <v>423081.13102724403</v>
      </c>
      <c r="S71" s="4065">
        <f t="shared" si="22"/>
        <v>406360.59441580693</v>
      </c>
      <c r="T71" s="4065">
        <f t="shared" si="22"/>
        <v>437317.10609624867</v>
      </c>
      <c r="U71" s="4065">
        <f t="shared" si="22"/>
        <v>473020.25967650407</v>
      </c>
      <c r="V71" s="4065">
        <f t="shared" si="22"/>
        <v>453220.0228116769</v>
      </c>
      <c r="W71" s="4065">
        <f t="shared" si="22"/>
        <v>445085.91124470806</v>
      </c>
      <c r="X71" s="4065">
        <f t="shared" si="22"/>
        <v>438633.92943645909</v>
      </c>
      <c r="Y71" s="4065">
        <f t="shared" si="22"/>
        <v>442715.70568127173</v>
      </c>
      <c r="Z71" s="4065">
        <f t="shared" si="22"/>
        <v>407763.05016614014</v>
      </c>
      <c r="AA71" s="4065">
        <f t="shared" si="22"/>
        <v>385961.97760480928</v>
      </c>
      <c r="AB71" s="4065">
        <f t="shared" si="22"/>
        <v>389541.74059074587</v>
      </c>
      <c r="AC71" s="4065">
        <f t="shared" si="22"/>
        <v>372214.73728483118</v>
      </c>
      <c r="AD71" s="4065">
        <f t="shared" si="22"/>
        <v>368260.16460978752</v>
      </c>
      <c r="AE71" s="4065">
        <f t="shared" si="22"/>
        <v>327830.31967537355</v>
      </c>
      <c r="AF71" s="4065">
        <f t="shared" si="22"/>
        <v>362224.93408440572</v>
      </c>
      <c r="AG71" s="4065">
        <f t="shared" si="22"/>
        <v>337302.19963649812</v>
      </c>
      <c r="AH71" s="4065">
        <f t="shared" si="22"/>
        <v>333156.89432967268</v>
      </c>
      <c r="AI71" s="4065">
        <f t="shared" si="22"/>
        <v>320425.12280077208</v>
      </c>
      <c r="AJ71" s="4065">
        <f t="shared" si="22"/>
        <v>283374.2006917299</v>
      </c>
      <c r="AK71" s="4065">
        <f t="shared" ref="AK71" si="23">SUM(AK70,AK41)</f>
        <v>278681.99745230604</v>
      </c>
      <c r="AL71" s="4067">
        <f t="shared" si="21"/>
        <v>-35.417099261064564</v>
      </c>
      <c r="AP71" s="4417"/>
    </row>
    <row r="72" spans="2:42" ht="18" customHeight="1" x14ac:dyDescent="0.2">
      <c r="B72" s="779" t="s">
        <v>2399</v>
      </c>
      <c r="C72" s="2027"/>
      <c r="D72" s="2027"/>
      <c r="E72" s="4074" t="s">
        <v>205</v>
      </c>
      <c r="F72" s="4074" t="s">
        <v>205</v>
      </c>
      <c r="G72" s="4074" t="s">
        <v>205</v>
      </c>
      <c r="H72" s="4074" t="s">
        <v>205</v>
      </c>
      <c r="I72" s="4074" t="s">
        <v>205</v>
      </c>
      <c r="J72" s="4074" t="s">
        <v>205</v>
      </c>
      <c r="K72" s="4074" t="s">
        <v>205</v>
      </c>
      <c r="L72" s="4074" t="s">
        <v>205</v>
      </c>
      <c r="M72" s="4074" t="s">
        <v>205</v>
      </c>
      <c r="N72" s="4074" t="s">
        <v>205</v>
      </c>
      <c r="O72" s="4074" t="s">
        <v>205</v>
      </c>
      <c r="P72" s="4074" t="s">
        <v>205</v>
      </c>
      <c r="Q72" s="4074" t="s">
        <v>205</v>
      </c>
      <c r="R72" s="4074" t="s">
        <v>205</v>
      </c>
      <c r="S72" s="4074" t="s">
        <v>205</v>
      </c>
      <c r="T72" s="4074" t="s">
        <v>205</v>
      </c>
      <c r="U72" s="4074" t="s">
        <v>205</v>
      </c>
      <c r="V72" s="4074" t="s">
        <v>205</v>
      </c>
      <c r="W72" s="4074" t="s">
        <v>205</v>
      </c>
      <c r="X72" s="4074" t="s">
        <v>205</v>
      </c>
      <c r="Y72" s="4074" t="s">
        <v>205</v>
      </c>
      <c r="Z72" s="4074" t="s">
        <v>205</v>
      </c>
      <c r="AA72" s="4074" t="s">
        <v>205</v>
      </c>
      <c r="AB72" s="4074" t="s">
        <v>205</v>
      </c>
      <c r="AC72" s="4074" t="s">
        <v>205</v>
      </c>
      <c r="AD72" s="4074" t="s">
        <v>205</v>
      </c>
      <c r="AE72" s="4074" t="s">
        <v>205</v>
      </c>
      <c r="AF72" s="4074" t="s">
        <v>205</v>
      </c>
      <c r="AG72" s="4074" t="s">
        <v>205</v>
      </c>
      <c r="AH72" s="4074" t="s">
        <v>205</v>
      </c>
      <c r="AI72" s="4074" t="s">
        <v>205</v>
      </c>
      <c r="AJ72" s="4074" t="s">
        <v>205</v>
      </c>
      <c r="AK72" s="4074" t="s">
        <v>205</v>
      </c>
      <c r="AL72" s="4080" t="s">
        <v>205</v>
      </c>
      <c r="AP72" s="4417"/>
    </row>
    <row r="73" spans="2:42" ht="18" customHeight="1" thickBot="1" x14ac:dyDescent="0.25">
      <c r="B73" s="2551" t="s">
        <v>2390</v>
      </c>
      <c r="C73" s="2043"/>
      <c r="D73" s="2043"/>
      <c r="E73" s="4078" t="s">
        <v>205</v>
      </c>
      <c r="F73" s="4078" t="s">
        <v>205</v>
      </c>
      <c r="G73" s="4078" t="s">
        <v>205</v>
      </c>
      <c r="H73" s="4078" t="s">
        <v>205</v>
      </c>
      <c r="I73" s="4078" t="s">
        <v>205</v>
      </c>
      <c r="J73" s="4078" t="s">
        <v>205</v>
      </c>
      <c r="K73" s="4078" t="s">
        <v>205</v>
      </c>
      <c r="L73" s="4078" t="s">
        <v>205</v>
      </c>
      <c r="M73" s="4078" t="s">
        <v>205</v>
      </c>
      <c r="N73" s="4078" t="s">
        <v>205</v>
      </c>
      <c r="O73" s="4078" t="s">
        <v>205</v>
      </c>
      <c r="P73" s="4078" t="s">
        <v>205</v>
      </c>
      <c r="Q73" s="4078" t="s">
        <v>205</v>
      </c>
      <c r="R73" s="4078" t="s">
        <v>205</v>
      </c>
      <c r="S73" s="4078" t="s">
        <v>205</v>
      </c>
      <c r="T73" s="4078" t="s">
        <v>205</v>
      </c>
      <c r="U73" s="4078" t="s">
        <v>205</v>
      </c>
      <c r="V73" s="4078" t="s">
        <v>205</v>
      </c>
      <c r="W73" s="4078" t="s">
        <v>205</v>
      </c>
      <c r="X73" s="4078" t="s">
        <v>205</v>
      </c>
      <c r="Y73" s="4078" t="s">
        <v>205</v>
      </c>
      <c r="Z73" s="4078" t="s">
        <v>205</v>
      </c>
      <c r="AA73" s="4078" t="s">
        <v>205</v>
      </c>
      <c r="AB73" s="4078" t="s">
        <v>205</v>
      </c>
      <c r="AC73" s="4078" t="s">
        <v>205</v>
      </c>
      <c r="AD73" s="4078" t="s">
        <v>205</v>
      </c>
      <c r="AE73" s="4078" t="s">
        <v>205</v>
      </c>
      <c r="AF73" s="4078" t="s">
        <v>205</v>
      </c>
      <c r="AG73" s="4078" t="s">
        <v>205</v>
      </c>
      <c r="AH73" s="4078" t="s">
        <v>205</v>
      </c>
      <c r="AI73" s="4078" t="s">
        <v>205</v>
      </c>
      <c r="AJ73" s="4078" t="s">
        <v>205</v>
      </c>
      <c r="AK73" s="4078" t="s">
        <v>205</v>
      </c>
      <c r="AL73" s="4081" t="s">
        <v>205</v>
      </c>
      <c r="AP73" s="4417"/>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zoomScale="80" zoomScaleNormal="80" workbookViewId="0">
      <selection activeCell="AL66" sqref="AL6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2460</v>
      </c>
    </row>
    <row r="2" spans="2:39" ht="15.75" customHeight="1" x14ac:dyDescent="0.2">
      <c r="B2" s="761" t="s">
        <v>2400</v>
      </c>
      <c r="AL2" s="14" t="s">
        <v>2461</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3"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1310.3254018992955</v>
      </c>
      <c r="F10" s="4069">
        <f t="shared" ref="F10:AJ10" si="0">SUM(F11,F17,F20)</f>
        <v>1299.2201626582212</v>
      </c>
      <c r="G10" s="4069">
        <f t="shared" si="0"/>
        <v>1361.145227667844</v>
      </c>
      <c r="H10" s="4069">
        <f t="shared" si="0"/>
        <v>1326.4545000412791</v>
      </c>
      <c r="I10" s="4069">
        <f t="shared" si="0"/>
        <v>1255.6746011538276</v>
      </c>
      <c r="J10" s="4069">
        <f t="shared" si="0"/>
        <v>1306.6381040849883</v>
      </c>
      <c r="K10" s="4069">
        <f t="shared" si="0"/>
        <v>1298.6798262274081</v>
      </c>
      <c r="L10" s="4069">
        <f t="shared" si="0"/>
        <v>1406.3443411403673</v>
      </c>
      <c r="M10" s="4069">
        <f t="shared" si="0"/>
        <v>1437.3025630740115</v>
      </c>
      <c r="N10" s="4069">
        <f t="shared" si="0"/>
        <v>1307.2561548077422</v>
      </c>
      <c r="O10" s="4069">
        <f t="shared" si="0"/>
        <v>1397.2135345903953</v>
      </c>
      <c r="P10" s="4069">
        <f t="shared" si="0"/>
        <v>1386.4528260170646</v>
      </c>
      <c r="Q10" s="4069">
        <f t="shared" si="0"/>
        <v>1335.3046986644385</v>
      </c>
      <c r="R10" s="4069">
        <f t="shared" si="0"/>
        <v>1300.7198495579521</v>
      </c>
      <c r="S10" s="4069">
        <f t="shared" si="0"/>
        <v>1303.9024507418587</v>
      </c>
      <c r="T10" s="4069">
        <f t="shared" si="0"/>
        <v>1367.8898935254608</v>
      </c>
      <c r="U10" s="4069">
        <f t="shared" si="0"/>
        <v>1391.6572113588334</v>
      </c>
      <c r="V10" s="4069">
        <f t="shared" si="0"/>
        <v>1484.1467133997639</v>
      </c>
      <c r="W10" s="4069">
        <f t="shared" si="0"/>
        <v>1458.8110706854741</v>
      </c>
      <c r="X10" s="4069">
        <f t="shared" si="0"/>
        <v>1434.1486231471808</v>
      </c>
      <c r="Y10" s="4069">
        <f t="shared" si="0"/>
        <v>1416.2336531148439</v>
      </c>
      <c r="Z10" s="4069">
        <f t="shared" si="0"/>
        <v>1364.1246074741405</v>
      </c>
      <c r="AA10" s="4069">
        <f t="shared" si="0"/>
        <v>1378.2179010048872</v>
      </c>
      <c r="AB10" s="4069">
        <f t="shared" si="0"/>
        <v>1383.3213826335239</v>
      </c>
      <c r="AC10" s="4069">
        <f t="shared" si="0"/>
        <v>1298.9942524423438</v>
      </c>
      <c r="AD10" s="4069">
        <f t="shared" si="0"/>
        <v>1429.78397457696</v>
      </c>
      <c r="AE10" s="4069">
        <f t="shared" si="0"/>
        <v>1424.5145249393561</v>
      </c>
      <c r="AF10" s="4069">
        <f t="shared" si="0"/>
        <v>1405.0626127958417</v>
      </c>
      <c r="AG10" s="4069">
        <f t="shared" si="0"/>
        <v>1442.9922120903959</v>
      </c>
      <c r="AH10" s="4069">
        <f t="shared" si="0"/>
        <v>1368.6661423837359</v>
      </c>
      <c r="AI10" s="4069">
        <f t="shared" si="0"/>
        <v>1379.7521926591949</v>
      </c>
      <c r="AJ10" s="4069">
        <f t="shared" si="0"/>
        <v>1260.81562878049</v>
      </c>
      <c r="AK10" s="4069">
        <f t="shared" ref="AK10" si="1">SUM(AK11,AK17,AK20)</f>
        <v>1180.9053800619556</v>
      </c>
      <c r="AL10" s="4069">
        <f>IF(AK10="NO",IF(E10="NO","NA",-100),IF(E10="NO",100,AK10/E10*100-100))</f>
        <v>-9.8769375644971547</v>
      </c>
      <c r="AM10" s="721"/>
    </row>
    <row r="11" spans="2:39" ht="18" customHeight="1" x14ac:dyDescent="0.2">
      <c r="B11" s="1369" t="s">
        <v>1922</v>
      </c>
      <c r="C11" s="2027"/>
      <c r="D11" s="2027"/>
      <c r="E11" s="4064">
        <f>SUM(E12:E16)</f>
        <v>131.64849530369338</v>
      </c>
      <c r="F11" s="4064">
        <f t="shared" ref="F11:AJ11" si="2">SUM(F12:F16)</f>
        <v>134.01977686044216</v>
      </c>
      <c r="G11" s="4064">
        <f t="shared" si="2"/>
        <v>137.42769839021483</v>
      </c>
      <c r="H11" s="4064">
        <f t="shared" si="2"/>
        <v>138.72529194693618</v>
      </c>
      <c r="I11" s="4064">
        <f t="shared" si="2"/>
        <v>136.23020456311929</v>
      </c>
      <c r="J11" s="4064">
        <f t="shared" si="2"/>
        <v>133.83324662665999</v>
      </c>
      <c r="K11" s="4064">
        <f t="shared" si="2"/>
        <v>131.16558533728835</v>
      </c>
      <c r="L11" s="4064">
        <f t="shared" si="2"/>
        <v>128.54219617695563</v>
      </c>
      <c r="M11" s="4064">
        <f t="shared" si="2"/>
        <v>122.71031809767514</v>
      </c>
      <c r="N11" s="4064">
        <f t="shared" si="2"/>
        <v>115.72716495081889</v>
      </c>
      <c r="O11" s="4064">
        <f t="shared" si="2"/>
        <v>110.38570112255137</v>
      </c>
      <c r="P11" s="4064">
        <f t="shared" si="2"/>
        <v>107.76108400182409</v>
      </c>
      <c r="Q11" s="4064">
        <f t="shared" si="2"/>
        <v>96.643076039675989</v>
      </c>
      <c r="R11" s="4064">
        <f t="shared" si="2"/>
        <v>94.012549416489875</v>
      </c>
      <c r="S11" s="4064">
        <f t="shared" si="2"/>
        <v>92.315051214998959</v>
      </c>
      <c r="T11" s="4064">
        <f t="shared" si="2"/>
        <v>87.32848751139332</v>
      </c>
      <c r="U11" s="4064">
        <f t="shared" si="2"/>
        <v>85.401700769998442</v>
      </c>
      <c r="V11" s="4064">
        <f t="shared" si="2"/>
        <v>82.650852150785511</v>
      </c>
      <c r="W11" s="4064">
        <f t="shared" si="2"/>
        <v>81.58663132940336</v>
      </c>
      <c r="X11" s="4064">
        <f t="shared" si="2"/>
        <v>85.804505046706396</v>
      </c>
      <c r="Y11" s="4064">
        <f t="shared" si="2"/>
        <v>84.540285160007315</v>
      </c>
      <c r="Z11" s="4064">
        <f t="shared" si="2"/>
        <v>76.434882063747565</v>
      </c>
      <c r="AA11" s="4064">
        <f t="shared" si="2"/>
        <v>79.577858577653984</v>
      </c>
      <c r="AB11" s="4064">
        <f t="shared" si="2"/>
        <v>78.343958829686571</v>
      </c>
      <c r="AC11" s="4064">
        <f t="shared" si="2"/>
        <v>82.057317884315282</v>
      </c>
      <c r="AD11" s="4064">
        <f t="shared" si="2"/>
        <v>83.90222094489441</v>
      </c>
      <c r="AE11" s="4064">
        <f t="shared" si="2"/>
        <v>90.725501228320212</v>
      </c>
      <c r="AF11" s="4064">
        <f t="shared" si="2"/>
        <v>87.660969647092642</v>
      </c>
      <c r="AG11" s="4064">
        <f t="shared" si="2"/>
        <v>90.375204012742245</v>
      </c>
      <c r="AH11" s="4064">
        <f t="shared" si="2"/>
        <v>85.615374726864431</v>
      </c>
      <c r="AI11" s="4064">
        <f t="shared" si="2"/>
        <v>75.55092273703238</v>
      </c>
      <c r="AJ11" s="4064">
        <f t="shared" si="2"/>
        <v>76.113121959423381</v>
      </c>
      <c r="AK11" s="4064">
        <f t="shared" ref="AK11" si="3">SUM(AK12:AK16)</f>
        <v>77.251678059277737</v>
      </c>
      <c r="AL11" s="4067">
        <f>IF(AK11="NO",IF(E11="NO","NA",-100),IF(E11="NO",100,AK11/E11*100-100))</f>
        <v>-41.319740965462856</v>
      </c>
      <c r="AM11" s="721"/>
    </row>
    <row r="12" spans="2:39" ht="18" customHeight="1" x14ac:dyDescent="0.2">
      <c r="B12" s="1370" t="s">
        <v>1923</v>
      </c>
      <c r="C12" s="2027"/>
      <c r="D12" s="2027"/>
      <c r="E12" s="4064">
        <v>6.1186320590812233</v>
      </c>
      <c r="F12" s="4064">
        <v>5.9268696876790408</v>
      </c>
      <c r="G12" s="4064">
        <v>5.9263413265839846</v>
      </c>
      <c r="H12" s="4064">
        <v>6.3275784013714622</v>
      </c>
      <c r="I12" s="4064">
        <v>6.1152369580272783</v>
      </c>
      <c r="J12" s="4064">
        <v>6.5376064039523962</v>
      </c>
      <c r="K12" s="4064">
        <v>6.7796808300286422</v>
      </c>
      <c r="L12" s="4064">
        <v>7.0619913656581117</v>
      </c>
      <c r="M12" s="4064">
        <v>9.0829981985042796</v>
      </c>
      <c r="N12" s="4064">
        <v>9.2514407336421876</v>
      </c>
      <c r="O12" s="4064">
        <v>11.512880320574341</v>
      </c>
      <c r="P12" s="4064">
        <v>11.898502837957111</v>
      </c>
      <c r="Q12" s="4064">
        <v>12.967320809346322</v>
      </c>
      <c r="R12" s="4064">
        <v>11.802021654062074</v>
      </c>
      <c r="S12" s="4064">
        <v>12.486554526934448</v>
      </c>
      <c r="T12" s="4064">
        <v>12.322588679942788</v>
      </c>
      <c r="U12" s="4064">
        <v>12.694811733811816</v>
      </c>
      <c r="V12" s="4064">
        <v>12.976423252243976</v>
      </c>
      <c r="W12" s="4064">
        <v>14.444937477271948</v>
      </c>
      <c r="X12" s="4064">
        <v>22.703087244854061</v>
      </c>
      <c r="Y12" s="4064">
        <v>23.295950683330538</v>
      </c>
      <c r="Z12" s="4064">
        <v>18.075069639112495</v>
      </c>
      <c r="AA12" s="4064">
        <v>21.831268922385455</v>
      </c>
      <c r="AB12" s="4064">
        <v>20.611341705573668</v>
      </c>
      <c r="AC12" s="4064">
        <v>25.920302178925134</v>
      </c>
      <c r="AD12" s="4064">
        <v>29.095299381797819</v>
      </c>
      <c r="AE12" s="4064">
        <v>36.67027049683167</v>
      </c>
      <c r="AF12" s="4064">
        <v>34.21454954397749</v>
      </c>
      <c r="AG12" s="4064">
        <v>38.182405309896559</v>
      </c>
      <c r="AH12" s="4064">
        <v>34.757911031528934</v>
      </c>
      <c r="AI12" s="4064">
        <v>26.302414494130748</v>
      </c>
      <c r="AJ12" s="4064">
        <v>26.567916881834321</v>
      </c>
      <c r="AK12" s="4064">
        <v>28.216695913412909</v>
      </c>
      <c r="AL12" s="4067">
        <f t="shared" ref="AL12:AL64" si="4">IF(AK12="NO",IF(E12="NO","NA",-100),IF(E12="NO",100,AK12/E12*100-100))</f>
        <v>361.16020118473904</v>
      </c>
      <c r="AM12" s="721"/>
    </row>
    <row r="13" spans="2:39" ht="18" customHeight="1" x14ac:dyDescent="0.2">
      <c r="B13" s="1370" t="s">
        <v>2379</v>
      </c>
      <c r="C13" s="2027"/>
      <c r="D13" s="2027"/>
      <c r="E13" s="4064">
        <v>2.0601759875475625</v>
      </c>
      <c r="F13" s="4064">
        <v>1.9969221605944103</v>
      </c>
      <c r="G13" s="4064">
        <v>1.8768319445806718</v>
      </c>
      <c r="H13" s="4064">
        <v>2.0534969404210646</v>
      </c>
      <c r="I13" s="4064">
        <v>2.1736378686004083</v>
      </c>
      <c r="J13" s="4064">
        <v>2.2323579497327772</v>
      </c>
      <c r="K13" s="4064">
        <v>2.282099769200272</v>
      </c>
      <c r="L13" s="4064">
        <v>2.2444637673842895</v>
      </c>
      <c r="M13" s="4064">
        <v>2.2801350775648839</v>
      </c>
      <c r="N13" s="4064">
        <v>2.2860942612837483</v>
      </c>
      <c r="O13" s="4064">
        <v>2.2553832630245503</v>
      </c>
      <c r="P13" s="4064">
        <v>2.0965495511887657</v>
      </c>
      <c r="Q13" s="4064">
        <v>2.0836131048420281</v>
      </c>
      <c r="R13" s="4064">
        <v>2.1155076904562615</v>
      </c>
      <c r="S13" s="4064">
        <v>2.1866889799163558</v>
      </c>
      <c r="T13" s="4064">
        <v>2.2807165005110797</v>
      </c>
      <c r="U13" s="4064">
        <v>2.3473627845463243</v>
      </c>
      <c r="V13" s="4064">
        <v>2.3972548946445906</v>
      </c>
      <c r="W13" s="4064">
        <v>2.4757433501601489</v>
      </c>
      <c r="X13" s="4064">
        <v>1.9433927180238113</v>
      </c>
      <c r="Y13" s="4064">
        <v>2.2729561877469568</v>
      </c>
      <c r="Z13" s="4064">
        <v>2.2771555451650731</v>
      </c>
      <c r="AA13" s="4064">
        <v>2.3859153362339525</v>
      </c>
      <c r="AB13" s="4064">
        <v>2.5643379299736306</v>
      </c>
      <c r="AC13" s="4064">
        <v>2.4526234083275829</v>
      </c>
      <c r="AD13" s="4064">
        <v>2.4958527134807973</v>
      </c>
      <c r="AE13" s="4064">
        <v>2.4512231876393735</v>
      </c>
      <c r="AF13" s="4064">
        <v>2.4318153623622032</v>
      </c>
      <c r="AG13" s="4064">
        <v>2.3852591693860168</v>
      </c>
      <c r="AH13" s="4064">
        <v>2.3274254706323974</v>
      </c>
      <c r="AI13" s="4064">
        <v>2.3034611967719374</v>
      </c>
      <c r="AJ13" s="4064">
        <v>2.4658721679156788</v>
      </c>
      <c r="AK13" s="4064">
        <v>2.4608829405282182</v>
      </c>
      <c r="AL13" s="4067">
        <f t="shared" si="4"/>
        <v>19.450132192719025</v>
      </c>
      <c r="AM13" s="721"/>
    </row>
    <row r="14" spans="2:39" ht="18" customHeight="1" x14ac:dyDescent="0.2">
      <c r="B14" s="1370" t="s">
        <v>1925</v>
      </c>
      <c r="C14" s="2027"/>
      <c r="D14" s="2027"/>
      <c r="E14" s="4064">
        <v>26.345084452755312</v>
      </c>
      <c r="F14" s="4064">
        <v>26.299583078796022</v>
      </c>
      <c r="G14" s="4064">
        <v>26.99580661272223</v>
      </c>
      <c r="H14" s="4064">
        <v>27.840137407231449</v>
      </c>
      <c r="I14" s="4064">
        <v>28.585998302606637</v>
      </c>
      <c r="J14" s="4064">
        <v>29.66892980636533</v>
      </c>
      <c r="K14" s="4064">
        <v>30.182723238911798</v>
      </c>
      <c r="L14" s="4064">
        <v>30.238625099348667</v>
      </c>
      <c r="M14" s="4064">
        <v>29.313779273523515</v>
      </c>
      <c r="N14" s="4064">
        <v>28.743196804964064</v>
      </c>
      <c r="O14" s="4064">
        <v>27.318682025732674</v>
      </c>
      <c r="P14" s="4064">
        <v>26.005576130187176</v>
      </c>
      <c r="Q14" s="4064">
        <v>26.322056482199383</v>
      </c>
      <c r="R14" s="4064">
        <v>25.478437247512495</v>
      </c>
      <c r="S14" s="4064">
        <v>24.917588390729584</v>
      </c>
      <c r="T14" s="4064">
        <v>21.998556993445529</v>
      </c>
      <c r="U14" s="4064">
        <v>21.250291872052063</v>
      </c>
      <c r="V14" s="4064">
        <v>19.847976582840413</v>
      </c>
      <c r="W14" s="4064">
        <v>18.988057222009505</v>
      </c>
      <c r="X14" s="4064">
        <v>18.098797715783039</v>
      </c>
      <c r="Y14" s="4064">
        <v>17.766834584882204</v>
      </c>
      <c r="Z14" s="4064">
        <v>16.791080754835811</v>
      </c>
      <c r="AA14" s="4064">
        <v>16.069172104575639</v>
      </c>
      <c r="AB14" s="4064">
        <v>15.864149704567858</v>
      </c>
      <c r="AC14" s="4064">
        <v>15.160832072331941</v>
      </c>
      <c r="AD14" s="4064">
        <v>15.13113313334239</v>
      </c>
      <c r="AE14" s="4064">
        <v>14.818531014391572</v>
      </c>
      <c r="AF14" s="4064">
        <v>14.509904464658305</v>
      </c>
      <c r="AG14" s="4064">
        <v>13.731436818340358</v>
      </c>
      <c r="AH14" s="4064">
        <v>13.003303367485843</v>
      </c>
      <c r="AI14" s="4064">
        <v>11.908991517095529</v>
      </c>
      <c r="AJ14" s="4064">
        <v>11.627075175791761</v>
      </c>
      <c r="AK14" s="4064">
        <v>11.052676794732704</v>
      </c>
      <c r="AL14" s="4067">
        <f t="shared" si="4"/>
        <v>-58.046531167689025</v>
      </c>
      <c r="AM14" s="721"/>
    </row>
    <row r="15" spans="2:39" ht="18" customHeight="1" x14ac:dyDescent="0.2">
      <c r="B15" s="1370" t="s">
        <v>1926</v>
      </c>
      <c r="C15" s="2027"/>
      <c r="D15" s="2027"/>
      <c r="E15" s="4064">
        <v>97.098418812831738</v>
      </c>
      <c r="F15" s="4064">
        <v>99.776396301818593</v>
      </c>
      <c r="G15" s="4064">
        <v>102.60616375731036</v>
      </c>
      <c r="H15" s="4064">
        <v>102.48215411770661</v>
      </c>
      <c r="I15" s="4064">
        <v>99.326474883855127</v>
      </c>
      <c r="J15" s="4064">
        <v>95.358090135267915</v>
      </c>
      <c r="K15" s="4064">
        <v>91.878256817728357</v>
      </c>
      <c r="L15" s="4064">
        <v>88.953625740979533</v>
      </c>
      <c r="M15" s="4064">
        <v>82.000511244687701</v>
      </c>
      <c r="N15" s="4064">
        <v>75.416760793136476</v>
      </c>
      <c r="O15" s="4064">
        <v>69.271785605908903</v>
      </c>
      <c r="P15" s="4064">
        <v>67.73704723483074</v>
      </c>
      <c r="Q15" s="4064">
        <v>55.246256990482451</v>
      </c>
      <c r="R15" s="4064">
        <v>54.595097438136094</v>
      </c>
      <c r="S15" s="4064">
        <v>52.702554914319748</v>
      </c>
      <c r="T15" s="4064">
        <v>50.704664881765474</v>
      </c>
      <c r="U15" s="4064">
        <v>49.087281170128982</v>
      </c>
      <c r="V15" s="4064">
        <v>47.398315614454823</v>
      </c>
      <c r="W15" s="4064">
        <v>45.646965569343287</v>
      </c>
      <c r="X15" s="4064">
        <v>43.030722902667705</v>
      </c>
      <c r="Y15" s="4064">
        <v>41.173628922663212</v>
      </c>
      <c r="Z15" s="4064">
        <v>39.260078545939663</v>
      </c>
      <c r="AA15" s="4064">
        <v>39.259914661009269</v>
      </c>
      <c r="AB15" s="4064">
        <v>39.276417338321799</v>
      </c>
      <c r="AC15" s="4064">
        <v>38.489998252866187</v>
      </c>
      <c r="AD15" s="4064">
        <v>37.152702113342698</v>
      </c>
      <c r="AE15" s="4064">
        <v>36.749333946926718</v>
      </c>
      <c r="AF15" s="4064">
        <v>36.473753463457776</v>
      </c>
      <c r="AG15" s="4064">
        <v>36.0391731218674</v>
      </c>
      <c r="AH15" s="4064">
        <v>35.494594631743318</v>
      </c>
      <c r="AI15" s="4064">
        <v>34.998389462861176</v>
      </c>
      <c r="AJ15" s="4064">
        <v>35.427280177340101</v>
      </c>
      <c r="AK15" s="4064">
        <v>35.499895042862697</v>
      </c>
      <c r="AL15" s="4067">
        <f t="shared" si="4"/>
        <v>-63.439265564877232</v>
      </c>
      <c r="AM15" s="721"/>
    </row>
    <row r="16" spans="2:39" ht="18" customHeight="1" x14ac:dyDescent="0.2">
      <c r="B16" s="1370" t="s">
        <v>1927</v>
      </c>
      <c r="C16" s="2027"/>
      <c r="D16" s="2027"/>
      <c r="E16" s="4064">
        <v>2.6183991477554305E-2</v>
      </c>
      <c r="F16" s="4064">
        <v>2.0005631554104654E-2</v>
      </c>
      <c r="G16" s="4064">
        <v>2.2554749017587167E-2</v>
      </c>
      <c r="H16" s="4064">
        <v>2.1925080205596772E-2</v>
      </c>
      <c r="I16" s="4064">
        <v>2.885655002984349E-2</v>
      </c>
      <c r="J16" s="4064">
        <v>3.6262331341550436E-2</v>
      </c>
      <c r="K16" s="4064">
        <v>4.2824681419295102E-2</v>
      </c>
      <c r="L16" s="4064">
        <v>4.3490203585043824E-2</v>
      </c>
      <c r="M16" s="4064">
        <v>3.2894303394768613E-2</v>
      </c>
      <c r="N16" s="4064">
        <v>2.9672357792401564E-2</v>
      </c>
      <c r="O16" s="4064">
        <v>2.6969907310903072E-2</v>
      </c>
      <c r="P16" s="4064">
        <v>2.3408247660300877E-2</v>
      </c>
      <c r="Q16" s="4064">
        <v>2.3828652805809994E-2</v>
      </c>
      <c r="R16" s="4064">
        <v>2.1485386322948281E-2</v>
      </c>
      <c r="S16" s="4064">
        <v>2.1664403098827476E-2</v>
      </c>
      <c r="T16" s="4064">
        <v>2.1960455728450477E-2</v>
      </c>
      <c r="U16" s="4064">
        <v>2.195320945925101E-2</v>
      </c>
      <c r="V16" s="4064">
        <v>3.088180660170637E-2</v>
      </c>
      <c r="W16" s="4064">
        <v>3.0927710618477326E-2</v>
      </c>
      <c r="X16" s="4064">
        <v>2.8504465377779512E-2</v>
      </c>
      <c r="Y16" s="4064">
        <v>3.0914781384396094E-2</v>
      </c>
      <c r="Z16" s="4064">
        <v>3.1497578694525415E-2</v>
      </c>
      <c r="AA16" s="4064">
        <v>3.1587553449673587E-2</v>
      </c>
      <c r="AB16" s="4064">
        <v>2.7712151249619763E-2</v>
      </c>
      <c r="AC16" s="4064">
        <v>3.3561971864446156E-2</v>
      </c>
      <c r="AD16" s="4064">
        <v>2.7233602930709637E-2</v>
      </c>
      <c r="AE16" s="4064">
        <v>3.6142582530880242E-2</v>
      </c>
      <c r="AF16" s="4064">
        <v>3.0946812636874974E-2</v>
      </c>
      <c r="AG16" s="4064">
        <v>3.6929593251918073E-2</v>
      </c>
      <c r="AH16" s="4064">
        <v>3.2140225473938654E-2</v>
      </c>
      <c r="AI16" s="4064">
        <v>3.7666066172992396E-2</v>
      </c>
      <c r="AJ16" s="4064">
        <v>2.4977556541527311E-2</v>
      </c>
      <c r="AK16" s="4064">
        <v>2.1527367741214772E-2</v>
      </c>
      <c r="AL16" s="4067">
        <f t="shared" si="4"/>
        <v>-17.784239428626947</v>
      </c>
      <c r="AM16" s="721"/>
    </row>
    <row r="17" spans="2:39" ht="18" customHeight="1" x14ac:dyDescent="0.2">
      <c r="B17" s="1369" t="s">
        <v>201</v>
      </c>
      <c r="C17" s="2027"/>
      <c r="D17" s="2027"/>
      <c r="E17" s="4064">
        <f>SUM(E18:E19)</f>
        <v>1178.6769065956021</v>
      </c>
      <c r="F17" s="4064">
        <f t="shared" ref="F17:AJ17" si="5">SUM(F18:F19)</f>
        <v>1165.2003857977791</v>
      </c>
      <c r="G17" s="4064">
        <f t="shared" si="5"/>
        <v>1223.7175292776292</v>
      </c>
      <c r="H17" s="4064">
        <f t="shared" si="5"/>
        <v>1187.729208094343</v>
      </c>
      <c r="I17" s="4064">
        <f t="shared" si="5"/>
        <v>1119.4443965907083</v>
      </c>
      <c r="J17" s="4064">
        <f t="shared" si="5"/>
        <v>1172.8048574583283</v>
      </c>
      <c r="K17" s="4064">
        <f t="shared" si="5"/>
        <v>1167.5142408901197</v>
      </c>
      <c r="L17" s="4064">
        <f t="shared" si="5"/>
        <v>1277.8021449634116</v>
      </c>
      <c r="M17" s="4064">
        <f t="shared" si="5"/>
        <v>1314.5922449763364</v>
      </c>
      <c r="N17" s="4064">
        <f t="shared" si="5"/>
        <v>1191.5289898569233</v>
      </c>
      <c r="O17" s="4064">
        <f t="shared" si="5"/>
        <v>1286.8278334678439</v>
      </c>
      <c r="P17" s="4064">
        <f t="shared" si="5"/>
        <v>1278.6917420152404</v>
      </c>
      <c r="Q17" s="4064">
        <f t="shared" si="5"/>
        <v>1238.6616226247625</v>
      </c>
      <c r="R17" s="4064">
        <f t="shared" si="5"/>
        <v>1206.7073001414622</v>
      </c>
      <c r="S17" s="4064">
        <f t="shared" si="5"/>
        <v>1211.5873995268598</v>
      </c>
      <c r="T17" s="4064">
        <f t="shared" si="5"/>
        <v>1280.5614060140674</v>
      </c>
      <c r="U17" s="4064">
        <f t="shared" si="5"/>
        <v>1306.255510588835</v>
      </c>
      <c r="V17" s="4064">
        <f t="shared" si="5"/>
        <v>1401.4958612489784</v>
      </c>
      <c r="W17" s="4064">
        <f t="shared" si="5"/>
        <v>1377.2244393560707</v>
      </c>
      <c r="X17" s="4064">
        <f t="shared" si="5"/>
        <v>1348.3441181004744</v>
      </c>
      <c r="Y17" s="4064">
        <f t="shared" si="5"/>
        <v>1331.6933679548367</v>
      </c>
      <c r="Z17" s="4064">
        <f t="shared" si="5"/>
        <v>1287.6897254103928</v>
      </c>
      <c r="AA17" s="4064">
        <f t="shared" si="5"/>
        <v>1298.6400424272331</v>
      </c>
      <c r="AB17" s="4064">
        <f t="shared" si="5"/>
        <v>1304.9774238038374</v>
      </c>
      <c r="AC17" s="4064">
        <f t="shared" si="5"/>
        <v>1216.9369345580285</v>
      </c>
      <c r="AD17" s="4064">
        <f t="shared" si="5"/>
        <v>1345.8817536320655</v>
      </c>
      <c r="AE17" s="4064">
        <f t="shared" si="5"/>
        <v>1333.789023711036</v>
      </c>
      <c r="AF17" s="4064">
        <f t="shared" si="5"/>
        <v>1317.4016431487491</v>
      </c>
      <c r="AG17" s="4064">
        <f t="shared" si="5"/>
        <v>1352.6170080776537</v>
      </c>
      <c r="AH17" s="4064">
        <f t="shared" si="5"/>
        <v>1283.0507676568714</v>
      </c>
      <c r="AI17" s="4064">
        <f t="shared" si="5"/>
        <v>1304.2012699221625</v>
      </c>
      <c r="AJ17" s="4064">
        <f t="shared" si="5"/>
        <v>1184.7025068210667</v>
      </c>
      <c r="AK17" s="4064">
        <f t="shared" ref="AK17" si="6">SUM(AK18:AK19)</f>
        <v>1103.6537020026778</v>
      </c>
      <c r="AL17" s="4067">
        <f t="shared" si="4"/>
        <v>-6.3650355897457445</v>
      </c>
      <c r="AM17" s="721"/>
    </row>
    <row r="18" spans="2:39" ht="18" customHeight="1" x14ac:dyDescent="0.2">
      <c r="B18" s="1370" t="s">
        <v>1928</v>
      </c>
      <c r="C18" s="2027"/>
      <c r="D18" s="2027"/>
      <c r="E18" s="4064">
        <v>871.21359774724669</v>
      </c>
      <c r="F18" s="4064">
        <v>885.67165362847049</v>
      </c>
      <c r="G18" s="4064">
        <v>923.41465424178068</v>
      </c>
      <c r="H18" s="4064">
        <v>930.10552581145885</v>
      </c>
      <c r="I18" s="4064">
        <v>856.22313762968645</v>
      </c>
      <c r="J18" s="4064">
        <v>857.13278009731755</v>
      </c>
      <c r="K18" s="4064">
        <v>876.49239842513839</v>
      </c>
      <c r="L18" s="4064">
        <v>973.656088470236</v>
      </c>
      <c r="M18" s="4064">
        <v>1013.9194201286596</v>
      </c>
      <c r="N18" s="4064">
        <v>944.00510612910682</v>
      </c>
      <c r="O18" s="4064">
        <v>1016.506945512368</v>
      </c>
      <c r="P18" s="4064">
        <v>1006.6319903444868</v>
      </c>
      <c r="Q18" s="4064">
        <v>982.85774666992177</v>
      </c>
      <c r="R18" s="4064">
        <v>970.73263555937899</v>
      </c>
      <c r="S18" s="4064">
        <v>990.26963733266223</v>
      </c>
      <c r="T18" s="4064">
        <v>1068.3535637368489</v>
      </c>
      <c r="U18" s="4064">
        <v>1100.0892930957061</v>
      </c>
      <c r="V18" s="4064">
        <v>1192.8147241358829</v>
      </c>
      <c r="W18" s="4064">
        <v>1163.4500821496765</v>
      </c>
      <c r="X18" s="4064">
        <v>1139.2162164153622</v>
      </c>
      <c r="Y18" s="4064">
        <v>1101.9535441721312</v>
      </c>
      <c r="Z18" s="4064">
        <v>1070.369537034255</v>
      </c>
      <c r="AA18" s="4064">
        <v>1071.3959969149528</v>
      </c>
      <c r="AB18" s="4064">
        <v>1065.6667339707167</v>
      </c>
      <c r="AC18" s="4064">
        <v>994.0994845095189</v>
      </c>
      <c r="AD18" s="4064">
        <v>1098.9890253266331</v>
      </c>
      <c r="AE18" s="4064">
        <v>1089.3872744132705</v>
      </c>
      <c r="AF18" s="4064">
        <v>1044.4121123204254</v>
      </c>
      <c r="AG18" s="4064">
        <v>1066.0864761177475</v>
      </c>
      <c r="AH18" s="4064">
        <v>976.07213624065878</v>
      </c>
      <c r="AI18" s="4064">
        <v>1010.1822443262216</v>
      </c>
      <c r="AJ18" s="4064">
        <v>915.12773141730554</v>
      </c>
      <c r="AK18" s="4064">
        <v>844.97418117538109</v>
      </c>
      <c r="AL18" s="4067">
        <f t="shared" si="4"/>
        <v>-3.0118235803153937</v>
      </c>
      <c r="AM18" s="721"/>
    </row>
    <row r="19" spans="2:39" ht="18" customHeight="1" x14ac:dyDescent="0.2">
      <c r="B19" s="1414" t="s">
        <v>1929</v>
      </c>
      <c r="C19" s="2027"/>
      <c r="D19" s="2027"/>
      <c r="E19" s="4064">
        <v>307.46330884835538</v>
      </c>
      <c r="F19" s="4064">
        <v>279.52873216930857</v>
      </c>
      <c r="G19" s="4064">
        <v>300.3028750358485</v>
      </c>
      <c r="H19" s="4064">
        <v>257.6236822828842</v>
      </c>
      <c r="I19" s="4064">
        <v>263.22125896102176</v>
      </c>
      <c r="J19" s="4064">
        <v>315.67207736101074</v>
      </c>
      <c r="K19" s="4064">
        <v>291.02184246498132</v>
      </c>
      <c r="L19" s="4064">
        <v>304.14605649317559</v>
      </c>
      <c r="M19" s="4064">
        <v>300.67282484767679</v>
      </c>
      <c r="N19" s="4064">
        <v>247.52388372781641</v>
      </c>
      <c r="O19" s="4064">
        <v>270.32088795547583</v>
      </c>
      <c r="P19" s="4064">
        <v>272.05975167075371</v>
      </c>
      <c r="Q19" s="4064">
        <v>255.80387595484058</v>
      </c>
      <c r="R19" s="4064">
        <v>235.97466458208319</v>
      </c>
      <c r="S19" s="4064">
        <v>221.31776219419751</v>
      </c>
      <c r="T19" s="4064">
        <v>212.20784227721845</v>
      </c>
      <c r="U19" s="4064">
        <v>206.16621749312901</v>
      </c>
      <c r="V19" s="4064">
        <v>208.68113711309547</v>
      </c>
      <c r="W19" s="4064">
        <v>213.77435720639414</v>
      </c>
      <c r="X19" s="4064">
        <v>209.12790168511214</v>
      </c>
      <c r="Y19" s="4064">
        <v>229.73982378270563</v>
      </c>
      <c r="Z19" s="4064">
        <v>217.32018837613776</v>
      </c>
      <c r="AA19" s="4064">
        <v>227.24404551228028</v>
      </c>
      <c r="AB19" s="4064">
        <v>239.31068983312076</v>
      </c>
      <c r="AC19" s="4064">
        <v>222.8374500485096</v>
      </c>
      <c r="AD19" s="4064">
        <v>246.89272830543254</v>
      </c>
      <c r="AE19" s="4064">
        <v>244.40174929776549</v>
      </c>
      <c r="AF19" s="4064">
        <v>272.98953082832372</v>
      </c>
      <c r="AG19" s="4064">
        <v>286.5305319599064</v>
      </c>
      <c r="AH19" s="4064">
        <v>306.97863141621264</v>
      </c>
      <c r="AI19" s="4064">
        <v>294.01902559594083</v>
      </c>
      <c r="AJ19" s="4064">
        <v>269.57477540376112</v>
      </c>
      <c r="AK19" s="4064">
        <v>258.67952082729676</v>
      </c>
      <c r="AL19" s="4067">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3.2646478675884056</v>
      </c>
      <c r="F21" s="4070">
        <f t="shared" ref="F21:AK21" si="7">SUM(F22:F29)</f>
        <v>3.0036935116052974</v>
      </c>
      <c r="G21" s="4070">
        <f t="shared" si="7"/>
        <v>3.2901835568798088</v>
      </c>
      <c r="H21" s="4070">
        <f t="shared" si="7"/>
        <v>3.3297997938387418</v>
      </c>
      <c r="I21" s="4070">
        <f t="shared" si="7"/>
        <v>3.7189238505149307</v>
      </c>
      <c r="J21" s="4070">
        <f t="shared" si="7"/>
        <v>3.9338473991294824</v>
      </c>
      <c r="K21" s="4070">
        <f t="shared" si="7"/>
        <v>4.0173867709945856</v>
      </c>
      <c r="L21" s="4070">
        <f t="shared" si="7"/>
        <v>3.933880206206898</v>
      </c>
      <c r="M21" s="4070">
        <f t="shared" si="7"/>
        <v>4.1110775527353738</v>
      </c>
      <c r="N21" s="4070">
        <f t="shared" si="7"/>
        <v>3.8379454129081627</v>
      </c>
      <c r="O21" s="4070">
        <f t="shared" si="7"/>
        <v>3.469700448642608</v>
      </c>
      <c r="P21" s="4070">
        <f t="shared" si="7"/>
        <v>3.2395559717251121</v>
      </c>
      <c r="Q21" s="4070">
        <f t="shared" si="7"/>
        <v>3.2138601525442039</v>
      </c>
      <c r="R21" s="4070">
        <f t="shared" si="7"/>
        <v>3.4579758501316786</v>
      </c>
      <c r="S21" s="4070">
        <f t="shared" si="7"/>
        <v>3.451872741649618</v>
      </c>
      <c r="T21" s="4070">
        <f t="shared" si="7"/>
        <v>3.2715399904394378</v>
      </c>
      <c r="U21" s="4070">
        <f t="shared" si="7"/>
        <v>3.5465822636148943</v>
      </c>
      <c r="V21" s="4070">
        <f t="shared" si="7"/>
        <v>3.5721409116313096</v>
      </c>
      <c r="W21" s="4070">
        <f t="shared" si="7"/>
        <v>3.5741170618019251</v>
      </c>
      <c r="X21" s="4070">
        <f t="shared" si="7"/>
        <v>3.0859087494495152</v>
      </c>
      <c r="Y21" s="4070">
        <f t="shared" si="7"/>
        <v>3.69447887454705</v>
      </c>
      <c r="Z21" s="4070">
        <f t="shared" si="7"/>
        <v>3.9036652335588573</v>
      </c>
      <c r="AA21" s="4070">
        <f t="shared" si="7"/>
        <v>3.0130608782400001</v>
      </c>
      <c r="AB21" s="4070">
        <f t="shared" si="7"/>
        <v>2.7391028704162332</v>
      </c>
      <c r="AC21" s="4070">
        <f t="shared" si="7"/>
        <v>2.6007179785275616</v>
      </c>
      <c r="AD21" s="4070">
        <f t="shared" si="7"/>
        <v>2.7469845446239813</v>
      </c>
      <c r="AE21" s="4070">
        <f t="shared" si="7"/>
        <v>2.7870911391122748</v>
      </c>
      <c r="AF21" s="4070">
        <f t="shared" si="7"/>
        <v>2.7952381600731924</v>
      </c>
      <c r="AG21" s="4070">
        <f t="shared" si="7"/>
        <v>2.9530858210214426</v>
      </c>
      <c r="AH21" s="4070">
        <f t="shared" si="7"/>
        <v>2.8812401145691959</v>
      </c>
      <c r="AI21" s="4070">
        <f t="shared" si="7"/>
        <v>2.858517065785743</v>
      </c>
      <c r="AJ21" s="4070">
        <f t="shared" si="7"/>
        <v>2.9333302277832134</v>
      </c>
      <c r="AK21" s="4070">
        <f t="shared" si="7"/>
        <v>2.9973724056930395</v>
      </c>
      <c r="AL21" s="4067">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64">
        <v>0.43762607399999998</v>
      </c>
      <c r="F23" s="4064">
        <v>0.40365533799999997</v>
      </c>
      <c r="G23" s="4064">
        <v>0.40760881599999998</v>
      </c>
      <c r="H23" s="4064">
        <v>0.32070190399999998</v>
      </c>
      <c r="I23" s="4064">
        <v>0.39836147800000005</v>
      </c>
      <c r="J23" s="4064">
        <v>0.52038379999999995</v>
      </c>
      <c r="K23" s="4064">
        <v>0.59478379999999997</v>
      </c>
      <c r="L23" s="4064">
        <v>0.56978379999999995</v>
      </c>
      <c r="M23" s="4064">
        <v>0.51080000000000003</v>
      </c>
      <c r="N23" s="4064">
        <v>0.48208379999999995</v>
      </c>
      <c r="O23" s="4064">
        <v>0.57868379999999997</v>
      </c>
      <c r="P23" s="4064">
        <v>0.48708379999999996</v>
      </c>
      <c r="Q23" s="4064">
        <v>0.50438379999999994</v>
      </c>
      <c r="R23" s="4064">
        <v>0.57658379999999998</v>
      </c>
      <c r="S23" s="4064">
        <v>0.55288379999999993</v>
      </c>
      <c r="T23" s="4064">
        <v>0.55338379999999998</v>
      </c>
      <c r="U23" s="4064">
        <v>0.5693838</v>
      </c>
      <c r="V23" s="4064">
        <v>0.57348379999999999</v>
      </c>
      <c r="W23" s="4064">
        <v>0.57776359999999993</v>
      </c>
      <c r="X23" s="4064">
        <v>0.57776359999999993</v>
      </c>
      <c r="Y23" s="4064">
        <v>0.57776359999999993</v>
      </c>
      <c r="Z23" s="4064">
        <v>0.57776359999999993</v>
      </c>
      <c r="AA23" s="4064">
        <v>0.57776360000000004</v>
      </c>
      <c r="AB23" s="4064">
        <v>0.57776359999999993</v>
      </c>
      <c r="AC23" s="4064">
        <v>0.57776359999999993</v>
      </c>
      <c r="AD23" s="4064">
        <v>0.57776359999999993</v>
      </c>
      <c r="AE23" s="4064">
        <v>0.5417227</v>
      </c>
      <c r="AF23" s="4064">
        <v>0.43359999999999999</v>
      </c>
      <c r="AG23" s="4064">
        <v>0.43359999999999999</v>
      </c>
      <c r="AH23" s="4064">
        <v>0.43359999999999999</v>
      </c>
      <c r="AI23" s="4064">
        <v>0.43359999999999999</v>
      </c>
      <c r="AJ23" s="4064">
        <v>0.43359999999999999</v>
      </c>
      <c r="AK23" s="4064">
        <v>0.43359999999999999</v>
      </c>
      <c r="AL23" s="4067">
        <f t="shared" si="4"/>
        <v>-0.91998037575795877</v>
      </c>
      <c r="AM23" s="721"/>
    </row>
    <row r="24" spans="2:39" ht="18" customHeight="1" x14ac:dyDescent="0.2">
      <c r="B24" s="1129" t="s">
        <v>637</v>
      </c>
      <c r="C24" s="2027"/>
      <c r="D24" s="2027"/>
      <c r="E24" s="4064">
        <v>2.8270217935884054</v>
      </c>
      <c r="F24" s="4064">
        <v>2.6000381736052973</v>
      </c>
      <c r="G24" s="4064">
        <v>2.8825747408798086</v>
      </c>
      <c r="H24" s="4064">
        <v>3.0090978898387419</v>
      </c>
      <c r="I24" s="4064">
        <v>3.3205623725149307</v>
      </c>
      <c r="J24" s="4064">
        <v>3.4134635991294826</v>
      </c>
      <c r="K24" s="4064">
        <v>3.4226029709945855</v>
      </c>
      <c r="L24" s="4064">
        <v>3.3640964062068983</v>
      </c>
      <c r="M24" s="4064">
        <v>3.6002775527353736</v>
      </c>
      <c r="N24" s="4064">
        <v>3.3558616129081629</v>
      </c>
      <c r="O24" s="4064">
        <v>2.8910166486426081</v>
      </c>
      <c r="P24" s="4064">
        <v>2.7524721717251124</v>
      </c>
      <c r="Q24" s="4064">
        <v>2.709476352544204</v>
      </c>
      <c r="R24" s="4064">
        <v>2.8813920501316788</v>
      </c>
      <c r="S24" s="4064">
        <v>2.898988941649618</v>
      </c>
      <c r="T24" s="4064">
        <v>2.718156190439438</v>
      </c>
      <c r="U24" s="4064">
        <v>2.9771984636148945</v>
      </c>
      <c r="V24" s="4064">
        <v>2.9986571116313097</v>
      </c>
      <c r="W24" s="4064">
        <v>2.9963534618019252</v>
      </c>
      <c r="X24" s="4064">
        <v>2.5081451494495153</v>
      </c>
      <c r="Y24" s="4064">
        <v>3.1167152745470501</v>
      </c>
      <c r="Z24" s="4064">
        <v>3.3259016335588574</v>
      </c>
      <c r="AA24" s="4064">
        <v>2.4352972782400002</v>
      </c>
      <c r="AB24" s="4064">
        <v>2.1613392704162333</v>
      </c>
      <c r="AC24" s="4064">
        <v>2.0229543785275617</v>
      </c>
      <c r="AD24" s="4064">
        <v>2.1692209446239814</v>
      </c>
      <c r="AE24" s="4064">
        <v>2.2453684391122746</v>
      </c>
      <c r="AF24" s="4064">
        <v>2.3616381600731926</v>
      </c>
      <c r="AG24" s="4064">
        <v>2.5194858210214424</v>
      </c>
      <c r="AH24" s="4064">
        <v>2.4476401145691962</v>
      </c>
      <c r="AI24" s="4064">
        <v>2.4249170657857428</v>
      </c>
      <c r="AJ24" s="4064">
        <v>2.4997302277832136</v>
      </c>
      <c r="AK24" s="4064">
        <v>2.5637724056930393</v>
      </c>
      <c r="AL24" s="4067">
        <f t="shared" si="4"/>
        <v>-9.3118980721127542</v>
      </c>
      <c r="AM24" s="721"/>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415" t="s">
        <v>205</v>
      </c>
      <c r="AM25" s="721"/>
    </row>
    <row r="26" spans="2:39" ht="18" customHeight="1" x14ac:dyDescent="0.2">
      <c r="B26" s="1129" t="s">
        <v>1934</v>
      </c>
      <c r="C26" s="346"/>
      <c r="D26" s="346"/>
      <c r="E26" s="4075"/>
      <c r="F26" s="4075"/>
      <c r="G26" s="4075"/>
      <c r="H26" s="4075"/>
      <c r="I26" s="4075"/>
      <c r="J26" s="4075"/>
      <c r="K26" s="4075"/>
      <c r="L26" s="4075"/>
      <c r="M26" s="4075"/>
      <c r="N26" s="4075"/>
      <c r="O26" s="4075"/>
      <c r="P26" s="4075"/>
      <c r="Q26" s="4075"/>
      <c r="R26" s="4075"/>
      <c r="S26" s="4075"/>
      <c r="T26" s="4075"/>
      <c r="U26" s="4075"/>
      <c r="V26" s="4075"/>
      <c r="W26" s="4075"/>
      <c r="X26" s="4075"/>
      <c r="Y26" s="4075"/>
      <c r="Z26" s="4075"/>
      <c r="AA26" s="4075"/>
      <c r="AB26" s="4075"/>
      <c r="AC26" s="4075"/>
      <c r="AD26" s="4075"/>
      <c r="AE26" s="4075"/>
      <c r="AF26" s="4075"/>
      <c r="AG26" s="4075"/>
      <c r="AH26" s="4075"/>
      <c r="AI26" s="4075"/>
      <c r="AJ26" s="4075"/>
      <c r="AK26" s="4075"/>
      <c r="AL26" s="4075"/>
      <c r="AM26" s="721"/>
    </row>
    <row r="27" spans="2:39" ht="18" customHeight="1" x14ac:dyDescent="0.2">
      <c r="B27" s="1129" t="s">
        <v>1935</v>
      </c>
      <c r="C27" s="346"/>
      <c r="D27" s="346"/>
      <c r="E27" s="4075"/>
      <c r="F27" s="4075"/>
      <c r="G27" s="4075"/>
      <c r="H27" s="4075"/>
      <c r="I27" s="4075"/>
      <c r="J27" s="4075"/>
      <c r="K27" s="4075"/>
      <c r="L27" s="4075"/>
      <c r="M27" s="4075"/>
      <c r="N27" s="4075"/>
      <c r="O27" s="4075"/>
      <c r="P27" s="4075"/>
      <c r="Q27" s="4075"/>
      <c r="R27" s="4075"/>
      <c r="S27" s="4075"/>
      <c r="T27" s="4075"/>
      <c r="U27" s="4075"/>
      <c r="V27" s="4075"/>
      <c r="W27" s="4075"/>
      <c r="X27" s="4075"/>
      <c r="Y27" s="4075"/>
      <c r="Z27" s="4075"/>
      <c r="AA27" s="4075"/>
      <c r="AB27" s="4075"/>
      <c r="AC27" s="4075"/>
      <c r="AD27" s="4075"/>
      <c r="AE27" s="4075"/>
      <c r="AF27" s="4075"/>
      <c r="AG27" s="4075"/>
      <c r="AH27" s="4075"/>
      <c r="AI27" s="4075"/>
      <c r="AJ27" s="4075"/>
      <c r="AK27" s="4075"/>
      <c r="AL27" s="4075"/>
      <c r="AM27" s="721"/>
    </row>
    <row r="28" spans="2:39"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415" t="s">
        <v>205</v>
      </c>
      <c r="AM28" s="721"/>
    </row>
    <row r="29" spans="2:39" ht="18" customHeight="1" thickBot="1" x14ac:dyDescent="0.25">
      <c r="B29" s="1374" t="s">
        <v>2380</v>
      </c>
      <c r="C29" s="2043"/>
      <c r="D29" s="2043"/>
      <c r="E29" s="4077" t="s">
        <v>199</v>
      </c>
      <c r="F29" s="4077" t="s">
        <v>199</v>
      </c>
      <c r="G29" s="4077" t="s">
        <v>199</v>
      </c>
      <c r="H29" s="4077" t="s">
        <v>199</v>
      </c>
      <c r="I29" s="4077" t="s">
        <v>199</v>
      </c>
      <c r="J29" s="4077" t="s">
        <v>199</v>
      </c>
      <c r="K29" s="4077" t="s">
        <v>199</v>
      </c>
      <c r="L29" s="4077" t="s">
        <v>199</v>
      </c>
      <c r="M29" s="4077" t="s">
        <v>199</v>
      </c>
      <c r="N29" s="4077" t="s">
        <v>199</v>
      </c>
      <c r="O29" s="4077" t="s">
        <v>199</v>
      </c>
      <c r="P29" s="4077" t="s">
        <v>199</v>
      </c>
      <c r="Q29" s="4077" t="s">
        <v>199</v>
      </c>
      <c r="R29" s="4077" t="s">
        <v>199</v>
      </c>
      <c r="S29" s="4077" t="s">
        <v>199</v>
      </c>
      <c r="T29" s="4077" t="s">
        <v>199</v>
      </c>
      <c r="U29" s="4077" t="s">
        <v>199</v>
      </c>
      <c r="V29" s="4077" t="s">
        <v>199</v>
      </c>
      <c r="W29" s="4077" t="s">
        <v>199</v>
      </c>
      <c r="X29" s="4077" t="s">
        <v>199</v>
      </c>
      <c r="Y29" s="4077" t="s">
        <v>199</v>
      </c>
      <c r="Z29" s="4077" t="s">
        <v>199</v>
      </c>
      <c r="AA29" s="4077" t="s">
        <v>199</v>
      </c>
      <c r="AB29" s="4077" t="s">
        <v>199</v>
      </c>
      <c r="AC29" s="4077" t="s">
        <v>199</v>
      </c>
      <c r="AD29" s="4077" t="s">
        <v>199</v>
      </c>
      <c r="AE29" s="4077" t="s">
        <v>199</v>
      </c>
      <c r="AF29" s="4077" t="s">
        <v>199</v>
      </c>
      <c r="AG29" s="4077" t="s">
        <v>199</v>
      </c>
      <c r="AH29" s="4077" t="s">
        <v>199</v>
      </c>
      <c r="AI29" s="4077" t="s">
        <v>199</v>
      </c>
      <c r="AJ29" s="4077" t="s">
        <v>199</v>
      </c>
      <c r="AK29" s="4077" t="s">
        <v>199</v>
      </c>
      <c r="AL29" s="4419" t="s">
        <v>205</v>
      </c>
      <c r="AM29" s="721"/>
    </row>
    <row r="30" spans="2:39" ht="18" customHeight="1" x14ac:dyDescent="0.2">
      <c r="B30" s="773" t="s">
        <v>1937</v>
      </c>
      <c r="C30" s="2029"/>
      <c r="D30" s="2029"/>
      <c r="E30" s="4070">
        <f>SUM(E31:E40)</f>
        <v>2861.8682856006867</v>
      </c>
      <c r="F30" s="4070">
        <f t="shared" ref="F30:AJ30" si="8">SUM(F31:F40)</f>
        <v>2839.2119857675448</v>
      </c>
      <c r="G30" s="4070">
        <f t="shared" si="8"/>
        <v>2747.6174536969379</v>
      </c>
      <c r="H30" s="4070">
        <f t="shared" si="8"/>
        <v>2663.6030971381215</v>
      </c>
      <c r="I30" s="4070">
        <f t="shared" si="8"/>
        <v>2648.097992160428</v>
      </c>
      <c r="J30" s="4070">
        <f t="shared" si="8"/>
        <v>2542.4610204398859</v>
      </c>
      <c r="K30" s="4070">
        <f t="shared" si="8"/>
        <v>2588.6267194591405</v>
      </c>
      <c r="L30" s="4070">
        <f t="shared" si="8"/>
        <v>2605.6643009837467</v>
      </c>
      <c r="M30" s="4070">
        <f t="shared" si="8"/>
        <v>2597.6202806458955</v>
      </c>
      <c r="N30" s="4070">
        <f t="shared" si="8"/>
        <v>2576.8082893567603</v>
      </c>
      <c r="O30" s="4070">
        <f t="shared" si="8"/>
        <v>2665.7231166390038</v>
      </c>
      <c r="P30" s="4070">
        <f t="shared" si="8"/>
        <v>2629.0012326229257</v>
      </c>
      <c r="Q30" s="4070">
        <f t="shared" si="8"/>
        <v>2612.8817298979679</v>
      </c>
      <c r="R30" s="4070">
        <f t="shared" si="8"/>
        <v>2463.0386557008919</v>
      </c>
      <c r="S30" s="4070">
        <f t="shared" si="8"/>
        <v>2534.863005050463</v>
      </c>
      <c r="T30" s="4070">
        <f t="shared" si="8"/>
        <v>2568.2884050670577</v>
      </c>
      <c r="U30" s="4070">
        <f t="shared" si="8"/>
        <v>2513.541816751901</v>
      </c>
      <c r="V30" s="4070">
        <f t="shared" si="8"/>
        <v>2428.0258024593381</v>
      </c>
      <c r="W30" s="4070">
        <f t="shared" si="8"/>
        <v>2331.3670498398865</v>
      </c>
      <c r="X30" s="4070">
        <f t="shared" si="8"/>
        <v>2315.3852512387875</v>
      </c>
      <c r="Y30" s="4070">
        <f t="shared" si="8"/>
        <v>2219.9203361231025</v>
      </c>
      <c r="Z30" s="4070">
        <f t="shared" si="8"/>
        <v>2351.6715296492102</v>
      </c>
      <c r="AA30" s="4070">
        <f t="shared" si="8"/>
        <v>2397.1864633585074</v>
      </c>
      <c r="AB30" s="4070">
        <f t="shared" si="8"/>
        <v>2413.3047906240672</v>
      </c>
      <c r="AC30" s="4070">
        <f t="shared" si="8"/>
        <v>2390.6462979289072</v>
      </c>
      <c r="AD30" s="4070">
        <f t="shared" si="8"/>
        <v>2292.8128422254085</v>
      </c>
      <c r="AE30" s="4070">
        <f t="shared" si="8"/>
        <v>2246.8099776334029</v>
      </c>
      <c r="AF30" s="4070">
        <f t="shared" si="8"/>
        <v>2331.185974777226</v>
      </c>
      <c r="AG30" s="4070">
        <f t="shared" si="8"/>
        <v>2332.7867368575444</v>
      </c>
      <c r="AH30" s="4070">
        <f t="shared" si="8"/>
        <v>2164.8090834433206</v>
      </c>
      <c r="AI30" s="4070">
        <f t="shared" si="8"/>
        <v>2077.0050473409888</v>
      </c>
      <c r="AJ30" s="4070">
        <f t="shared" si="8"/>
        <v>2192.06804562664</v>
      </c>
      <c r="AK30" s="4070">
        <f t="shared" ref="AK30" si="9">SUM(AK31:AK40)</f>
        <v>2208.7974980447157</v>
      </c>
      <c r="AL30" s="4067">
        <f t="shared" si="4"/>
        <v>-22.819736003989291</v>
      </c>
      <c r="AM30" s="19"/>
    </row>
    <row r="31" spans="2:39" ht="18" customHeight="1" x14ac:dyDescent="0.2">
      <c r="B31" s="1131" t="s">
        <v>1938</v>
      </c>
      <c r="C31" s="2027"/>
      <c r="D31" s="2027"/>
      <c r="E31" s="4064">
        <v>2585.3162725086167</v>
      </c>
      <c r="F31" s="4064">
        <v>2569.3894671904864</v>
      </c>
      <c r="G31" s="4064">
        <v>2477.5904785213997</v>
      </c>
      <c r="H31" s="4064">
        <v>2395.8487000206405</v>
      </c>
      <c r="I31" s="4064">
        <v>2375.0706532643112</v>
      </c>
      <c r="J31" s="4064">
        <v>2289.6462764881239</v>
      </c>
      <c r="K31" s="4064">
        <v>2328.0186621673429</v>
      </c>
      <c r="L31" s="4064">
        <v>2337.4335101675824</v>
      </c>
      <c r="M31" s="4064">
        <v>2328.4424727047735</v>
      </c>
      <c r="N31" s="4064">
        <v>2310.1841058542395</v>
      </c>
      <c r="O31" s="4064">
        <v>2396.1967185583867</v>
      </c>
      <c r="P31" s="4064">
        <v>2341.2671635402298</v>
      </c>
      <c r="Q31" s="4064">
        <v>2326.0779820086132</v>
      </c>
      <c r="R31" s="4064">
        <v>2214.4119882821315</v>
      </c>
      <c r="S31" s="4064">
        <v>2271.8294666536513</v>
      </c>
      <c r="T31" s="4064">
        <v>2294.6801524700036</v>
      </c>
      <c r="U31" s="4064">
        <v>2230.900982402271</v>
      </c>
      <c r="V31" s="4064">
        <v>2170.887417414157</v>
      </c>
      <c r="W31" s="4064">
        <v>2086.3216602399038</v>
      </c>
      <c r="X31" s="4064">
        <v>2070.6619163518048</v>
      </c>
      <c r="Y31" s="4064">
        <v>1973.6232194057879</v>
      </c>
      <c r="Z31" s="4064">
        <v>2090.8195856383677</v>
      </c>
      <c r="AA31" s="4064">
        <v>2124.3232264032076</v>
      </c>
      <c r="AB31" s="4064">
        <v>2139.5329622033564</v>
      </c>
      <c r="AC31" s="4064">
        <v>2118.3079834701612</v>
      </c>
      <c r="AD31" s="4064">
        <v>2032.0161462685974</v>
      </c>
      <c r="AE31" s="4064">
        <v>1999.26115033618</v>
      </c>
      <c r="AF31" s="4064">
        <v>2061.7112856300196</v>
      </c>
      <c r="AG31" s="4064">
        <v>2066.7318431597064</v>
      </c>
      <c r="AH31" s="4064">
        <v>1928.3744257651506</v>
      </c>
      <c r="AI31" s="4064">
        <v>1849.8425778115832</v>
      </c>
      <c r="AJ31" s="4064">
        <v>1938.4604272450067</v>
      </c>
      <c r="AK31" s="4064">
        <v>1952.9225211339472</v>
      </c>
      <c r="AL31" s="4067">
        <f t="shared" si="4"/>
        <v>-24.460982128157085</v>
      </c>
      <c r="AM31" s="19"/>
    </row>
    <row r="32" spans="2:39" ht="18" customHeight="1" x14ac:dyDescent="0.2">
      <c r="B32" s="1131" t="s">
        <v>1939</v>
      </c>
      <c r="C32" s="2027"/>
      <c r="D32" s="2027"/>
      <c r="E32" s="4064">
        <v>245.84893086022436</v>
      </c>
      <c r="F32" s="4064">
        <v>242.96166149963264</v>
      </c>
      <c r="G32" s="4064">
        <v>238.81837506999622</v>
      </c>
      <c r="H32" s="4064">
        <v>234.55358940767888</v>
      </c>
      <c r="I32" s="4064">
        <v>236.40269978440199</v>
      </c>
      <c r="J32" s="4064">
        <v>222.90907917407947</v>
      </c>
      <c r="K32" s="4064">
        <v>222.77477217863407</v>
      </c>
      <c r="L32" s="4064">
        <v>224.84494272300049</v>
      </c>
      <c r="M32" s="4064">
        <v>231.45871595808939</v>
      </c>
      <c r="N32" s="4064">
        <v>227.60393445551821</v>
      </c>
      <c r="O32" s="4064">
        <v>235.05835619330188</v>
      </c>
      <c r="P32" s="4064">
        <v>245.83056408585205</v>
      </c>
      <c r="Q32" s="4064">
        <v>249.61191002758926</v>
      </c>
      <c r="R32" s="4064">
        <v>234.63590672790804</v>
      </c>
      <c r="S32" s="4064">
        <v>238.66947789395118</v>
      </c>
      <c r="T32" s="4064">
        <v>256.28718718149753</v>
      </c>
      <c r="U32" s="4064">
        <v>254.88922793303198</v>
      </c>
      <c r="V32" s="4064">
        <v>248.85737366850924</v>
      </c>
      <c r="W32" s="4064">
        <v>238.36795565911706</v>
      </c>
      <c r="X32" s="4064">
        <v>235.71239496175161</v>
      </c>
      <c r="Y32" s="4064">
        <v>236.44250758515167</v>
      </c>
      <c r="Z32" s="4064">
        <v>238.7382646366886</v>
      </c>
      <c r="AA32" s="4064">
        <v>246.30831150844344</v>
      </c>
      <c r="AB32" s="4064">
        <v>246.20890485262558</v>
      </c>
      <c r="AC32" s="4064">
        <v>251.30038823961991</v>
      </c>
      <c r="AD32" s="4064">
        <v>241.26573843609486</v>
      </c>
      <c r="AE32" s="4064">
        <v>235.43234110913284</v>
      </c>
      <c r="AF32" s="4064">
        <v>243.40467335394499</v>
      </c>
      <c r="AG32" s="4064">
        <v>247.27563895892928</v>
      </c>
      <c r="AH32" s="4064">
        <v>229.71581398064347</v>
      </c>
      <c r="AI32" s="4064">
        <v>220.60939068850422</v>
      </c>
      <c r="AJ32" s="4064">
        <v>234.03120177982962</v>
      </c>
      <c r="AK32" s="4064">
        <v>232.62564675351447</v>
      </c>
      <c r="AL32" s="4067">
        <f t="shared" si="4"/>
        <v>-5.3786217659933158</v>
      </c>
      <c r="AM32" s="19"/>
    </row>
    <row r="33" spans="2:39" ht="18" customHeight="1" x14ac:dyDescent="0.2">
      <c r="B33" s="1131" t="s">
        <v>1940</v>
      </c>
      <c r="C33" s="2027"/>
      <c r="D33" s="2027"/>
      <c r="E33" s="4064">
        <v>19.024842145513141</v>
      </c>
      <c r="F33" s="4064">
        <v>15.345732206395644</v>
      </c>
      <c r="G33" s="4064">
        <v>20.580136832126925</v>
      </c>
      <c r="H33" s="4064">
        <v>20.347056765989098</v>
      </c>
      <c r="I33" s="4064">
        <v>21.942845821665841</v>
      </c>
      <c r="J33" s="4064">
        <v>21.388106699256326</v>
      </c>
      <c r="K33" s="4064">
        <v>24.809879860932078</v>
      </c>
      <c r="L33" s="4064">
        <v>27.561606858651462</v>
      </c>
      <c r="M33" s="4064">
        <v>23.460790500000002</v>
      </c>
      <c r="N33" s="4064">
        <v>23.626046499999998</v>
      </c>
      <c r="O33" s="4064">
        <v>20.815899999999999</v>
      </c>
      <c r="P33" s="4064">
        <v>28.100656199000003</v>
      </c>
      <c r="Q33" s="4064">
        <v>22.971219600000001</v>
      </c>
      <c r="R33" s="4064">
        <v>7.2902048800000001</v>
      </c>
      <c r="S33" s="4064">
        <v>10.599853529999999</v>
      </c>
      <c r="T33" s="4064">
        <v>8.2176724000000014</v>
      </c>
      <c r="U33" s="4064">
        <v>16.217770975000001</v>
      </c>
      <c r="V33" s="4064">
        <v>3.1597074319999998</v>
      </c>
      <c r="W33" s="4064">
        <v>0.3292408</v>
      </c>
      <c r="X33" s="4064">
        <v>1.1431266</v>
      </c>
      <c r="Y33" s="4064">
        <v>3.0081359000000001</v>
      </c>
      <c r="Z33" s="4064">
        <v>12.042077600000001</v>
      </c>
      <c r="AA33" s="4064">
        <v>16.384973500000001</v>
      </c>
      <c r="AB33" s="4064">
        <v>18.057117925000004</v>
      </c>
      <c r="AC33" s="4064">
        <v>12.186431894</v>
      </c>
      <c r="AD33" s="4064">
        <v>11.069592121000001</v>
      </c>
      <c r="AE33" s="4064">
        <v>4.4147843085853342</v>
      </c>
      <c r="AF33" s="4064">
        <v>13.669077806075155</v>
      </c>
      <c r="AG33" s="4064">
        <v>10.161289605189763</v>
      </c>
      <c r="AH33" s="4064">
        <v>1.2607627228417353</v>
      </c>
      <c r="AI33" s="4064">
        <v>0.82707023222906406</v>
      </c>
      <c r="AJ33" s="4064">
        <v>7.4910678817133576</v>
      </c>
      <c r="AK33" s="4064">
        <v>10.395654892027206</v>
      </c>
      <c r="AL33" s="4067">
        <f t="shared" si="4"/>
        <v>-45.357470971295598</v>
      </c>
      <c r="AM33" s="19"/>
    </row>
    <row r="34" spans="2:39" ht="18" customHeight="1" x14ac:dyDescent="0.2">
      <c r="B34" s="1131" t="s">
        <v>1941</v>
      </c>
      <c r="C34" s="2027"/>
      <c r="D34" s="2027"/>
      <c r="E34" s="4073" t="s">
        <v>221</v>
      </c>
      <c r="F34" s="4073" t="s">
        <v>221</v>
      </c>
      <c r="G34" s="4073" t="s">
        <v>221</v>
      </c>
      <c r="H34" s="4073" t="s">
        <v>221</v>
      </c>
      <c r="I34" s="4073" t="s">
        <v>221</v>
      </c>
      <c r="J34" s="4073" t="s">
        <v>221</v>
      </c>
      <c r="K34" s="4073" t="s">
        <v>221</v>
      </c>
      <c r="L34" s="4073" t="s">
        <v>221</v>
      </c>
      <c r="M34" s="4073" t="s">
        <v>221</v>
      </c>
      <c r="N34" s="4073" t="s">
        <v>221</v>
      </c>
      <c r="O34" s="4073" t="s">
        <v>221</v>
      </c>
      <c r="P34" s="4073" t="s">
        <v>221</v>
      </c>
      <c r="Q34" s="4073" t="s">
        <v>221</v>
      </c>
      <c r="R34" s="4073" t="s">
        <v>221</v>
      </c>
      <c r="S34" s="4073" t="s">
        <v>221</v>
      </c>
      <c r="T34" s="4073" t="s">
        <v>221</v>
      </c>
      <c r="U34" s="4073" t="s">
        <v>221</v>
      </c>
      <c r="V34" s="4073" t="s">
        <v>221</v>
      </c>
      <c r="W34" s="4073" t="s">
        <v>221</v>
      </c>
      <c r="X34" s="4073" t="s">
        <v>221</v>
      </c>
      <c r="Y34" s="4073" t="s">
        <v>221</v>
      </c>
      <c r="Z34" s="4073" t="s">
        <v>221</v>
      </c>
      <c r="AA34" s="4073" t="s">
        <v>221</v>
      </c>
      <c r="AB34" s="4073" t="s">
        <v>221</v>
      </c>
      <c r="AC34" s="4073" t="s">
        <v>221</v>
      </c>
      <c r="AD34" s="4073" t="s">
        <v>221</v>
      </c>
      <c r="AE34" s="4073" t="s">
        <v>221</v>
      </c>
      <c r="AF34" s="4073" t="s">
        <v>221</v>
      </c>
      <c r="AG34" s="4073" t="s">
        <v>221</v>
      </c>
      <c r="AH34" s="4073" t="s">
        <v>221</v>
      </c>
      <c r="AI34" s="4073" t="s">
        <v>221</v>
      </c>
      <c r="AJ34" s="4073" t="s">
        <v>221</v>
      </c>
      <c r="AK34" s="4073" t="s">
        <v>221</v>
      </c>
      <c r="AL34" s="4080" t="s">
        <v>205</v>
      </c>
      <c r="AM34" s="19"/>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19"/>
    </row>
    <row r="36" spans="2:39" ht="18" customHeight="1" x14ac:dyDescent="0.2">
      <c r="B36" s="1131" t="s">
        <v>1943</v>
      </c>
      <c r="C36" s="2027"/>
      <c r="D36" s="2027"/>
      <c r="E36" s="4064">
        <v>11.678240086332515</v>
      </c>
      <c r="F36" s="4064">
        <v>11.51512487103051</v>
      </c>
      <c r="G36" s="4064">
        <v>10.628463273415008</v>
      </c>
      <c r="H36" s="4064">
        <v>12.853750943812702</v>
      </c>
      <c r="I36" s="4064">
        <v>14.681793290049001</v>
      </c>
      <c r="J36" s="4064">
        <v>8.5175580784261413</v>
      </c>
      <c r="K36" s="4064">
        <v>13.023405252231356</v>
      </c>
      <c r="L36" s="4064">
        <v>15.824241234512318</v>
      </c>
      <c r="M36" s="4064">
        <v>14.258301483033065</v>
      </c>
      <c r="N36" s="4064">
        <v>15.394202547002262</v>
      </c>
      <c r="O36" s="4064">
        <v>13.652141887315125</v>
      </c>
      <c r="P36" s="4064">
        <v>13.802848797844145</v>
      </c>
      <c r="Q36" s="4064">
        <v>14.220618261765534</v>
      </c>
      <c r="R36" s="4064">
        <v>6.7005558108523724</v>
      </c>
      <c r="S36" s="4064">
        <v>13.764206972860327</v>
      </c>
      <c r="T36" s="4064">
        <v>9.1033930155565947</v>
      </c>
      <c r="U36" s="4064">
        <v>11.533835441598121</v>
      </c>
      <c r="V36" s="4064">
        <v>5.1213039446720554</v>
      </c>
      <c r="W36" s="4064">
        <v>6.3481931408653383</v>
      </c>
      <c r="X36" s="4064">
        <v>7.8678133252312374</v>
      </c>
      <c r="Y36" s="4064">
        <v>6.8464732321629027</v>
      </c>
      <c r="Z36" s="4064">
        <v>10.071601774153612</v>
      </c>
      <c r="AA36" s="4064">
        <v>10.16995194685682</v>
      </c>
      <c r="AB36" s="4064">
        <v>9.5058056430853988</v>
      </c>
      <c r="AC36" s="4064">
        <v>8.8514943251261098</v>
      </c>
      <c r="AD36" s="4064">
        <v>8.4613653997161133</v>
      </c>
      <c r="AE36" s="4064">
        <v>7.7017018795049594</v>
      </c>
      <c r="AF36" s="4064">
        <v>12.40093798718615</v>
      </c>
      <c r="AG36" s="4064">
        <v>8.6179651337187533</v>
      </c>
      <c r="AH36" s="4064">
        <v>5.4580809746846768</v>
      </c>
      <c r="AI36" s="4064">
        <v>5.7260086086722177</v>
      </c>
      <c r="AJ36" s="4064">
        <v>12.085348720090868</v>
      </c>
      <c r="AK36" s="4064">
        <v>12.85367526522689</v>
      </c>
      <c r="AL36" s="4067">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1" t="str">
        <f t="shared" si="4"/>
        <v>NA</v>
      </c>
      <c r="AM40" s="19"/>
    </row>
    <row r="41" spans="2:39" ht="18" customHeight="1" x14ac:dyDescent="0.2">
      <c r="B41" s="773" t="s">
        <v>2381</v>
      </c>
      <c r="C41" s="2029"/>
      <c r="D41" s="2029"/>
      <c r="E41" s="4070">
        <f>SUM(E42:E49)</f>
        <v>736.69294206813947</v>
      </c>
      <c r="F41" s="4070">
        <f t="shared" ref="F41:AJ41" si="10">SUM(F42:F49)</f>
        <v>709.77379808244677</v>
      </c>
      <c r="G41" s="4070">
        <f t="shared" si="10"/>
        <v>653.71210077473256</v>
      </c>
      <c r="H41" s="4070">
        <f t="shared" si="10"/>
        <v>630.68565973209195</v>
      </c>
      <c r="I41" s="4070">
        <f t="shared" si="10"/>
        <v>610.94352877106974</v>
      </c>
      <c r="J41" s="4070">
        <f t="shared" si="10"/>
        <v>603.03951805278768</v>
      </c>
      <c r="K41" s="4070">
        <f t="shared" si="10"/>
        <v>641.82624772501208</v>
      </c>
      <c r="L41" s="4070">
        <f t="shared" si="10"/>
        <v>639.89687490486892</v>
      </c>
      <c r="M41" s="4070">
        <f t="shared" si="10"/>
        <v>641.58318293094192</v>
      </c>
      <c r="N41" s="4070">
        <f t="shared" si="10"/>
        <v>683.08201707143473</v>
      </c>
      <c r="O41" s="4070">
        <f t="shared" si="10"/>
        <v>762.74066682697696</v>
      </c>
      <c r="P41" s="4070">
        <f t="shared" si="10"/>
        <v>736.45756413493041</v>
      </c>
      <c r="Q41" s="4070">
        <f t="shared" si="10"/>
        <v>747.89169217681115</v>
      </c>
      <c r="R41" s="4070">
        <f t="shared" si="10"/>
        <v>747.6063397981635</v>
      </c>
      <c r="S41" s="4070">
        <f t="shared" si="10"/>
        <v>690.93118221207249</v>
      </c>
      <c r="T41" s="4070">
        <f t="shared" si="10"/>
        <v>692.80462433217645</v>
      </c>
      <c r="U41" s="4070">
        <f t="shared" si="10"/>
        <v>744.64760208758366</v>
      </c>
      <c r="V41" s="4070">
        <f t="shared" si="10"/>
        <v>770.3982379003719</v>
      </c>
      <c r="W41" s="4070">
        <f t="shared" si="10"/>
        <v>754.3729146227862</v>
      </c>
      <c r="X41" s="4070">
        <f t="shared" si="10"/>
        <v>750.35287151980731</v>
      </c>
      <c r="Y41" s="4070">
        <f t="shared" si="10"/>
        <v>740.54962472823229</v>
      </c>
      <c r="Z41" s="4070">
        <f t="shared" si="10"/>
        <v>755.62689394823212</v>
      </c>
      <c r="AA41" s="4070">
        <f t="shared" si="10"/>
        <v>701.09816966539324</v>
      </c>
      <c r="AB41" s="4070">
        <f t="shared" si="10"/>
        <v>691.95526354502908</v>
      </c>
      <c r="AC41" s="4070">
        <f t="shared" si="10"/>
        <v>716.15556938461111</v>
      </c>
      <c r="AD41" s="4070">
        <f t="shared" si="10"/>
        <v>687.39506066742604</v>
      </c>
      <c r="AE41" s="4070">
        <f t="shared" si="10"/>
        <v>642.30762229979416</v>
      </c>
      <c r="AF41" s="4070">
        <f t="shared" si="10"/>
        <v>648.57440876250325</v>
      </c>
      <c r="AG41" s="4070">
        <f t="shared" si="10"/>
        <v>579.53327654417217</v>
      </c>
      <c r="AH41" s="4070">
        <f t="shared" si="10"/>
        <v>558.77128874861694</v>
      </c>
      <c r="AI41" s="4070">
        <f t="shared" si="10"/>
        <v>506.72538151669215</v>
      </c>
      <c r="AJ41" s="4070">
        <f t="shared" si="10"/>
        <v>497.86854157819948</v>
      </c>
      <c r="AK41" s="4070">
        <f t="shared" ref="AK41" si="11">SUM(AK42:AK49)</f>
        <v>498.52126484168741</v>
      </c>
      <c r="AL41" s="4067">
        <f t="shared" si="4"/>
        <v>-32.329843768806271</v>
      </c>
      <c r="AM41" s="721"/>
    </row>
    <row r="42" spans="2:39" ht="18" customHeight="1" x14ac:dyDescent="0.2">
      <c r="B42" s="1131" t="s">
        <v>1252</v>
      </c>
      <c r="C42" s="2027"/>
      <c r="D42" s="2027"/>
      <c r="E42" s="4064">
        <v>240.31573030424923</v>
      </c>
      <c r="F42" s="4064">
        <v>242.21876666320895</v>
      </c>
      <c r="G42" s="4064">
        <v>258.67836360432642</v>
      </c>
      <c r="H42" s="4064">
        <v>261.90480975960457</v>
      </c>
      <c r="I42" s="4064">
        <v>238.96233492537704</v>
      </c>
      <c r="J42" s="4064">
        <v>230.70957831271966</v>
      </c>
      <c r="K42" s="4064">
        <v>244.57793382197423</v>
      </c>
      <c r="L42" s="4064">
        <v>215.46067450390419</v>
      </c>
      <c r="M42" s="4064">
        <v>212.47419431688286</v>
      </c>
      <c r="N42" s="4064">
        <v>216.77054916529187</v>
      </c>
      <c r="O42" s="4064">
        <v>257.05231761094495</v>
      </c>
      <c r="P42" s="4064">
        <v>239.91583719945507</v>
      </c>
      <c r="Q42" s="4064">
        <v>253.92237071308006</v>
      </c>
      <c r="R42" s="4064">
        <v>260.2087121197556</v>
      </c>
      <c r="S42" s="4064">
        <v>250.90561761310619</v>
      </c>
      <c r="T42" s="4064">
        <v>238.90954940617343</v>
      </c>
      <c r="U42" s="4064">
        <v>257.77347567563532</v>
      </c>
      <c r="V42" s="4064">
        <v>283.9000825913626</v>
      </c>
      <c r="W42" s="4064">
        <v>322.58907831465501</v>
      </c>
      <c r="X42" s="4064">
        <v>319.57178063650593</v>
      </c>
      <c r="Y42" s="4064">
        <v>315.75450942093539</v>
      </c>
      <c r="Z42" s="4064">
        <v>342.4344869739632</v>
      </c>
      <c r="AA42" s="4064">
        <v>308.155424174362</v>
      </c>
      <c r="AB42" s="4064">
        <v>294.82392557644647</v>
      </c>
      <c r="AC42" s="4064">
        <v>312.67938331430724</v>
      </c>
      <c r="AD42" s="4064">
        <v>316.44150334464837</v>
      </c>
      <c r="AE42" s="4064">
        <v>288.14630312435202</v>
      </c>
      <c r="AF42" s="4064">
        <v>283.12354759030495</v>
      </c>
      <c r="AG42" s="4064">
        <v>241.85905503626509</v>
      </c>
      <c r="AH42" s="4064">
        <v>242.24789527937756</v>
      </c>
      <c r="AI42" s="4064">
        <v>208.99923353828316</v>
      </c>
      <c r="AJ42" s="4064">
        <v>211.70759384390018</v>
      </c>
      <c r="AK42" s="4064">
        <v>214.4469568531492</v>
      </c>
      <c r="AL42" s="4067">
        <f t="shared" si="4"/>
        <v>-10.764494450009224</v>
      </c>
      <c r="AM42" s="721"/>
    </row>
    <row r="43" spans="2:39" ht="18" customHeight="1" x14ac:dyDescent="0.2">
      <c r="B43" s="1131" t="s">
        <v>1255</v>
      </c>
      <c r="C43" s="2027"/>
      <c r="D43" s="2027"/>
      <c r="E43" s="4064">
        <v>23.02205712224827</v>
      </c>
      <c r="F43" s="4064">
        <v>21.166542228602228</v>
      </c>
      <c r="G43" s="4064">
        <v>10.097620205455073</v>
      </c>
      <c r="H43" s="4064">
        <v>6.8601742954588589</v>
      </c>
      <c r="I43" s="4064">
        <v>6.4451225208023804</v>
      </c>
      <c r="J43" s="4064">
        <v>6.0407067180889538</v>
      </c>
      <c r="K43" s="4064">
        <v>5.0505055621401809</v>
      </c>
      <c r="L43" s="4064">
        <v>5.6829143958953345</v>
      </c>
      <c r="M43" s="4064">
        <v>5.2580037480271553</v>
      </c>
      <c r="N43" s="4064">
        <v>4.6171476865743912</v>
      </c>
      <c r="O43" s="4064">
        <v>4.7170229788408422</v>
      </c>
      <c r="P43" s="4064">
        <v>4.4475836333554781</v>
      </c>
      <c r="Q43" s="4064">
        <v>4.7964171838211165</v>
      </c>
      <c r="R43" s="4064">
        <v>4.1442976197605361</v>
      </c>
      <c r="S43" s="4064">
        <v>4.1320670154484294</v>
      </c>
      <c r="T43" s="4064">
        <v>4.3257638571170078</v>
      </c>
      <c r="U43" s="4064">
        <v>4.0222718333672605</v>
      </c>
      <c r="V43" s="4064">
        <v>3.5173822008307143</v>
      </c>
      <c r="W43" s="4064">
        <v>2.563191823540373</v>
      </c>
      <c r="X43" s="4064">
        <v>2.0187253970823456</v>
      </c>
      <c r="Y43" s="4064">
        <v>2.0350444288552807</v>
      </c>
      <c r="Z43" s="4064">
        <v>1.590478715706265</v>
      </c>
      <c r="AA43" s="4064">
        <v>1.3155028975949434</v>
      </c>
      <c r="AB43" s="4064">
        <v>1.2417603081910018</v>
      </c>
      <c r="AC43" s="4064">
        <v>2.0710974362840573</v>
      </c>
      <c r="AD43" s="4064">
        <v>1.4585121013428404</v>
      </c>
      <c r="AE43" s="4064">
        <v>1.5842441449609719</v>
      </c>
      <c r="AF43" s="4064">
        <v>0.99536340776593746</v>
      </c>
      <c r="AG43" s="4064">
        <v>0.7931664531689846</v>
      </c>
      <c r="AH43" s="4064">
        <v>0.68685201769537774</v>
      </c>
      <c r="AI43" s="4064">
        <v>0.55681991020944188</v>
      </c>
      <c r="AJ43" s="4064">
        <v>0.5925108283923356</v>
      </c>
      <c r="AK43" s="4064">
        <v>0.56995396890381089</v>
      </c>
      <c r="AL43" s="4067">
        <f t="shared" si="4"/>
        <v>-97.524313462183997</v>
      </c>
      <c r="AM43" s="721"/>
    </row>
    <row r="44" spans="2:39" ht="18" customHeight="1" x14ac:dyDescent="0.2">
      <c r="B44" s="1131" t="s">
        <v>2382</v>
      </c>
      <c r="C44" s="2027"/>
      <c r="D44" s="2027"/>
      <c r="E44" s="4064">
        <v>382.59231304436264</v>
      </c>
      <c r="F44" s="4064">
        <v>354.55499461487636</v>
      </c>
      <c r="G44" s="4064">
        <v>300.09802063382494</v>
      </c>
      <c r="H44" s="4064">
        <v>281.22297163885003</v>
      </c>
      <c r="I44" s="4064">
        <v>288.01538585124018</v>
      </c>
      <c r="J44" s="4064">
        <v>293.9339758620784</v>
      </c>
      <c r="K44" s="4064">
        <v>312.18622753799514</v>
      </c>
      <c r="L44" s="4064">
        <v>331.74685781944299</v>
      </c>
      <c r="M44" s="4064">
        <v>339.46854776933156</v>
      </c>
      <c r="N44" s="4064">
        <v>372.05172708517989</v>
      </c>
      <c r="O44" s="4064">
        <v>405.98283313208498</v>
      </c>
      <c r="P44" s="4064">
        <v>398.55233797335137</v>
      </c>
      <c r="Q44" s="4064">
        <v>399.07581760387296</v>
      </c>
      <c r="R44" s="4064">
        <v>401.03381082902501</v>
      </c>
      <c r="S44" s="4064">
        <v>353.07957434673489</v>
      </c>
      <c r="T44" s="4064">
        <v>366.4032842687991</v>
      </c>
      <c r="U44" s="4064">
        <v>399.05273191921395</v>
      </c>
      <c r="V44" s="4064">
        <v>405.75634088485094</v>
      </c>
      <c r="W44" s="4064">
        <v>349.48333817751666</v>
      </c>
      <c r="X44" s="4064">
        <v>343.6215453696571</v>
      </c>
      <c r="Y44" s="4064">
        <v>335.70382978362642</v>
      </c>
      <c r="Z44" s="4064">
        <v>316.70593611430968</v>
      </c>
      <c r="AA44" s="4064">
        <v>295.13144140299278</v>
      </c>
      <c r="AB44" s="4064">
        <v>302.50776498805067</v>
      </c>
      <c r="AC44" s="4064">
        <v>312.80650857586471</v>
      </c>
      <c r="AD44" s="4064">
        <v>282.61833673018822</v>
      </c>
      <c r="AE44" s="4064">
        <v>271.0254233043101</v>
      </c>
      <c r="AF44" s="4064">
        <v>277.02396886780656</v>
      </c>
      <c r="AG44" s="4064">
        <v>255.67878711911956</v>
      </c>
      <c r="AH44" s="4064">
        <v>241.31513810597667</v>
      </c>
      <c r="AI44" s="4064">
        <v>229.90962483655585</v>
      </c>
      <c r="AJ44" s="4064">
        <v>213.15424666693136</v>
      </c>
      <c r="AK44" s="4064">
        <v>203.74540768114943</v>
      </c>
      <c r="AL44" s="4067">
        <f t="shared" si="4"/>
        <v>-46.746079120119546</v>
      </c>
      <c r="AM44" s="721"/>
    </row>
    <row r="45" spans="2:39" ht="18" customHeight="1" x14ac:dyDescent="0.2">
      <c r="B45" s="1131" t="s">
        <v>1984</v>
      </c>
      <c r="C45" s="2027"/>
      <c r="D45" s="2027"/>
      <c r="E45" s="4064">
        <v>84.076949093280419</v>
      </c>
      <c r="F45" s="4064">
        <v>86.175365470539688</v>
      </c>
      <c r="G45" s="4064">
        <v>80.019930826023</v>
      </c>
      <c r="H45" s="4064">
        <v>76.434736923033228</v>
      </c>
      <c r="I45" s="4064">
        <v>73.401898457266981</v>
      </c>
      <c r="J45" s="4064">
        <v>68.597068892132583</v>
      </c>
      <c r="K45" s="4064">
        <v>76.831044904578249</v>
      </c>
      <c r="L45" s="4064">
        <v>83.381729648206544</v>
      </c>
      <c r="M45" s="4064">
        <v>80.924979877318506</v>
      </c>
      <c r="N45" s="4064">
        <v>86.456447216918818</v>
      </c>
      <c r="O45" s="4064">
        <v>91.534361770626575</v>
      </c>
      <c r="P45" s="4064">
        <v>90.634897034700586</v>
      </c>
      <c r="Q45" s="4064">
        <v>86.947788795907229</v>
      </c>
      <c r="R45" s="4064">
        <v>78.725761443664283</v>
      </c>
      <c r="S45" s="4064">
        <v>78.745973147087909</v>
      </c>
      <c r="T45" s="4064">
        <v>78.387086662681369</v>
      </c>
      <c r="U45" s="4064">
        <v>79.115017054107511</v>
      </c>
      <c r="V45" s="4064">
        <v>73.026060785709092</v>
      </c>
      <c r="W45" s="4064">
        <v>76.129036353721219</v>
      </c>
      <c r="X45" s="4064">
        <v>82.121685317831677</v>
      </c>
      <c r="Y45" s="4064">
        <v>84.193170212143315</v>
      </c>
      <c r="Z45" s="4064">
        <v>92.433263342915922</v>
      </c>
      <c r="AA45" s="4064">
        <v>94.517210619913016</v>
      </c>
      <c r="AB45" s="4064">
        <v>91.419487886402237</v>
      </c>
      <c r="AC45" s="4064">
        <v>87.230385558751095</v>
      </c>
      <c r="AD45" s="4064">
        <v>85.573116960012953</v>
      </c>
      <c r="AE45" s="4064">
        <v>80.093652264100157</v>
      </c>
      <c r="AF45" s="4064">
        <v>86.109095783523927</v>
      </c>
      <c r="AG45" s="4064">
        <v>80.244308186720886</v>
      </c>
      <c r="AH45" s="4064">
        <v>73.734638618043761</v>
      </c>
      <c r="AI45" s="4064">
        <v>66.642798890522499</v>
      </c>
      <c r="AJ45" s="4064">
        <v>71.802043579540893</v>
      </c>
      <c r="AK45" s="4064">
        <v>79.260931058457615</v>
      </c>
      <c r="AL45" s="4067">
        <f t="shared" si="4"/>
        <v>-5.7281075095619798</v>
      </c>
      <c r="AM45" s="721"/>
    </row>
    <row r="46" spans="2:39" ht="18" customHeight="1" x14ac:dyDescent="0.2">
      <c r="B46" s="1131" t="s">
        <v>1264</v>
      </c>
      <c r="C46" s="2027"/>
      <c r="D46" s="2027"/>
      <c r="E46" s="4064">
        <v>6.6858925039989572</v>
      </c>
      <c r="F46" s="4064">
        <v>5.6581291052196079</v>
      </c>
      <c r="G46" s="4064">
        <v>4.8181655051030345</v>
      </c>
      <c r="H46" s="4064">
        <v>4.2629671151452069</v>
      </c>
      <c r="I46" s="4064">
        <v>4.1187870163831652</v>
      </c>
      <c r="J46" s="4064">
        <v>3.758188267768094</v>
      </c>
      <c r="K46" s="4064">
        <v>3.1805358983242491</v>
      </c>
      <c r="L46" s="4064">
        <v>3.6246985374198863</v>
      </c>
      <c r="M46" s="4064">
        <v>3.4574572193818427</v>
      </c>
      <c r="N46" s="4064">
        <v>3.18614591746974</v>
      </c>
      <c r="O46" s="4064">
        <v>3.4541313344795435</v>
      </c>
      <c r="P46" s="4064">
        <v>2.9069082940679372</v>
      </c>
      <c r="Q46" s="4064">
        <v>3.1492978801298079</v>
      </c>
      <c r="R46" s="4064">
        <v>3.49375778595796</v>
      </c>
      <c r="S46" s="4064">
        <v>4.0679500896950334</v>
      </c>
      <c r="T46" s="4064">
        <v>4.778940137405578</v>
      </c>
      <c r="U46" s="4064">
        <v>4.6841056052596812</v>
      </c>
      <c r="V46" s="4064">
        <v>4.1983714376185857</v>
      </c>
      <c r="W46" s="4064">
        <v>3.6082699533529623</v>
      </c>
      <c r="X46" s="4064">
        <v>3.0191347987302648</v>
      </c>
      <c r="Y46" s="4064">
        <v>2.8630708826719231</v>
      </c>
      <c r="Z46" s="4064">
        <v>2.4627288013371542</v>
      </c>
      <c r="AA46" s="4064">
        <v>1.9785905705303795</v>
      </c>
      <c r="AB46" s="4064">
        <v>1.9623247859387549</v>
      </c>
      <c r="AC46" s="4064">
        <v>1.3681944994039681</v>
      </c>
      <c r="AD46" s="4064">
        <v>1.3035915312336355</v>
      </c>
      <c r="AE46" s="4064">
        <v>1.457999462071055</v>
      </c>
      <c r="AF46" s="4064">
        <v>1.3224331131019484</v>
      </c>
      <c r="AG46" s="4064">
        <v>0.95795974889764024</v>
      </c>
      <c r="AH46" s="4064">
        <v>0.78676472752364179</v>
      </c>
      <c r="AI46" s="4064">
        <v>0.61690434112117654</v>
      </c>
      <c r="AJ46" s="4064">
        <v>0.61214665943471303</v>
      </c>
      <c r="AK46" s="4064">
        <v>0.49801528002734952</v>
      </c>
      <c r="AL46" s="4067">
        <f t="shared" si="4"/>
        <v>-92.551252062017497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77" t="s">
        <v>199</v>
      </c>
      <c r="F49" s="4077" t="s">
        <v>199</v>
      </c>
      <c r="G49" s="4077" t="s">
        <v>199</v>
      </c>
      <c r="H49" s="4077" t="s">
        <v>199</v>
      </c>
      <c r="I49" s="4077" t="s">
        <v>199</v>
      </c>
      <c r="J49" s="4077" t="s">
        <v>199</v>
      </c>
      <c r="K49" s="4077" t="s">
        <v>199</v>
      </c>
      <c r="L49" s="4077" t="s">
        <v>199</v>
      </c>
      <c r="M49" s="4077" t="s">
        <v>199</v>
      </c>
      <c r="N49" s="4077" t="s">
        <v>199</v>
      </c>
      <c r="O49" s="4077" t="s">
        <v>199</v>
      </c>
      <c r="P49" s="4077" t="s">
        <v>199</v>
      </c>
      <c r="Q49" s="4077" t="s">
        <v>199</v>
      </c>
      <c r="R49" s="4077" t="s">
        <v>199</v>
      </c>
      <c r="S49" s="4077" t="s">
        <v>199</v>
      </c>
      <c r="T49" s="4077" t="s">
        <v>199</v>
      </c>
      <c r="U49" s="4077" t="s">
        <v>199</v>
      </c>
      <c r="V49" s="4077" t="s">
        <v>199</v>
      </c>
      <c r="W49" s="4077" t="s">
        <v>199</v>
      </c>
      <c r="X49" s="4077" t="s">
        <v>199</v>
      </c>
      <c r="Y49" s="4077" t="s">
        <v>199</v>
      </c>
      <c r="Z49" s="4077" t="s">
        <v>199</v>
      </c>
      <c r="AA49" s="4077" t="s">
        <v>199</v>
      </c>
      <c r="AB49" s="4077" t="s">
        <v>199</v>
      </c>
      <c r="AC49" s="4077" t="s">
        <v>199</v>
      </c>
      <c r="AD49" s="4077" t="s">
        <v>199</v>
      </c>
      <c r="AE49" s="4077" t="s">
        <v>199</v>
      </c>
      <c r="AF49" s="4077" t="s">
        <v>199</v>
      </c>
      <c r="AG49" s="4077" t="s">
        <v>199</v>
      </c>
      <c r="AH49" s="4077" t="s">
        <v>199</v>
      </c>
      <c r="AI49" s="4077" t="s">
        <v>199</v>
      </c>
      <c r="AJ49" s="4077" t="s">
        <v>199</v>
      </c>
      <c r="AK49" s="4077" t="s">
        <v>199</v>
      </c>
      <c r="AL49" s="4081" t="str">
        <f t="shared" si="4"/>
        <v>NA</v>
      </c>
      <c r="AM49" s="721"/>
    </row>
    <row r="50" spans="2:39" ht="18" customHeight="1" x14ac:dyDescent="0.2">
      <c r="B50" s="774" t="s">
        <v>1955</v>
      </c>
      <c r="C50" s="2026"/>
      <c r="D50" s="2026"/>
      <c r="E50" s="4090">
        <f>SUM(E51:E55)</f>
        <v>829.68013553291371</v>
      </c>
      <c r="F50" s="4090">
        <f t="shared" ref="F50:AJ50" si="12">SUM(F51:F55)</f>
        <v>826.59713400707039</v>
      </c>
      <c r="G50" s="4090">
        <f t="shared" si="12"/>
        <v>816.85927281516615</v>
      </c>
      <c r="H50" s="4090">
        <f t="shared" si="12"/>
        <v>810.1479946043745</v>
      </c>
      <c r="I50" s="4090">
        <f t="shared" si="12"/>
        <v>782.45980229889813</v>
      </c>
      <c r="J50" s="4090">
        <f t="shared" si="12"/>
        <v>779.60061644166478</v>
      </c>
      <c r="K50" s="4090">
        <f t="shared" si="12"/>
        <v>713.47257152008422</v>
      </c>
      <c r="L50" s="4090">
        <f t="shared" si="12"/>
        <v>703.22776101202669</v>
      </c>
      <c r="M50" s="4090">
        <f t="shared" si="12"/>
        <v>673.50809934536028</v>
      </c>
      <c r="N50" s="4090">
        <f t="shared" si="12"/>
        <v>677.72307731825344</v>
      </c>
      <c r="O50" s="4090">
        <f t="shared" si="12"/>
        <v>654.61679189396637</v>
      </c>
      <c r="P50" s="4090">
        <f t="shared" si="12"/>
        <v>665.21093550664489</v>
      </c>
      <c r="Q50" s="4090">
        <f t="shared" si="12"/>
        <v>666.8859277662641</v>
      </c>
      <c r="R50" s="4090">
        <f t="shared" si="12"/>
        <v>573.1889923532965</v>
      </c>
      <c r="S50" s="4090">
        <f t="shared" si="12"/>
        <v>557.23297603135643</v>
      </c>
      <c r="T50" s="4090">
        <f t="shared" si="12"/>
        <v>551.52294443080552</v>
      </c>
      <c r="U50" s="4090">
        <f t="shared" si="12"/>
        <v>542.15251246277228</v>
      </c>
      <c r="V50" s="4090">
        <f t="shared" si="12"/>
        <v>555.86302780071014</v>
      </c>
      <c r="W50" s="4090">
        <f t="shared" si="12"/>
        <v>573.75743111220163</v>
      </c>
      <c r="X50" s="4090">
        <f t="shared" si="12"/>
        <v>565.20340307814752</v>
      </c>
      <c r="Y50" s="4090">
        <f t="shared" si="12"/>
        <v>559.01397134034619</v>
      </c>
      <c r="Z50" s="4090">
        <f t="shared" si="12"/>
        <v>541.61226274555941</v>
      </c>
      <c r="AA50" s="4090">
        <f t="shared" si="12"/>
        <v>495.63148589773107</v>
      </c>
      <c r="AB50" s="4090">
        <f t="shared" si="12"/>
        <v>461.78368269881281</v>
      </c>
      <c r="AC50" s="4090">
        <f t="shared" si="12"/>
        <v>459.40328651042802</v>
      </c>
      <c r="AD50" s="4090">
        <f t="shared" si="12"/>
        <v>440.524394098225</v>
      </c>
      <c r="AE50" s="4090">
        <f t="shared" si="12"/>
        <v>452.63551949965796</v>
      </c>
      <c r="AF50" s="4090">
        <f t="shared" si="12"/>
        <v>461.95448274345102</v>
      </c>
      <c r="AG50" s="4090">
        <f t="shared" si="12"/>
        <v>443.99322310820628</v>
      </c>
      <c r="AH50" s="4090">
        <f t="shared" si="12"/>
        <v>459.13423565516013</v>
      </c>
      <c r="AI50" s="4090">
        <f t="shared" si="12"/>
        <v>469.30367729184701</v>
      </c>
      <c r="AJ50" s="4090">
        <f t="shared" si="12"/>
        <v>466.49602898941237</v>
      </c>
      <c r="AK50" s="4090">
        <f t="shared" ref="AK50" si="13">SUM(AK51:AK55)</f>
        <v>481.32365782818232</v>
      </c>
      <c r="AL50" s="4067">
        <f t="shared" si="4"/>
        <v>-41.986840805942371</v>
      </c>
      <c r="AM50" s="721"/>
    </row>
    <row r="51" spans="2:39" ht="18" customHeight="1" x14ac:dyDescent="0.2">
      <c r="B51" s="1131" t="s">
        <v>2384</v>
      </c>
      <c r="C51" s="2027"/>
      <c r="D51" s="2027"/>
      <c r="E51" s="4064">
        <v>609.44937919462313</v>
      </c>
      <c r="F51" s="4064">
        <v>608.74261770345061</v>
      </c>
      <c r="G51" s="4064">
        <v>602.48816381693518</v>
      </c>
      <c r="H51" s="4064">
        <v>600.75526529299827</v>
      </c>
      <c r="I51" s="4064">
        <v>577.39019763967963</v>
      </c>
      <c r="J51" s="4064">
        <v>582.29136201541598</v>
      </c>
      <c r="K51" s="4064">
        <v>525.68624477251444</v>
      </c>
      <c r="L51" s="4064">
        <v>521.0311924030334</v>
      </c>
      <c r="M51" s="4064">
        <v>493.34687251769742</v>
      </c>
      <c r="N51" s="4064">
        <v>498.25191783437504</v>
      </c>
      <c r="O51" s="4064">
        <v>490.35388946954583</v>
      </c>
      <c r="P51" s="4064">
        <v>492.12275045201147</v>
      </c>
      <c r="Q51" s="4064">
        <v>499.05533667334134</v>
      </c>
      <c r="R51" s="4064">
        <v>461.06910469242325</v>
      </c>
      <c r="S51" s="4064">
        <v>443.52134489068209</v>
      </c>
      <c r="T51" s="4064">
        <v>437.23031344324534</v>
      </c>
      <c r="U51" s="4064">
        <v>426.46748262818664</v>
      </c>
      <c r="V51" s="4064">
        <v>438.27652751427195</v>
      </c>
      <c r="W51" s="4064">
        <v>454.96342696981606</v>
      </c>
      <c r="X51" s="4064">
        <v>452.20044988009874</v>
      </c>
      <c r="Y51" s="4064">
        <v>463.55452622741302</v>
      </c>
      <c r="Z51" s="4064">
        <v>447.31955003343376</v>
      </c>
      <c r="AA51" s="4064">
        <v>398.04985516827082</v>
      </c>
      <c r="AB51" s="4064">
        <v>367.25185656914783</v>
      </c>
      <c r="AC51" s="4064">
        <v>365.92950257254438</v>
      </c>
      <c r="AD51" s="4064">
        <v>347.67199599415522</v>
      </c>
      <c r="AE51" s="4064">
        <v>352.26939874184831</v>
      </c>
      <c r="AF51" s="4064">
        <v>362.92519119222032</v>
      </c>
      <c r="AG51" s="4064">
        <v>341.98583845374418</v>
      </c>
      <c r="AH51" s="4064">
        <v>363.97022387146779</v>
      </c>
      <c r="AI51" s="4064">
        <v>366.23023347098774</v>
      </c>
      <c r="AJ51" s="4064">
        <v>359.96831684179648</v>
      </c>
      <c r="AK51" s="4064">
        <v>376.84184389838043</v>
      </c>
      <c r="AL51" s="4067">
        <f t="shared" si="4"/>
        <v>-38.166834397900203</v>
      </c>
      <c r="AM51" s="721"/>
    </row>
    <row r="52" spans="2:39" ht="18" customHeight="1" x14ac:dyDescent="0.2">
      <c r="B52" s="1131" t="s">
        <v>1990</v>
      </c>
      <c r="C52" s="2027"/>
      <c r="D52" s="2027"/>
      <c r="E52" s="4064">
        <v>0.35026726298999472</v>
      </c>
      <c r="F52" s="4064">
        <v>0.48310166212398975</v>
      </c>
      <c r="G52" s="4064">
        <v>0.61593606125799227</v>
      </c>
      <c r="H52" s="4064">
        <v>0.74877046039199469</v>
      </c>
      <c r="I52" s="4064">
        <v>0.88160485952599499</v>
      </c>
      <c r="J52" s="4064">
        <v>1.01443925865999</v>
      </c>
      <c r="K52" s="4064">
        <v>1.1472736577939926</v>
      </c>
      <c r="L52" s="4064">
        <v>1.2801080569279952</v>
      </c>
      <c r="M52" s="4064">
        <v>1.4129424560619974</v>
      </c>
      <c r="N52" s="4064">
        <v>1.5457768551959998</v>
      </c>
      <c r="O52" s="4064">
        <v>1.6786112543299947</v>
      </c>
      <c r="P52" s="4064">
        <v>1.8114456534639978</v>
      </c>
      <c r="Q52" s="4064">
        <v>1.9442800525980002</v>
      </c>
      <c r="R52" s="4064">
        <v>2.0771144517320024</v>
      </c>
      <c r="S52" s="4064">
        <v>2.2099488508659997</v>
      </c>
      <c r="T52" s="4064">
        <v>2.3427832500000001</v>
      </c>
      <c r="U52" s="4064">
        <v>2.5227352500000002</v>
      </c>
      <c r="V52" s="4064">
        <v>2.6635267499999999</v>
      </c>
      <c r="W52" s="4064">
        <v>2.8674236249999998</v>
      </c>
      <c r="X52" s="4064">
        <v>3.0080040074999994</v>
      </c>
      <c r="Y52" s="4064">
        <v>3.4023967574999996</v>
      </c>
      <c r="Z52" s="4064">
        <v>3.9527055075000002</v>
      </c>
      <c r="AA52" s="4064">
        <v>4.0213965150000002</v>
      </c>
      <c r="AB52" s="4064">
        <v>4.0902412799999999</v>
      </c>
      <c r="AC52" s="4064">
        <v>4.1509899224999991</v>
      </c>
      <c r="AD52" s="4064">
        <v>4.2091381424999996</v>
      </c>
      <c r="AE52" s="4064">
        <v>4.3177532196272264</v>
      </c>
      <c r="AF52" s="4064">
        <v>4.3859349382207649</v>
      </c>
      <c r="AG52" s="4064">
        <v>4.4564237660797268</v>
      </c>
      <c r="AH52" s="4064">
        <v>4.4898423234669931</v>
      </c>
      <c r="AI52" s="4064">
        <v>4.5475882237186438</v>
      </c>
      <c r="AJ52" s="4064">
        <v>4.5622696188806646</v>
      </c>
      <c r="AK52" s="4064">
        <v>4.605907448590508</v>
      </c>
      <c r="AL52" s="4067">
        <f t="shared" si="4"/>
        <v>1214.9694348461205</v>
      </c>
      <c r="AM52" s="721"/>
    </row>
    <row r="53" spans="2:39" ht="18" customHeight="1" x14ac:dyDescent="0.2">
      <c r="B53" s="1131" t="s">
        <v>1991</v>
      </c>
      <c r="C53" s="2027"/>
      <c r="D53" s="2027"/>
      <c r="E53" s="4064">
        <v>9.2671199999999995E-2</v>
      </c>
      <c r="F53" s="4064">
        <v>9.2671199999999995E-2</v>
      </c>
      <c r="G53" s="4064">
        <v>9.2671199999999995E-2</v>
      </c>
      <c r="H53" s="4064">
        <v>9.2671199999999995E-2</v>
      </c>
      <c r="I53" s="4064">
        <v>9.2671199999999995E-2</v>
      </c>
      <c r="J53" s="4064">
        <v>9.2671199999999995E-2</v>
      </c>
      <c r="K53" s="4064">
        <v>6.0389999999999999E-2</v>
      </c>
      <c r="L53" s="4064" t="s">
        <v>199</v>
      </c>
      <c r="M53" s="4064" t="s">
        <v>199</v>
      </c>
      <c r="N53" s="4064" t="s">
        <v>199</v>
      </c>
      <c r="O53" s="4064" t="s">
        <v>199</v>
      </c>
      <c r="P53" s="4064" t="s">
        <v>199</v>
      </c>
      <c r="Q53" s="4064" t="s">
        <v>199</v>
      </c>
      <c r="R53" s="4064" t="s">
        <v>199</v>
      </c>
      <c r="S53" s="4064" t="s">
        <v>199</v>
      </c>
      <c r="T53" s="4064" t="s">
        <v>199</v>
      </c>
      <c r="U53" s="4064" t="s">
        <v>199</v>
      </c>
      <c r="V53" s="4097" t="s">
        <v>199</v>
      </c>
      <c r="W53" s="4097" t="s">
        <v>199</v>
      </c>
      <c r="X53" s="4097" t="s">
        <v>199</v>
      </c>
      <c r="Y53" s="4097" t="s">
        <v>199</v>
      </c>
      <c r="Z53" s="4097" t="s">
        <v>199</v>
      </c>
      <c r="AA53" s="4097" t="s">
        <v>199</v>
      </c>
      <c r="AB53" s="4097" t="s">
        <v>199</v>
      </c>
      <c r="AC53" s="4097" t="s">
        <v>199</v>
      </c>
      <c r="AD53" s="4097" t="s">
        <v>199</v>
      </c>
      <c r="AE53" s="4097" t="s">
        <v>199</v>
      </c>
      <c r="AF53" s="4097" t="s">
        <v>199</v>
      </c>
      <c r="AG53" s="4097" t="s">
        <v>199</v>
      </c>
      <c r="AH53" s="4097" t="s">
        <v>199</v>
      </c>
      <c r="AI53" s="4097" t="s">
        <v>199</v>
      </c>
      <c r="AJ53" s="4097" t="s">
        <v>199</v>
      </c>
      <c r="AK53" s="4097" t="s">
        <v>199</v>
      </c>
      <c r="AL53" s="4067">
        <f t="shared" si="4"/>
        <v>-100</v>
      </c>
      <c r="AM53" s="721"/>
    </row>
    <row r="54" spans="2:39" ht="18" customHeight="1" x14ac:dyDescent="0.2">
      <c r="B54" s="1131" t="s">
        <v>1959</v>
      </c>
      <c r="C54" s="2027"/>
      <c r="D54" s="2027"/>
      <c r="E54" s="4064">
        <v>219.7878178753005</v>
      </c>
      <c r="F54" s="4064">
        <v>217.27874344149578</v>
      </c>
      <c r="G54" s="4064">
        <v>213.66250173697284</v>
      </c>
      <c r="H54" s="4064">
        <v>208.55128765098425</v>
      </c>
      <c r="I54" s="4064">
        <v>204.09532859969249</v>
      </c>
      <c r="J54" s="4064">
        <v>196.20214396758877</v>
      </c>
      <c r="K54" s="4064">
        <v>186.57866308977577</v>
      </c>
      <c r="L54" s="4064">
        <v>180.91646055206525</v>
      </c>
      <c r="M54" s="4064">
        <v>178.7482843716009</v>
      </c>
      <c r="N54" s="4064">
        <v>177.9253826286824</v>
      </c>
      <c r="O54" s="4064">
        <v>162.58429117009049</v>
      </c>
      <c r="P54" s="4064">
        <v>171.27673940116944</v>
      </c>
      <c r="Q54" s="4064">
        <v>165.88631104032476</v>
      </c>
      <c r="R54" s="4064">
        <v>110.04277320914119</v>
      </c>
      <c r="S54" s="4064">
        <v>111.50168228980831</v>
      </c>
      <c r="T54" s="4064">
        <v>111.94984773756021</v>
      </c>
      <c r="U54" s="4064">
        <v>113.16229458458568</v>
      </c>
      <c r="V54" s="4064">
        <v>114.92297353643815</v>
      </c>
      <c r="W54" s="4064">
        <v>115.92658051738562</v>
      </c>
      <c r="X54" s="4064">
        <v>109.99494919054874</v>
      </c>
      <c r="Y54" s="4064">
        <v>92.057048355433096</v>
      </c>
      <c r="Z54" s="4064">
        <v>90.340007204625678</v>
      </c>
      <c r="AA54" s="4064">
        <v>93.560234214460223</v>
      </c>
      <c r="AB54" s="4064">
        <v>90.441584849665006</v>
      </c>
      <c r="AC54" s="4064">
        <v>89.322794015383622</v>
      </c>
      <c r="AD54" s="4064">
        <v>88.64325996156974</v>
      </c>
      <c r="AE54" s="4064">
        <v>96.048367538182461</v>
      </c>
      <c r="AF54" s="4064">
        <v>94.643356613009928</v>
      </c>
      <c r="AG54" s="4064">
        <v>97.550960888382349</v>
      </c>
      <c r="AH54" s="4064">
        <v>90.674169460225343</v>
      </c>
      <c r="AI54" s="4064">
        <v>98.525855597140605</v>
      </c>
      <c r="AJ54" s="4064">
        <v>101.9654425287352</v>
      </c>
      <c r="AK54" s="4064">
        <v>99.875906481211359</v>
      </c>
      <c r="AL54" s="4067">
        <f t="shared" si="4"/>
        <v>-54.558033540386091</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2026</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92">
        <f>SUM(E10,E21,E30,E50,E56)</f>
        <v>5005.1384709004842</v>
      </c>
      <c r="F58" s="4092">
        <f t="shared" ref="F58:AJ58" si="14">SUM(F10,F21,F30,F50,F56)</f>
        <v>4968.0329759444412</v>
      </c>
      <c r="G58" s="4092">
        <f t="shared" si="14"/>
        <v>4928.9121377368274</v>
      </c>
      <c r="H58" s="4092">
        <f t="shared" si="14"/>
        <v>4803.5353915776141</v>
      </c>
      <c r="I58" s="4092">
        <f t="shared" si="14"/>
        <v>4689.9513194636693</v>
      </c>
      <c r="J58" s="4092">
        <f t="shared" si="14"/>
        <v>4632.6335883656684</v>
      </c>
      <c r="K58" s="4092">
        <f t="shared" si="14"/>
        <v>4604.7965039776273</v>
      </c>
      <c r="L58" s="4092">
        <f t="shared" si="14"/>
        <v>4719.1702833423469</v>
      </c>
      <c r="M58" s="4092">
        <f t="shared" si="14"/>
        <v>4712.5420206180024</v>
      </c>
      <c r="N58" s="4092">
        <f t="shared" si="14"/>
        <v>4565.6254668956644</v>
      </c>
      <c r="O58" s="4092">
        <f t="shared" si="14"/>
        <v>4721.0231435720079</v>
      </c>
      <c r="P58" s="4092">
        <f t="shared" si="14"/>
        <v>4683.90455011836</v>
      </c>
      <c r="Q58" s="4092">
        <f t="shared" si="14"/>
        <v>4618.286216481215</v>
      </c>
      <c r="R58" s="4092">
        <f t="shared" si="14"/>
        <v>4340.4054734622723</v>
      </c>
      <c r="S58" s="4092">
        <f t="shared" si="14"/>
        <v>4399.4503045653273</v>
      </c>
      <c r="T58" s="4092">
        <f t="shared" si="14"/>
        <v>4490.9727830137635</v>
      </c>
      <c r="U58" s="4092">
        <f t="shared" si="14"/>
        <v>4450.8981228371213</v>
      </c>
      <c r="V58" s="4092">
        <f t="shared" si="14"/>
        <v>4471.6076845714433</v>
      </c>
      <c r="W58" s="4092">
        <f t="shared" si="14"/>
        <v>4367.5096686993638</v>
      </c>
      <c r="X58" s="4092">
        <f t="shared" si="14"/>
        <v>4317.8231862135654</v>
      </c>
      <c r="Y58" s="4092">
        <f t="shared" si="14"/>
        <v>4198.8624394528397</v>
      </c>
      <c r="Z58" s="4092">
        <f t="shared" si="14"/>
        <v>4261.3120651024692</v>
      </c>
      <c r="AA58" s="4092">
        <f t="shared" si="14"/>
        <v>4274.0489111393654</v>
      </c>
      <c r="AB58" s="4092">
        <f t="shared" si="14"/>
        <v>4261.1489588268205</v>
      </c>
      <c r="AC58" s="4092">
        <f t="shared" si="14"/>
        <v>4151.6445548602069</v>
      </c>
      <c r="AD58" s="4092">
        <f t="shared" si="14"/>
        <v>4165.8681954452168</v>
      </c>
      <c r="AE58" s="4092">
        <f t="shared" si="14"/>
        <v>4126.7471132115288</v>
      </c>
      <c r="AF58" s="4092">
        <f t="shared" si="14"/>
        <v>4200.9983084765918</v>
      </c>
      <c r="AG58" s="4092">
        <f t="shared" si="14"/>
        <v>4222.7252578771686</v>
      </c>
      <c r="AH58" s="4092">
        <f t="shared" si="14"/>
        <v>3995.4907015967856</v>
      </c>
      <c r="AI58" s="4092">
        <f t="shared" si="14"/>
        <v>3928.9194343578165</v>
      </c>
      <c r="AJ58" s="4092">
        <f t="shared" si="14"/>
        <v>3922.3130336243257</v>
      </c>
      <c r="AK58" s="4092">
        <f t="shared" ref="AK58" si="15">SUM(AK10,AK21,AK30,AK50,AK56)</f>
        <v>3874.0239083405468</v>
      </c>
      <c r="AL58" s="4067">
        <f t="shared" si="4"/>
        <v>-22.599066322263738</v>
      </c>
      <c r="AM58" s="721"/>
    </row>
    <row r="59" spans="2:39" ht="18" customHeight="1" thickBot="1" x14ac:dyDescent="0.25">
      <c r="B59" s="1446" t="s">
        <v>2405</v>
      </c>
      <c r="C59" s="781"/>
      <c r="D59" s="782"/>
      <c r="E59" s="4092">
        <f>SUM(E58,E41)</f>
        <v>5741.8314129686241</v>
      </c>
      <c r="F59" s="4092">
        <f t="shared" ref="F59:AJ59" si="16">SUM(F58,F41)</f>
        <v>5677.806774026888</v>
      </c>
      <c r="G59" s="4092">
        <f t="shared" si="16"/>
        <v>5582.6242385115602</v>
      </c>
      <c r="H59" s="4092">
        <f t="shared" si="16"/>
        <v>5434.2210513097061</v>
      </c>
      <c r="I59" s="4092">
        <f t="shared" si="16"/>
        <v>5300.8948482347387</v>
      </c>
      <c r="J59" s="4092">
        <f t="shared" si="16"/>
        <v>5235.673106418456</v>
      </c>
      <c r="K59" s="4092">
        <f t="shared" si="16"/>
        <v>5246.6227517026391</v>
      </c>
      <c r="L59" s="4092">
        <f t="shared" si="16"/>
        <v>5359.067158247216</v>
      </c>
      <c r="M59" s="4092">
        <f t="shared" si="16"/>
        <v>5354.1252035489442</v>
      </c>
      <c r="N59" s="4092">
        <f t="shared" si="16"/>
        <v>5248.7074839670995</v>
      </c>
      <c r="O59" s="4092">
        <f t="shared" si="16"/>
        <v>5483.7638103989848</v>
      </c>
      <c r="P59" s="4092">
        <f t="shared" si="16"/>
        <v>5420.3621142532902</v>
      </c>
      <c r="Q59" s="4092">
        <f t="shared" si="16"/>
        <v>5366.1779086580264</v>
      </c>
      <c r="R59" s="4092">
        <f t="shared" si="16"/>
        <v>5088.0118132604357</v>
      </c>
      <c r="S59" s="4092">
        <f t="shared" si="16"/>
        <v>5090.3814867773999</v>
      </c>
      <c r="T59" s="4092">
        <f t="shared" si="16"/>
        <v>5183.7774073459404</v>
      </c>
      <c r="U59" s="4092">
        <f t="shared" si="16"/>
        <v>5195.5457249247047</v>
      </c>
      <c r="V59" s="4092">
        <f t="shared" si="16"/>
        <v>5242.0059224718152</v>
      </c>
      <c r="W59" s="4092">
        <f t="shared" si="16"/>
        <v>5121.8825833221499</v>
      </c>
      <c r="X59" s="4092">
        <f t="shared" si="16"/>
        <v>5068.1760577333725</v>
      </c>
      <c r="Y59" s="4092">
        <f t="shared" si="16"/>
        <v>4939.4120641810723</v>
      </c>
      <c r="Z59" s="4092">
        <f t="shared" si="16"/>
        <v>5016.9389590507017</v>
      </c>
      <c r="AA59" s="4092">
        <f t="shared" si="16"/>
        <v>4975.1470808047588</v>
      </c>
      <c r="AB59" s="4092">
        <f t="shared" si="16"/>
        <v>4953.1042223718496</v>
      </c>
      <c r="AC59" s="4092">
        <f t="shared" si="16"/>
        <v>4867.8001242448181</v>
      </c>
      <c r="AD59" s="4092">
        <f t="shared" si="16"/>
        <v>4853.2632561126429</v>
      </c>
      <c r="AE59" s="4092">
        <f t="shared" si="16"/>
        <v>4769.0547355113231</v>
      </c>
      <c r="AF59" s="4092">
        <f t="shared" si="16"/>
        <v>4849.5727172390953</v>
      </c>
      <c r="AG59" s="4092">
        <f t="shared" si="16"/>
        <v>4802.2585344213403</v>
      </c>
      <c r="AH59" s="4092">
        <f t="shared" si="16"/>
        <v>4554.2619903454024</v>
      </c>
      <c r="AI59" s="4092">
        <f t="shared" si="16"/>
        <v>4435.6448158745088</v>
      </c>
      <c r="AJ59" s="4092">
        <f t="shared" si="16"/>
        <v>4420.181575202525</v>
      </c>
      <c r="AK59" s="4092">
        <f t="shared" ref="AK59" si="17">SUM(AK58,AK41)</f>
        <v>4372.5451731822341</v>
      </c>
      <c r="AL59" s="4067">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0.20738744833333336</v>
      </c>
      <c r="F62" s="4096">
        <f t="shared" ref="F62:AJ62" si="18">SUM(F63:F64)</f>
        <v>0.18826561</v>
      </c>
      <c r="G62" s="4096">
        <f t="shared" si="18"/>
        <v>0.18212162833333337</v>
      </c>
      <c r="H62" s="4096">
        <f t="shared" si="18"/>
        <v>0.18277244500000003</v>
      </c>
      <c r="I62" s="4096">
        <f t="shared" si="18"/>
        <v>0.20506330499999997</v>
      </c>
      <c r="J62" s="4096">
        <f t="shared" si="18"/>
        <v>0.26991230666666666</v>
      </c>
      <c r="K62" s="4096">
        <f t="shared" si="18"/>
        <v>0.27433434833333331</v>
      </c>
      <c r="L62" s="4096">
        <f t="shared" si="18"/>
        <v>0.25615829499999998</v>
      </c>
      <c r="M62" s="4096">
        <f t="shared" si="18"/>
        <v>0.22715249666666665</v>
      </c>
      <c r="N62" s="4096">
        <f t="shared" si="18"/>
        <v>0.24898613499999997</v>
      </c>
      <c r="O62" s="4096">
        <f t="shared" si="18"/>
        <v>0.28005602500000004</v>
      </c>
      <c r="P62" s="4096">
        <f t="shared" si="18"/>
        <v>0.2645435266666667</v>
      </c>
      <c r="Q62" s="4096">
        <f t="shared" si="18"/>
        <v>0.28705713166666669</v>
      </c>
      <c r="R62" s="4096">
        <f t="shared" si="18"/>
        <v>0.28033772500000004</v>
      </c>
      <c r="S62" s="4096">
        <f t="shared" si="18"/>
        <v>0.28325308166666668</v>
      </c>
      <c r="T62" s="4096">
        <f t="shared" si="18"/>
        <v>0.27024784183333339</v>
      </c>
      <c r="U62" s="4096">
        <f t="shared" si="18"/>
        <v>0.30310617725400008</v>
      </c>
      <c r="V62" s="4096">
        <f t="shared" si="18"/>
        <v>0.26014954234285709</v>
      </c>
      <c r="W62" s="4096">
        <f t="shared" si="18"/>
        <v>0.28860670870588234</v>
      </c>
      <c r="X62" s="4096">
        <f t="shared" si="18"/>
        <v>0.27101272536585364</v>
      </c>
      <c r="Y62" s="4096">
        <f t="shared" si="18"/>
        <v>0.21737169390243902</v>
      </c>
      <c r="Z62" s="4096">
        <f t="shared" si="18"/>
        <v>0.19735271499999998</v>
      </c>
      <c r="AA62" s="4096">
        <f t="shared" si="18"/>
        <v>0.25329020953488374</v>
      </c>
      <c r="AB62" s="4096">
        <f t="shared" si="18"/>
        <v>0.20687184488372093</v>
      </c>
      <c r="AC62" s="4096">
        <f t="shared" si="18"/>
        <v>0.23731321000000002</v>
      </c>
      <c r="AD62" s="4096">
        <f t="shared" si="18"/>
        <v>0.24197975523076931</v>
      </c>
      <c r="AE62" s="4096">
        <f t="shared" si="18"/>
        <v>0.25605988584678946</v>
      </c>
      <c r="AF62" s="4096">
        <f t="shared" si="18"/>
        <v>0.27802144391427275</v>
      </c>
      <c r="AG62" s="4096">
        <f t="shared" si="18"/>
        <v>0.2727685039635539</v>
      </c>
      <c r="AH62" s="4096">
        <f t="shared" si="18"/>
        <v>0.26214537886272099</v>
      </c>
      <c r="AI62" s="4096">
        <f t="shared" si="18"/>
        <v>0.23124189231627892</v>
      </c>
      <c r="AJ62" s="4096">
        <f t="shared" si="18"/>
        <v>0.12857781991428571</v>
      </c>
      <c r="AK62" s="4096">
        <f t="shared" ref="AK62" si="19">SUM(AK63:AK64)</f>
        <v>0.19231549368066667</v>
      </c>
      <c r="AL62" s="4067">
        <f t="shared" si="4"/>
        <v>-7.2675346429074068</v>
      </c>
      <c r="AM62" s="721"/>
    </row>
    <row r="63" spans="2:39" ht="18" customHeight="1" x14ac:dyDescent="0.2">
      <c r="B63" s="1370" t="s">
        <v>218</v>
      </c>
      <c r="C63" s="2027"/>
      <c r="D63" s="2027"/>
      <c r="E63" s="4064">
        <v>7.8174483333333343E-3</v>
      </c>
      <c r="F63" s="4064">
        <v>8.1556099999999989E-3</v>
      </c>
      <c r="G63" s="4064">
        <v>8.521628333333333E-3</v>
      </c>
      <c r="H63" s="4064">
        <v>9.3824449999999997E-3</v>
      </c>
      <c r="I63" s="4064">
        <v>9.7633049999999999E-3</v>
      </c>
      <c r="J63" s="4064">
        <v>1.0282306666666668E-2</v>
      </c>
      <c r="K63" s="4064">
        <v>1.1064348333333333E-2</v>
      </c>
      <c r="L63" s="4064">
        <v>1.1718295E-2</v>
      </c>
      <c r="M63" s="4064">
        <v>1.2182496666666667E-2</v>
      </c>
      <c r="N63" s="4064">
        <v>1.2036134999999998E-2</v>
      </c>
      <c r="O63" s="4064">
        <v>1.2306025E-2</v>
      </c>
      <c r="P63" s="4064">
        <v>1.2893526666666669E-2</v>
      </c>
      <c r="Q63" s="4064">
        <v>1.1957131666666666E-2</v>
      </c>
      <c r="R63" s="4064">
        <v>1.1908725000000002E-2</v>
      </c>
      <c r="S63" s="4064">
        <v>1.3375081666666667E-2</v>
      </c>
      <c r="T63" s="4064">
        <v>1.5159963333333332E-2</v>
      </c>
      <c r="U63" s="4064">
        <v>1.5065205000000002E-2</v>
      </c>
      <c r="V63" s="4064">
        <v>1.5084557142857139E-2</v>
      </c>
      <c r="W63" s="4064">
        <v>1.5638964705882351E-2</v>
      </c>
      <c r="X63" s="4064">
        <v>1.6632725365853661E-2</v>
      </c>
      <c r="Y63" s="4064">
        <v>1.7661693902439025E-2</v>
      </c>
      <c r="Z63" s="4064">
        <v>1.9552715000000005E-2</v>
      </c>
      <c r="AA63" s="4064">
        <v>2.0785209534883727E-2</v>
      </c>
      <c r="AB63" s="4064">
        <v>2.1476844883720935E-2</v>
      </c>
      <c r="AC63" s="4064">
        <v>2.4198210000000005E-2</v>
      </c>
      <c r="AD63" s="4064">
        <v>2.7569979230769232E-2</v>
      </c>
      <c r="AE63" s="4064">
        <v>2.8602901315789478E-2</v>
      </c>
      <c r="AF63" s="4064">
        <v>3.326214772727272E-2</v>
      </c>
      <c r="AG63" s="4064">
        <v>3.3506509302325571E-2</v>
      </c>
      <c r="AH63" s="4064">
        <v>3.437243488372093E-2</v>
      </c>
      <c r="AI63" s="4064">
        <v>2.6988825116279071E-2</v>
      </c>
      <c r="AJ63" s="4064">
        <v>8.2845657142857146E-3</v>
      </c>
      <c r="AK63" s="4064">
        <v>1.3728931666666664E-2</v>
      </c>
      <c r="AL63" s="4067">
        <f t="shared" si="4"/>
        <v>75.619090542971236</v>
      </c>
      <c r="AM63" s="721"/>
    </row>
    <row r="64" spans="2:39" ht="18" customHeight="1" x14ac:dyDescent="0.2">
      <c r="B64" s="1379" t="s">
        <v>1963</v>
      </c>
      <c r="C64" s="2027"/>
      <c r="D64" s="2027"/>
      <c r="E64" s="4064">
        <v>0.19957000000000003</v>
      </c>
      <c r="F64" s="4064">
        <v>0.18010999999999999</v>
      </c>
      <c r="G64" s="4064">
        <v>0.17360000000000003</v>
      </c>
      <c r="H64" s="4064">
        <v>0.17339000000000004</v>
      </c>
      <c r="I64" s="4064">
        <v>0.19529999999999997</v>
      </c>
      <c r="J64" s="4064">
        <v>0.25962999999999997</v>
      </c>
      <c r="K64" s="4064">
        <v>0.26327</v>
      </c>
      <c r="L64" s="4064">
        <v>0.24443999999999999</v>
      </c>
      <c r="M64" s="4064">
        <v>0.21496999999999999</v>
      </c>
      <c r="N64" s="4064">
        <v>0.23694999999999997</v>
      </c>
      <c r="O64" s="4064">
        <v>0.26775000000000004</v>
      </c>
      <c r="P64" s="4064">
        <v>0.25165000000000004</v>
      </c>
      <c r="Q64" s="4064">
        <v>0.27510000000000001</v>
      </c>
      <c r="R64" s="4064">
        <v>0.26842900000000003</v>
      </c>
      <c r="S64" s="4064">
        <v>0.26987800000000001</v>
      </c>
      <c r="T64" s="4064">
        <v>0.25508787850000003</v>
      </c>
      <c r="U64" s="4064">
        <v>0.28804097225400005</v>
      </c>
      <c r="V64" s="4064">
        <v>0.24506498519999997</v>
      </c>
      <c r="W64" s="4064">
        <v>0.27296774400000001</v>
      </c>
      <c r="X64" s="4064">
        <v>0.25438</v>
      </c>
      <c r="Y64" s="4064">
        <v>0.19971</v>
      </c>
      <c r="Z64" s="4064">
        <v>0.17779999999999999</v>
      </c>
      <c r="AA64" s="4064">
        <v>0.23250500000000002</v>
      </c>
      <c r="AB64" s="4064">
        <v>0.185395</v>
      </c>
      <c r="AC64" s="4064">
        <v>0.21311500000000003</v>
      </c>
      <c r="AD64" s="4064">
        <v>0.21440977600000008</v>
      </c>
      <c r="AE64" s="4064">
        <v>0.22745698453099999</v>
      </c>
      <c r="AF64" s="4064">
        <v>0.24475929618700001</v>
      </c>
      <c r="AG64" s="4064">
        <v>0.2392619946612283</v>
      </c>
      <c r="AH64" s="4064">
        <v>0.22777294397900005</v>
      </c>
      <c r="AI64" s="4064">
        <v>0.20425306719999986</v>
      </c>
      <c r="AJ64" s="4064">
        <v>0.1202932542</v>
      </c>
      <c r="AK64" s="4064">
        <v>0.178586562014</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42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selection activeCell="AP73" sqref="AP73"/>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2460</v>
      </c>
    </row>
    <row r="2" spans="2:39" ht="15.75" customHeight="1" x14ac:dyDescent="0.2">
      <c r="B2" s="761" t="s">
        <v>2408</v>
      </c>
      <c r="AL2" s="14" t="s">
        <v>2461</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5"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6.5822252886058923</v>
      </c>
      <c r="F10" s="4069">
        <f t="shared" ref="F10:AJ10" si="0">SUM(F11,F17,F20)</f>
        <v>6.6985612369461691</v>
      </c>
      <c r="G10" s="4069">
        <f t="shared" si="0"/>
        <v>6.9040599045912607</v>
      </c>
      <c r="H10" s="4069">
        <f t="shared" si="0"/>
        <v>7.3628964431994337</v>
      </c>
      <c r="I10" s="4069">
        <f t="shared" si="0"/>
        <v>7.6520272596509837</v>
      </c>
      <c r="J10" s="4069">
        <f t="shared" si="0"/>
        <v>8.0847487878292572</v>
      </c>
      <c r="K10" s="4069">
        <f t="shared" si="0"/>
        <v>8.4100346317820396</v>
      </c>
      <c r="L10" s="4069">
        <f t="shared" si="0"/>
        <v>8.8342105942418439</v>
      </c>
      <c r="M10" s="4069">
        <f t="shared" si="0"/>
        <v>9.4065583030332043</v>
      </c>
      <c r="N10" s="4069">
        <f t="shared" si="0"/>
        <v>9.7992122569808</v>
      </c>
      <c r="O10" s="4069">
        <f t="shared" si="0"/>
        <v>10.184487629931933</v>
      </c>
      <c r="P10" s="4069">
        <f t="shared" si="0"/>
        <v>10.636438155396144</v>
      </c>
      <c r="Q10" s="4069">
        <f t="shared" si="0"/>
        <v>11.384888177803591</v>
      </c>
      <c r="R10" s="4069">
        <f t="shared" si="0"/>
        <v>12.272143411586017</v>
      </c>
      <c r="S10" s="4069">
        <f t="shared" si="0"/>
        <v>12.643651978436814</v>
      </c>
      <c r="T10" s="4069">
        <f t="shared" si="0"/>
        <v>12.731867725415889</v>
      </c>
      <c r="U10" s="4069">
        <f t="shared" si="0"/>
        <v>12.602072855927196</v>
      </c>
      <c r="V10" s="4069">
        <f t="shared" si="0"/>
        <v>12.691427854044349</v>
      </c>
      <c r="W10" s="4069">
        <f t="shared" si="0"/>
        <v>12.732862852397</v>
      </c>
      <c r="X10" s="4069">
        <f t="shared" si="0"/>
        <v>12.379652668129575</v>
      </c>
      <c r="Y10" s="4069">
        <f t="shared" si="0"/>
        <v>12.12358080830975</v>
      </c>
      <c r="Z10" s="4069">
        <f t="shared" si="0"/>
        <v>12.432287442531775</v>
      </c>
      <c r="AA10" s="4069">
        <f t="shared" si="0"/>
        <v>12.299888832367868</v>
      </c>
      <c r="AB10" s="4069">
        <f t="shared" si="0"/>
        <v>12.259990979875683</v>
      </c>
      <c r="AC10" s="4069">
        <f t="shared" si="0"/>
        <v>11.752840827237799</v>
      </c>
      <c r="AD10" s="4069">
        <f t="shared" si="0"/>
        <v>11.006437074273153</v>
      </c>
      <c r="AE10" s="4069">
        <f t="shared" si="0"/>
        <v>10.889289548282616</v>
      </c>
      <c r="AF10" s="4069">
        <f t="shared" si="0"/>
        <v>10.880580265139992</v>
      </c>
      <c r="AG10" s="4069">
        <f t="shared" si="0"/>
        <v>10.255507458023736</v>
      </c>
      <c r="AH10" s="4069">
        <f t="shared" si="0"/>
        <v>10.026258337755552</v>
      </c>
      <c r="AI10" s="4069">
        <f t="shared" si="0"/>
        <v>9.6507658736134232</v>
      </c>
      <c r="AJ10" s="4069">
        <f t="shared" si="0"/>
        <v>9.542442567239048</v>
      </c>
      <c r="AK10" s="4069">
        <f t="shared" ref="AK10" si="1">SUM(AK11,AK17,AK20)</f>
        <v>9.2542591593103705</v>
      </c>
      <c r="AL10" s="4067">
        <f>IF(AK10="NO",IF(E10="NO","NA",-100),IF(E10="NO",100,AK10/E10*100-100))</f>
        <v>40.59468877994621</v>
      </c>
      <c r="AM10" s="721"/>
    </row>
    <row r="11" spans="2:39" ht="18" customHeight="1" x14ac:dyDescent="0.2">
      <c r="B11" s="1369" t="s">
        <v>1922</v>
      </c>
      <c r="C11" s="2027"/>
      <c r="D11" s="2027"/>
      <c r="E11" s="4064">
        <f>SUM(E12:E16)</f>
        <v>6.4471737052587228</v>
      </c>
      <c r="F11" s="4064">
        <f t="shared" ref="F11:AJ11" si="2">SUM(F12:F16)</f>
        <v>6.5736259448986516</v>
      </c>
      <c r="G11" s="4064">
        <f t="shared" si="2"/>
        <v>6.7766706748586705</v>
      </c>
      <c r="H11" s="4064">
        <f t="shared" si="2"/>
        <v>7.2425464955099237</v>
      </c>
      <c r="I11" s="4064">
        <f t="shared" si="2"/>
        <v>7.5411208642013197</v>
      </c>
      <c r="J11" s="4064">
        <f t="shared" si="2"/>
        <v>7.9688482584606941</v>
      </c>
      <c r="K11" s="4064">
        <f t="shared" si="2"/>
        <v>8.3093073676460154</v>
      </c>
      <c r="L11" s="4064">
        <f t="shared" si="2"/>
        <v>8.7468410505869389</v>
      </c>
      <c r="M11" s="4064">
        <f t="shared" si="2"/>
        <v>9.3207345529646588</v>
      </c>
      <c r="N11" s="4064">
        <f t="shared" si="2"/>
        <v>9.7073059004298035</v>
      </c>
      <c r="O11" s="4064">
        <f t="shared" si="2"/>
        <v>10.080116089281933</v>
      </c>
      <c r="P11" s="4064">
        <f t="shared" si="2"/>
        <v>10.527557806485792</v>
      </c>
      <c r="Q11" s="4064">
        <f t="shared" si="2"/>
        <v>11.285943354458036</v>
      </c>
      <c r="R11" s="4064">
        <f t="shared" si="2"/>
        <v>12.188887068622691</v>
      </c>
      <c r="S11" s="4064">
        <f t="shared" si="2"/>
        <v>12.561042930340882</v>
      </c>
      <c r="T11" s="4064">
        <f t="shared" si="2"/>
        <v>12.652866539590809</v>
      </c>
      <c r="U11" s="4064">
        <f t="shared" si="2"/>
        <v>12.520905762294518</v>
      </c>
      <c r="V11" s="4064">
        <f t="shared" si="2"/>
        <v>12.600964652673378</v>
      </c>
      <c r="W11" s="4064">
        <f t="shared" si="2"/>
        <v>12.641394187685984</v>
      </c>
      <c r="X11" s="4064">
        <f t="shared" si="2"/>
        <v>12.282073749605305</v>
      </c>
      <c r="Y11" s="4064">
        <f t="shared" si="2"/>
        <v>12.018599471721364</v>
      </c>
      <c r="Z11" s="4064">
        <f t="shared" si="2"/>
        <v>12.347439697399659</v>
      </c>
      <c r="AA11" s="4064">
        <f t="shared" si="2"/>
        <v>12.185263684579956</v>
      </c>
      <c r="AB11" s="4064">
        <f t="shared" si="2"/>
        <v>12.139203091385385</v>
      </c>
      <c r="AC11" s="4064">
        <f t="shared" si="2"/>
        <v>11.634376737381684</v>
      </c>
      <c r="AD11" s="4064">
        <f t="shared" si="2"/>
        <v>10.845889194979458</v>
      </c>
      <c r="AE11" s="4064">
        <f t="shared" si="2"/>
        <v>10.683785389536165</v>
      </c>
      <c r="AF11" s="4064">
        <f t="shared" si="2"/>
        <v>10.608307102342868</v>
      </c>
      <c r="AG11" s="4064">
        <f t="shared" si="2"/>
        <v>10.002381646900119</v>
      </c>
      <c r="AH11" s="4064">
        <f t="shared" si="2"/>
        <v>9.7215363563324466</v>
      </c>
      <c r="AI11" s="4064">
        <f t="shared" si="2"/>
        <v>9.4224966384334436</v>
      </c>
      <c r="AJ11" s="4064">
        <f t="shared" si="2"/>
        <v>9.3648894676856997</v>
      </c>
      <c r="AK11" s="4064">
        <f t="shared" ref="AK11" si="3">SUM(AK12:AK16)</f>
        <v>9.127494703700977</v>
      </c>
      <c r="AL11" s="4067">
        <f t="shared" ref="AL11:AL64" si="4">IF(AK11="NO",IF(E11="NO","NA",-100),IF(E11="NO",100,AK11/E11*100-100))</f>
        <v>41.573581246244629</v>
      </c>
      <c r="AM11" s="721"/>
    </row>
    <row r="12" spans="2:39" ht="18" customHeight="1" x14ac:dyDescent="0.2">
      <c r="B12" s="1370" t="s">
        <v>1923</v>
      </c>
      <c r="C12" s="2027"/>
      <c r="D12" s="2027"/>
      <c r="E12" s="4064">
        <v>1.7009294785985118</v>
      </c>
      <c r="F12" s="4064">
        <v>1.6290682412384687</v>
      </c>
      <c r="G12" s="4064">
        <v>1.6581035249510141</v>
      </c>
      <c r="H12" s="4064">
        <v>1.7306924205792553</v>
      </c>
      <c r="I12" s="4064">
        <v>1.7273876632427019</v>
      </c>
      <c r="J12" s="4064">
        <v>1.7976662692551444</v>
      </c>
      <c r="K12" s="4064">
        <v>1.8378522822117114</v>
      </c>
      <c r="L12" s="4064">
        <v>2.0352450444763983</v>
      </c>
      <c r="M12" s="4064">
        <v>2.2515240802437115</v>
      </c>
      <c r="N12" s="4064">
        <v>2.2324247480307471</v>
      </c>
      <c r="O12" s="4064">
        <v>2.3443755514005433</v>
      </c>
      <c r="P12" s="4064">
        <v>2.6400816051644829</v>
      </c>
      <c r="Q12" s="4064">
        <v>2.9973257240636366</v>
      </c>
      <c r="R12" s="4064">
        <v>3.3705923244803446</v>
      </c>
      <c r="S12" s="4064">
        <v>3.4604686925144437</v>
      </c>
      <c r="T12" s="4064">
        <v>3.6356739756511329</v>
      </c>
      <c r="U12" s="4064">
        <v>3.645083868973102</v>
      </c>
      <c r="V12" s="4064">
        <v>3.7612196537347939</v>
      </c>
      <c r="W12" s="4064">
        <v>3.7433117435250383</v>
      </c>
      <c r="X12" s="4064">
        <v>3.9344495955182461</v>
      </c>
      <c r="Y12" s="4064">
        <v>3.788071629983929</v>
      </c>
      <c r="Z12" s="4064">
        <v>4.1841424421947027</v>
      </c>
      <c r="AA12" s="4064">
        <v>4.1187199369974739</v>
      </c>
      <c r="AB12" s="4064">
        <v>4.0909877996657462</v>
      </c>
      <c r="AC12" s="4064">
        <v>3.9078887872154979</v>
      </c>
      <c r="AD12" s="4064">
        <v>3.1686851804071612</v>
      </c>
      <c r="AE12" s="4064">
        <v>3.2165401677127523</v>
      </c>
      <c r="AF12" s="4064">
        <v>3.2275462220371409</v>
      </c>
      <c r="AG12" s="4064">
        <v>3.0093463473388513</v>
      </c>
      <c r="AH12" s="4064">
        <v>3.0053656507787925</v>
      </c>
      <c r="AI12" s="4064">
        <v>3.1494570993099864</v>
      </c>
      <c r="AJ12" s="4064">
        <v>2.9391729861273053</v>
      </c>
      <c r="AK12" s="4064">
        <v>2.8894020418620117</v>
      </c>
      <c r="AL12" s="4067">
        <f t="shared" si="4"/>
        <v>69.871948144654823</v>
      </c>
      <c r="AM12" s="721"/>
    </row>
    <row r="13" spans="2:39" ht="18" customHeight="1" x14ac:dyDescent="0.2">
      <c r="B13" s="1370" t="s">
        <v>2379</v>
      </c>
      <c r="C13" s="2027"/>
      <c r="D13" s="2027"/>
      <c r="E13" s="4064">
        <v>1.1347108469175382</v>
      </c>
      <c r="F13" s="4064">
        <v>1.1069438707977839</v>
      </c>
      <c r="G13" s="4064">
        <v>1.0243107840034231</v>
      </c>
      <c r="H13" s="4064">
        <v>1.1166433143750731</v>
      </c>
      <c r="I13" s="4064">
        <v>1.1738863251427409</v>
      </c>
      <c r="J13" s="4064">
        <v>1.221623326831905</v>
      </c>
      <c r="K13" s="4064">
        <v>1.2791349757582684</v>
      </c>
      <c r="L13" s="4064">
        <v>1.3163789997832436</v>
      </c>
      <c r="M13" s="4064">
        <v>1.3289940991559224</v>
      </c>
      <c r="N13" s="4064">
        <v>1.3209948143262531</v>
      </c>
      <c r="O13" s="4064">
        <v>1.3022394470025569</v>
      </c>
      <c r="P13" s="4064">
        <v>1.2429528375383514</v>
      </c>
      <c r="Q13" s="4064">
        <v>1.2472585483209393</v>
      </c>
      <c r="R13" s="4064">
        <v>1.2610637219971466</v>
      </c>
      <c r="S13" s="4064">
        <v>1.2935425084862127</v>
      </c>
      <c r="T13" s="4064">
        <v>1.3423266239671303</v>
      </c>
      <c r="U13" s="4064">
        <v>1.3342298221966118</v>
      </c>
      <c r="V13" s="4064">
        <v>1.3715263252857559</v>
      </c>
      <c r="W13" s="4064">
        <v>1.42404088702423</v>
      </c>
      <c r="X13" s="4064">
        <v>1.0925420454198598</v>
      </c>
      <c r="Y13" s="4064">
        <v>1.2717698342144876</v>
      </c>
      <c r="Z13" s="4064">
        <v>1.2938737542015724</v>
      </c>
      <c r="AA13" s="4064">
        <v>1.3750591461183621</v>
      </c>
      <c r="AB13" s="4064">
        <v>1.511638252726148</v>
      </c>
      <c r="AC13" s="4064">
        <v>1.4770703712489544</v>
      </c>
      <c r="AD13" s="4064">
        <v>1.4923472863758593</v>
      </c>
      <c r="AE13" s="4064">
        <v>1.4755370058941426</v>
      </c>
      <c r="AF13" s="4064">
        <v>1.537767753670382</v>
      </c>
      <c r="AG13" s="4064">
        <v>1.5100409619418236</v>
      </c>
      <c r="AH13" s="4064">
        <v>1.4719252359707582</v>
      </c>
      <c r="AI13" s="4064">
        <v>1.4704603755586005</v>
      </c>
      <c r="AJ13" s="4064">
        <v>1.5876443226408972</v>
      </c>
      <c r="AK13" s="4064">
        <v>1.5974963838731056</v>
      </c>
      <c r="AL13" s="4067">
        <f t="shared" si="4"/>
        <v>40.784446382330117</v>
      </c>
      <c r="AM13" s="721"/>
    </row>
    <row r="14" spans="2:39" ht="18" customHeight="1" x14ac:dyDescent="0.2">
      <c r="B14" s="1370" t="s">
        <v>1925</v>
      </c>
      <c r="C14" s="2027"/>
      <c r="D14" s="2027"/>
      <c r="E14" s="4064">
        <v>3.0681889642603748</v>
      </c>
      <c r="F14" s="4064">
        <v>3.2846479580695087</v>
      </c>
      <c r="G14" s="4064">
        <v>3.5247618929079318</v>
      </c>
      <c r="H14" s="4064">
        <v>3.8122408714501748</v>
      </c>
      <c r="I14" s="4064">
        <v>4.0534315250603354</v>
      </c>
      <c r="J14" s="4064">
        <v>4.3475660104684701</v>
      </c>
      <c r="K14" s="4064">
        <v>4.5820869441448684</v>
      </c>
      <c r="L14" s="4064">
        <v>4.7758348071430987</v>
      </c>
      <c r="M14" s="4064">
        <v>5.1228691269862399</v>
      </c>
      <c r="N14" s="4064">
        <v>5.5384186929027024</v>
      </c>
      <c r="O14" s="4064">
        <v>5.8142239937416154</v>
      </c>
      <c r="P14" s="4064">
        <v>5.9826816597628731</v>
      </c>
      <c r="Q14" s="4064">
        <v>6.4041698370851226</v>
      </c>
      <c r="R14" s="4064">
        <v>6.8783931895611961</v>
      </c>
      <c r="S14" s="4064">
        <v>7.1278943731051507</v>
      </c>
      <c r="T14" s="4064">
        <v>6.9825373449770112</v>
      </c>
      <c r="U14" s="4064">
        <v>6.8611210641272766</v>
      </c>
      <c r="V14" s="4064">
        <v>6.7968941140769177</v>
      </c>
      <c r="W14" s="4064">
        <v>6.7960814309707587</v>
      </c>
      <c r="X14" s="4064">
        <v>6.5857366162518973</v>
      </c>
      <c r="Y14" s="4064">
        <v>6.2808567211795472</v>
      </c>
      <c r="Z14" s="4064">
        <v>6.1902682966705607</v>
      </c>
      <c r="AA14" s="4064">
        <v>6.0009155630814144</v>
      </c>
      <c r="AB14" s="4064">
        <v>5.834764188283299</v>
      </c>
      <c r="AC14" s="4064">
        <v>5.5627603380606603</v>
      </c>
      <c r="AD14" s="4064">
        <v>5.4667695439683097</v>
      </c>
      <c r="AE14" s="4064">
        <v>5.2537851635308588</v>
      </c>
      <c r="AF14" s="4064">
        <v>5.0795043603799002</v>
      </c>
      <c r="AG14" s="4064">
        <v>4.7238694986765912</v>
      </c>
      <c r="AH14" s="4064">
        <v>4.563109897918153</v>
      </c>
      <c r="AI14" s="4064">
        <v>4.1519199048639228</v>
      </c>
      <c r="AJ14" s="4064">
        <v>4.0735815519180427</v>
      </c>
      <c r="AK14" s="4064">
        <v>3.8833179550966452</v>
      </c>
      <c r="AL14" s="4067">
        <f t="shared" si="4"/>
        <v>26.56710523149826</v>
      </c>
      <c r="AM14" s="721"/>
    </row>
    <row r="15" spans="2:39" ht="18" customHeight="1" x14ac:dyDescent="0.2">
      <c r="B15" s="1370" t="s">
        <v>1926</v>
      </c>
      <c r="C15" s="2027"/>
      <c r="D15" s="2027"/>
      <c r="E15" s="4064">
        <v>0.53214797381676537</v>
      </c>
      <c r="F15" s="4064">
        <v>0.54180638504574485</v>
      </c>
      <c r="G15" s="4064">
        <v>0.55695757984167849</v>
      </c>
      <c r="H15" s="4064">
        <v>0.57024125070918219</v>
      </c>
      <c r="I15" s="4064">
        <v>0.57121943648528406</v>
      </c>
      <c r="J15" s="4064">
        <v>0.58303768417451862</v>
      </c>
      <c r="K15" s="4064">
        <v>0.58896986539236917</v>
      </c>
      <c r="L15" s="4064">
        <v>0.59697391044693204</v>
      </c>
      <c r="M15" s="4064">
        <v>0.59864468082477551</v>
      </c>
      <c r="N15" s="4064">
        <v>0.5983519156095326</v>
      </c>
      <c r="O15" s="4064">
        <v>0.60222133286227619</v>
      </c>
      <c r="P15" s="4064">
        <v>0.64445846970012666</v>
      </c>
      <c r="Q15" s="4064">
        <v>0.62101485581758986</v>
      </c>
      <c r="R15" s="4064">
        <v>0.66362771768540818</v>
      </c>
      <c r="S15" s="4064">
        <v>0.66328636018202125</v>
      </c>
      <c r="T15" s="4064">
        <v>0.67523283626928288</v>
      </c>
      <c r="U15" s="4064">
        <v>0.66256697571037115</v>
      </c>
      <c r="V15" s="4064">
        <v>0.64964649649280681</v>
      </c>
      <c r="W15" s="4064">
        <v>0.65508907399567695</v>
      </c>
      <c r="X15" s="4064">
        <v>0.64613034760809562</v>
      </c>
      <c r="Y15" s="4064">
        <v>0.65315229172599476</v>
      </c>
      <c r="Z15" s="4064">
        <v>0.65387800224160131</v>
      </c>
      <c r="AA15" s="4064">
        <v>0.66614365804568543</v>
      </c>
      <c r="AB15" s="4064">
        <v>0.67625281011968363</v>
      </c>
      <c r="AC15" s="4064">
        <v>0.65809685756929548</v>
      </c>
      <c r="AD15" s="4064">
        <v>0.69202340652595817</v>
      </c>
      <c r="AE15" s="4064">
        <v>0.70674360826753768</v>
      </c>
      <c r="AF15" s="4064">
        <v>0.73753706360794435</v>
      </c>
      <c r="AG15" s="4064">
        <v>0.73332124957517952</v>
      </c>
      <c r="AH15" s="4064">
        <v>0.65923467600729868</v>
      </c>
      <c r="AI15" s="4064">
        <v>0.62435107694328618</v>
      </c>
      <c r="AJ15" s="4064">
        <v>0.74166403458600683</v>
      </c>
      <c r="AK15" s="4064">
        <v>0.73678251701997066</v>
      </c>
      <c r="AL15" s="4067">
        <f t="shared" si="4"/>
        <v>38.45444373967814</v>
      </c>
      <c r="AM15" s="721"/>
    </row>
    <row r="16" spans="2:39" ht="18" customHeight="1" x14ac:dyDescent="0.2">
      <c r="B16" s="1370" t="s">
        <v>1927</v>
      </c>
      <c r="C16" s="2027"/>
      <c r="D16" s="2027"/>
      <c r="E16" s="4064">
        <v>1.1196441665532852E-2</v>
      </c>
      <c r="F16" s="4064">
        <v>1.1159489747144877E-2</v>
      </c>
      <c r="G16" s="4064">
        <v>1.2536893154623004E-2</v>
      </c>
      <c r="H16" s="4064">
        <v>1.2728638396237932E-2</v>
      </c>
      <c r="I16" s="4064">
        <v>1.5195914270257849E-2</v>
      </c>
      <c r="J16" s="4064">
        <v>1.8954967730655532E-2</v>
      </c>
      <c r="K16" s="4064">
        <v>2.1263300138799256E-2</v>
      </c>
      <c r="L16" s="4064">
        <v>2.2408288737265684E-2</v>
      </c>
      <c r="M16" s="4064">
        <v>1.8702565754007937E-2</v>
      </c>
      <c r="N16" s="4064">
        <v>1.7115729560568681E-2</v>
      </c>
      <c r="O16" s="4064">
        <v>1.7055764274940568E-2</v>
      </c>
      <c r="P16" s="4064">
        <v>1.7383234319957891E-2</v>
      </c>
      <c r="Q16" s="4064">
        <v>1.6174389170746165E-2</v>
      </c>
      <c r="R16" s="4064">
        <v>1.5210114898595714E-2</v>
      </c>
      <c r="S16" s="4064">
        <v>1.5850996053053505E-2</v>
      </c>
      <c r="T16" s="4064">
        <v>1.7095758726253376E-2</v>
      </c>
      <c r="U16" s="4064">
        <v>1.790403128715834E-2</v>
      </c>
      <c r="V16" s="4064">
        <v>2.1678063083103615E-2</v>
      </c>
      <c r="W16" s="4064">
        <v>2.2871052170280314E-2</v>
      </c>
      <c r="X16" s="4064">
        <v>2.3215144807204369E-2</v>
      </c>
      <c r="Y16" s="4064">
        <v>2.4748994617406112E-2</v>
      </c>
      <c r="Z16" s="4064">
        <v>2.5277202091223118E-2</v>
      </c>
      <c r="AA16" s="4064">
        <v>2.4425380337021515E-2</v>
      </c>
      <c r="AB16" s="4064">
        <v>2.5560040590508946E-2</v>
      </c>
      <c r="AC16" s="4064">
        <v>2.8560383287274383E-2</v>
      </c>
      <c r="AD16" s="4064">
        <v>2.6063777702168438E-2</v>
      </c>
      <c r="AE16" s="4064">
        <v>3.1179444130874957E-2</v>
      </c>
      <c r="AF16" s="4064">
        <v>2.5951702647501382E-2</v>
      </c>
      <c r="AG16" s="4064">
        <v>2.5803589367673161E-2</v>
      </c>
      <c r="AH16" s="4064">
        <v>2.1900895657446368E-2</v>
      </c>
      <c r="AI16" s="4064">
        <v>2.6308181757647427E-2</v>
      </c>
      <c r="AJ16" s="4064">
        <v>2.2826572413449233E-2</v>
      </c>
      <c r="AK16" s="4064">
        <v>2.0495805849241721E-2</v>
      </c>
      <c r="AL16" s="4067">
        <f t="shared" si="4"/>
        <v>83.056425081336783</v>
      </c>
      <c r="AM16" s="721"/>
    </row>
    <row r="17" spans="2:39" ht="18" customHeight="1" x14ac:dyDescent="0.2">
      <c r="B17" s="1369" t="s">
        <v>201</v>
      </c>
      <c r="C17" s="2027"/>
      <c r="D17" s="2027"/>
      <c r="E17" s="4064">
        <f>SUM(E18:E19)</f>
        <v>0.13505158334716985</v>
      </c>
      <c r="F17" s="4064">
        <f t="shared" ref="F17:AJ17" si="5">SUM(F18:F19)</f>
        <v>0.12493529204751767</v>
      </c>
      <c r="G17" s="4064">
        <f t="shared" si="5"/>
        <v>0.1273892297325899</v>
      </c>
      <c r="H17" s="4064">
        <f t="shared" si="5"/>
        <v>0.12034994768950996</v>
      </c>
      <c r="I17" s="4064">
        <f t="shared" si="5"/>
        <v>0.11090639544966409</v>
      </c>
      <c r="J17" s="4064">
        <f t="shared" si="5"/>
        <v>0.11590052936856374</v>
      </c>
      <c r="K17" s="4064">
        <f t="shared" si="5"/>
        <v>0.10072726413602331</v>
      </c>
      <c r="L17" s="4064">
        <f t="shared" si="5"/>
        <v>8.7369543654904444E-2</v>
      </c>
      <c r="M17" s="4064">
        <f t="shared" si="5"/>
        <v>8.5823750068545937E-2</v>
      </c>
      <c r="N17" s="4064">
        <f t="shared" si="5"/>
        <v>9.1906356550996562E-2</v>
      </c>
      <c r="O17" s="4064">
        <f t="shared" si="5"/>
        <v>0.10437154064999948</v>
      </c>
      <c r="P17" s="4064">
        <f t="shared" si="5"/>
        <v>0.10888034891035293</v>
      </c>
      <c r="Q17" s="4064">
        <f t="shared" si="5"/>
        <v>9.8944823345555377E-2</v>
      </c>
      <c r="R17" s="4064">
        <f t="shared" si="5"/>
        <v>8.3256342963326568E-2</v>
      </c>
      <c r="S17" s="4064">
        <f t="shared" si="5"/>
        <v>8.260904809593192E-2</v>
      </c>
      <c r="T17" s="4064">
        <f t="shared" si="5"/>
        <v>7.9001185825078882E-2</v>
      </c>
      <c r="U17" s="4064">
        <f t="shared" si="5"/>
        <v>8.1167093632677129E-2</v>
      </c>
      <c r="V17" s="4064">
        <f t="shared" si="5"/>
        <v>9.046320137097158E-2</v>
      </c>
      <c r="W17" s="4064">
        <f t="shared" si="5"/>
        <v>9.1468664711016029E-2</v>
      </c>
      <c r="X17" s="4064">
        <f t="shared" si="5"/>
        <v>9.757891852426967E-2</v>
      </c>
      <c r="Y17" s="4064">
        <f t="shared" si="5"/>
        <v>0.10498133658838611</v>
      </c>
      <c r="Z17" s="4064">
        <f t="shared" si="5"/>
        <v>8.4847745132115335E-2</v>
      </c>
      <c r="AA17" s="4064">
        <f t="shared" si="5"/>
        <v>0.11462514778791104</v>
      </c>
      <c r="AB17" s="4064">
        <f t="shared" si="5"/>
        <v>0.12078788849029788</v>
      </c>
      <c r="AC17" s="4064">
        <f t="shared" si="5"/>
        <v>0.11846408985611549</v>
      </c>
      <c r="AD17" s="4064">
        <f t="shared" si="5"/>
        <v>0.16054787929369541</v>
      </c>
      <c r="AE17" s="4064">
        <f t="shared" si="5"/>
        <v>0.2055041587464507</v>
      </c>
      <c r="AF17" s="4064">
        <f t="shared" si="5"/>
        <v>0.27227316279712371</v>
      </c>
      <c r="AG17" s="4064">
        <f t="shared" si="5"/>
        <v>0.2531258111236166</v>
      </c>
      <c r="AH17" s="4064">
        <f t="shared" si="5"/>
        <v>0.30472198142310525</v>
      </c>
      <c r="AI17" s="4064">
        <f t="shared" si="5"/>
        <v>0.22826923517997966</v>
      </c>
      <c r="AJ17" s="4064">
        <f t="shared" si="5"/>
        <v>0.17755309955334869</v>
      </c>
      <c r="AK17" s="4064">
        <f t="shared" ref="AK17" si="6">SUM(AK18:AK19)</f>
        <v>0.12676445560939381</v>
      </c>
      <c r="AL17" s="4067">
        <f t="shared" si="4"/>
        <v>-6.136268477854685</v>
      </c>
      <c r="AM17" s="721"/>
    </row>
    <row r="18" spans="2:39" ht="18" customHeight="1" x14ac:dyDescent="0.2">
      <c r="B18" s="1370" t="s">
        <v>1928</v>
      </c>
      <c r="C18" s="2027"/>
      <c r="D18" s="2027"/>
      <c r="E18" s="4064">
        <v>5.3299565513660411E-7</v>
      </c>
      <c r="F18" s="4064">
        <v>7.2957855859744115E-7</v>
      </c>
      <c r="G18" s="4064">
        <v>1.4128143447441424E-6</v>
      </c>
      <c r="H18" s="4064">
        <v>3.5019572999164302E-6</v>
      </c>
      <c r="I18" s="4064">
        <v>3.9371016007193637E-6</v>
      </c>
      <c r="J18" s="4064">
        <v>4.8694358643532263E-6</v>
      </c>
      <c r="K18" s="4064">
        <v>8.5239745790063225E-6</v>
      </c>
      <c r="L18" s="4064">
        <v>1.4331691445815465E-5</v>
      </c>
      <c r="M18" s="4064">
        <v>1.8881593331029871E-5</v>
      </c>
      <c r="N18" s="4064">
        <v>1.9356941613281388E-5</v>
      </c>
      <c r="O18" s="4064">
        <v>1.9708395205607618E-5</v>
      </c>
      <c r="P18" s="4064">
        <v>1.6997205392465632E-5</v>
      </c>
      <c r="Q18" s="4064">
        <v>1.4653075432969966E-5</v>
      </c>
      <c r="R18" s="4064">
        <v>3.1792026882863641E-5</v>
      </c>
      <c r="S18" s="4064">
        <v>1.0085912030617021E-4</v>
      </c>
      <c r="T18" s="4064">
        <v>1.1288330491516992E-4</v>
      </c>
      <c r="U18" s="4064">
        <v>1.2579774697436016E-4</v>
      </c>
      <c r="V18" s="4064">
        <v>1.2741952051547868E-4</v>
      </c>
      <c r="W18" s="4064">
        <v>1.5507322621949082E-4</v>
      </c>
      <c r="X18" s="4064">
        <v>3.4002767032537785E-4</v>
      </c>
      <c r="Y18" s="4064">
        <v>4.5988490439254325E-4</v>
      </c>
      <c r="Z18" s="4064">
        <v>3.1277662797985807E-4</v>
      </c>
      <c r="AA18" s="4064">
        <v>3.5333623858198928E-4</v>
      </c>
      <c r="AB18" s="4064">
        <v>1.085977925640887E-3</v>
      </c>
      <c r="AC18" s="4064">
        <v>1.4676359872572309E-3</v>
      </c>
      <c r="AD18" s="4064">
        <v>1.2925263983728057E-3</v>
      </c>
      <c r="AE18" s="4064">
        <v>1.3498895622026015E-3</v>
      </c>
      <c r="AF18" s="4064">
        <v>1.5804250317938316E-3</v>
      </c>
      <c r="AG18" s="4064">
        <v>1.5778380369077661E-3</v>
      </c>
      <c r="AH18" s="4064">
        <v>1.327348684102706E-3</v>
      </c>
      <c r="AI18" s="4064">
        <v>2.0495385605331928E-3</v>
      </c>
      <c r="AJ18" s="4064">
        <v>1.9761010269859756E-3</v>
      </c>
      <c r="AK18" s="4064">
        <v>1.5506372924072062E-3</v>
      </c>
      <c r="AL18" s="4067">
        <f t="shared" si="4"/>
        <v>290828.69284455717</v>
      </c>
      <c r="AM18" s="721"/>
    </row>
    <row r="19" spans="2:39" ht="18" customHeight="1" x14ac:dyDescent="0.2">
      <c r="B19" s="1414" t="s">
        <v>1929</v>
      </c>
      <c r="C19" s="2027"/>
      <c r="D19" s="2027"/>
      <c r="E19" s="4064">
        <v>0.13505105035151471</v>
      </c>
      <c r="F19" s="4064">
        <v>0.12493456246895908</v>
      </c>
      <c r="G19" s="4064">
        <v>0.12738781691824516</v>
      </c>
      <c r="H19" s="4064">
        <v>0.12034644573221004</v>
      </c>
      <c r="I19" s="4064">
        <v>0.11090245834806337</v>
      </c>
      <c r="J19" s="4064">
        <v>0.11589565993269939</v>
      </c>
      <c r="K19" s="4064">
        <v>0.1007187401614443</v>
      </c>
      <c r="L19" s="4064">
        <v>8.7355211963458634E-2</v>
      </c>
      <c r="M19" s="4064">
        <v>8.5804868475214902E-2</v>
      </c>
      <c r="N19" s="4064">
        <v>9.1886999609383277E-2</v>
      </c>
      <c r="O19" s="4064">
        <v>0.10435183225479387</v>
      </c>
      <c r="P19" s="4064">
        <v>0.10886335170496046</v>
      </c>
      <c r="Q19" s="4064">
        <v>9.8930170270122408E-2</v>
      </c>
      <c r="R19" s="4064">
        <v>8.3224550936443709E-2</v>
      </c>
      <c r="S19" s="4064">
        <v>8.2508188975625743E-2</v>
      </c>
      <c r="T19" s="4064">
        <v>7.8888302520163711E-2</v>
      </c>
      <c r="U19" s="4064">
        <v>8.1041295885702774E-2</v>
      </c>
      <c r="V19" s="4064">
        <v>9.0335781850456098E-2</v>
      </c>
      <c r="W19" s="4064">
        <v>9.1313591484796536E-2</v>
      </c>
      <c r="X19" s="4064">
        <v>9.7238890853944299E-2</v>
      </c>
      <c r="Y19" s="4064">
        <v>0.10452145168399357</v>
      </c>
      <c r="Z19" s="4064">
        <v>8.4534968504135471E-2</v>
      </c>
      <c r="AA19" s="4064">
        <v>0.11427181154932906</v>
      </c>
      <c r="AB19" s="4064">
        <v>0.119701910564657</v>
      </c>
      <c r="AC19" s="4064">
        <v>0.11699645386885826</v>
      </c>
      <c r="AD19" s="4064">
        <v>0.15925535289532261</v>
      </c>
      <c r="AE19" s="4064">
        <v>0.20415426918424809</v>
      </c>
      <c r="AF19" s="4064">
        <v>0.27069273776532987</v>
      </c>
      <c r="AG19" s="4064">
        <v>0.25154797308670884</v>
      </c>
      <c r="AH19" s="4064">
        <v>0.30339463273900252</v>
      </c>
      <c r="AI19" s="4064">
        <v>0.22621969661944646</v>
      </c>
      <c r="AJ19" s="4064">
        <v>0.17557699852636272</v>
      </c>
      <c r="AK19" s="4064">
        <v>0.12521381831698661</v>
      </c>
      <c r="AL19" s="4067">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3.4138016387751899</v>
      </c>
      <c r="F21" s="4070">
        <f t="shared" ref="F21:AJ21" si="7">SUM(F22:F29)</f>
        <v>2.8344205744859212</v>
      </c>
      <c r="G21" s="4070">
        <f t="shared" si="7"/>
        <v>3.7295673250438965</v>
      </c>
      <c r="H21" s="4070">
        <f t="shared" si="7"/>
        <v>4.7166222829485518</v>
      </c>
      <c r="I21" s="4070">
        <f t="shared" si="7"/>
        <v>4.663377070724005</v>
      </c>
      <c r="J21" s="4070">
        <f t="shared" si="7"/>
        <v>4.6579253291241027</v>
      </c>
      <c r="K21" s="4070">
        <f t="shared" si="7"/>
        <v>5.2147619485321925</v>
      </c>
      <c r="L21" s="4070">
        <f t="shared" si="7"/>
        <v>5.3797144649726709</v>
      </c>
      <c r="M21" s="4070">
        <f t="shared" si="7"/>
        <v>5.7119542878577203</v>
      </c>
      <c r="N21" s="4070">
        <f t="shared" si="7"/>
        <v>5.5516658037421696</v>
      </c>
      <c r="O21" s="4070">
        <f t="shared" si="7"/>
        <v>5.8907951458894932</v>
      </c>
      <c r="P21" s="4070">
        <f t="shared" si="7"/>
        <v>7.067590915955825</v>
      </c>
      <c r="Q21" s="4070">
        <f t="shared" si="7"/>
        <v>7.5041150510448231</v>
      </c>
      <c r="R21" s="4070">
        <f t="shared" si="7"/>
        <v>8.4441154890878991</v>
      </c>
      <c r="S21" s="4070">
        <f t="shared" si="7"/>
        <v>8.3566343406258738</v>
      </c>
      <c r="T21" s="4070">
        <f t="shared" si="7"/>
        <v>8.9995835280197927</v>
      </c>
      <c r="U21" s="4070">
        <f t="shared" si="7"/>
        <v>8.8797618051027403</v>
      </c>
      <c r="V21" s="4070">
        <f t="shared" si="7"/>
        <v>9.2731974041721461</v>
      </c>
      <c r="W21" s="4070">
        <f t="shared" si="7"/>
        <v>10.453995265722501</v>
      </c>
      <c r="X21" s="4070">
        <f t="shared" si="7"/>
        <v>10.119455349594617</v>
      </c>
      <c r="Y21" s="4070">
        <f t="shared" si="7"/>
        <v>10.586346782515909</v>
      </c>
      <c r="Z21" s="4070">
        <f t="shared" si="7"/>
        <v>8.6400040049653821</v>
      </c>
      <c r="AA21" s="4070">
        <f t="shared" si="7"/>
        <v>8.1442053829338708</v>
      </c>
      <c r="AB21" s="4070">
        <f t="shared" si="7"/>
        <v>4.9850658574730646</v>
      </c>
      <c r="AC21" s="4070">
        <f t="shared" si="7"/>
        <v>4.7415792911946166</v>
      </c>
      <c r="AD21" s="4070">
        <f t="shared" si="7"/>
        <v>5.2365326693917149</v>
      </c>
      <c r="AE21" s="4070">
        <f t="shared" si="7"/>
        <v>4.7944999637249905</v>
      </c>
      <c r="AF21" s="4070">
        <f t="shared" si="7"/>
        <v>5.1456793172513837</v>
      </c>
      <c r="AG21" s="4070">
        <f t="shared" si="7"/>
        <v>6.1606316530955461</v>
      </c>
      <c r="AH21" s="4070">
        <f t="shared" si="7"/>
        <v>7.5315206750354031</v>
      </c>
      <c r="AI21" s="4070">
        <f t="shared" si="7"/>
        <v>6.5867418416997356</v>
      </c>
      <c r="AJ21" s="4070">
        <f t="shared" si="7"/>
        <v>5.5593193492675885</v>
      </c>
      <c r="AK21" s="4070">
        <f t="shared" ref="AK21" si="8">SUM(AK22:AK29)</f>
        <v>5.6561960624979033</v>
      </c>
      <c r="AL21" s="4067">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64">
        <v>3.33906306</v>
      </c>
      <c r="F23" s="4064">
        <v>2.7620996100000004</v>
      </c>
      <c r="G23" s="4064">
        <v>3.6530679819354845</v>
      </c>
      <c r="H23" s="4064">
        <v>4.6416531664516141</v>
      </c>
      <c r="I23" s="4064">
        <v>4.579991476451613</v>
      </c>
      <c r="J23" s="4064">
        <v>4.5844841264516134</v>
      </c>
      <c r="K23" s="4064">
        <v>5.129786246451614</v>
      </c>
      <c r="L23" s="4064">
        <v>5.2946687564516139</v>
      </c>
      <c r="M23" s="4064">
        <v>5.6305063564516127</v>
      </c>
      <c r="N23" s="4064">
        <v>5.4660888764516145</v>
      </c>
      <c r="O23" s="4064">
        <v>5.8202428264516133</v>
      </c>
      <c r="P23" s="4064">
        <v>6.9890831464516134</v>
      </c>
      <c r="Q23" s="4064">
        <v>7.4275444967741944</v>
      </c>
      <c r="R23" s="4064">
        <v>8.3545076999999992</v>
      </c>
      <c r="S23" s="4064">
        <v>8.2630274300000011</v>
      </c>
      <c r="T23" s="4064">
        <v>8.9261825845359812</v>
      </c>
      <c r="U23" s="4064">
        <v>8.8043569476129075</v>
      </c>
      <c r="V23" s="4064">
        <v>9.1940933223425514</v>
      </c>
      <c r="W23" s="4064">
        <v>10.37614304582757</v>
      </c>
      <c r="X23" s="4064">
        <v>10.056942740141992</v>
      </c>
      <c r="Y23" s="4064">
        <v>10.515402041905819</v>
      </c>
      <c r="Z23" s="4064">
        <v>8.5573786003910044</v>
      </c>
      <c r="AA23" s="4064">
        <v>8.0798403411564426</v>
      </c>
      <c r="AB23" s="4064">
        <v>4.9338356261489773</v>
      </c>
      <c r="AC23" s="4064">
        <v>4.6936928492164975</v>
      </c>
      <c r="AD23" s="4064">
        <v>5.1857166552448222</v>
      </c>
      <c r="AE23" s="4064">
        <v>4.7422822444604096</v>
      </c>
      <c r="AF23" s="4064">
        <v>5.0896642594993731</v>
      </c>
      <c r="AG23" s="4064">
        <v>6.1034972207218603</v>
      </c>
      <c r="AH23" s="4064">
        <v>7.4754004933564833</v>
      </c>
      <c r="AI23" s="4064">
        <v>6.533489044731553</v>
      </c>
      <c r="AJ23" s="4064">
        <v>5.5046915439456097</v>
      </c>
      <c r="AK23" s="4064">
        <v>5.5989217559338895</v>
      </c>
      <c r="AL23" s="4067">
        <f t="shared" si="4"/>
        <v>67.67942549530315</v>
      </c>
      <c r="AM23" s="19"/>
    </row>
    <row r="24" spans="2:39" ht="18" customHeight="1" x14ac:dyDescent="0.2">
      <c r="B24" s="1129" t="s">
        <v>637</v>
      </c>
      <c r="C24" s="2027"/>
      <c r="D24" s="2027"/>
      <c r="E24" s="4064">
        <v>7.4738578775190162E-2</v>
      </c>
      <c r="F24" s="4064">
        <v>7.2320964485920639E-2</v>
      </c>
      <c r="G24" s="4064">
        <v>7.6499343108412055E-2</v>
      </c>
      <c r="H24" s="4064">
        <v>7.4969116496937285E-2</v>
      </c>
      <c r="I24" s="4064">
        <v>8.3385594272391797E-2</v>
      </c>
      <c r="J24" s="4064">
        <v>7.3441202672488951E-2</v>
      </c>
      <c r="K24" s="4064">
        <v>8.4975702080578197E-2</v>
      </c>
      <c r="L24" s="4064">
        <v>8.5045708521057403E-2</v>
      </c>
      <c r="M24" s="4064">
        <v>8.1447931406107357E-2</v>
      </c>
      <c r="N24" s="4064">
        <v>8.5576927290555119E-2</v>
      </c>
      <c r="O24" s="4064">
        <v>7.0552319437879721E-2</v>
      </c>
      <c r="P24" s="4064">
        <v>7.8507769504211886E-2</v>
      </c>
      <c r="Q24" s="4064">
        <v>7.6570554270628907E-2</v>
      </c>
      <c r="R24" s="4064">
        <v>8.9607789087900541E-2</v>
      </c>
      <c r="S24" s="4064">
        <v>9.3606910625872897E-2</v>
      </c>
      <c r="T24" s="4064">
        <v>7.3400943483812209E-2</v>
      </c>
      <c r="U24" s="4064">
        <v>7.5404857489833013E-2</v>
      </c>
      <c r="V24" s="4064">
        <v>7.9104081829594969E-2</v>
      </c>
      <c r="W24" s="4064">
        <v>7.78522198949302E-2</v>
      </c>
      <c r="X24" s="4064">
        <v>6.2512609452625476E-2</v>
      </c>
      <c r="Y24" s="4064">
        <v>7.0944740610090012E-2</v>
      </c>
      <c r="Z24" s="4064">
        <v>8.2625404574377156E-2</v>
      </c>
      <c r="AA24" s="4064">
        <v>6.4365041777428564E-2</v>
      </c>
      <c r="AB24" s="4064">
        <v>5.1230231324087425E-2</v>
      </c>
      <c r="AC24" s="4064">
        <v>4.7886441978119261E-2</v>
      </c>
      <c r="AD24" s="4064">
        <v>5.0816014146892859E-2</v>
      </c>
      <c r="AE24" s="4064">
        <v>5.2217719264580575E-2</v>
      </c>
      <c r="AF24" s="4064">
        <v>5.6015057752010815E-2</v>
      </c>
      <c r="AG24" s="4064">
        <v>5.7134432373685706E-2</v>
      </c>
      <c r="AH24" s="4064">
        <v>5.6120181678920168E-2</v>
      </c>
      <c r="AI24" s="4064">
        <v>5.3252796968182657E-2</v>
      </c>
      <c r="AJ24" s="4064">
        <v>5.4627805321978577E-2</v>
      </c>
      <c r="AK24" s="4064">
        <v>5.7274306564013576E-2</v>
      </c>
      <c r="AL24" s="4067">
        <f t="shared" si="4"/>
        <v>-23.367145184427756</v>
      </c>
      <c r="AM24" s="19"/>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080" t="str">
        <f t="shared" si="4"/>
        <v>NA</v>
      </c>
      <c r="AM25" s="19"/>
    </row>
    <row r="26" spans="2:39" ht="18" customHeight="1" x14ac:dyDescent="0.2">
      <c r="B26" s="1129" t="s">
        <v>1934</v>
      </c>
      <c r="C26" s="2027"/>
      <c r="D26" s="2027"/>
      <c r="E26" s="4073" t="s">
        <v>199</v>
      </c>
      <c r="F26" s="4073" t="s">
        <v>199</v>
      </c>
      <c r="G26" s="4074" t="s">
        <v>199</v>
      </c>
      <c r="H26" s="4074" t="s">
        <v>199</v>
      </c>
      <c r="I26" s="4074" t="s">
        <v>199</v>
      </c>
      <c r="J26" s="4074" t="s">
        <v>199</v>
      </c>
      <c r="K26" s="4074" t="s">
        <v>199</v>
      </c>
      <c r="L26" s="4074" t="s">
        <v>199</v>
      </c>
      <c r="M26" s="4074" t="s">
        <v>199</v>
      </c>
      <c r="N26" s="4074" t="s">
        <v>199</v>
      </c>
      <c r="O26" s="4074" t="s">
        <v>199</v>
      </c>
      <c r="P26" s="4074" t="s">
        <v>199</v>
      </c>
      <c r="Q26" s="4074" t="s">
        <v>199</v>
      </c>
      <c r="R26" s="4074" t="s">
        <v>199</v>
      </c>
      <c r="S26" s="4074" t="s">
        <v>199</v>
      </c>
      <c r="T26" s="4074" t="s">
        <v>199</v>
      </c>
      <c r="U26" s="4074" t="s">
        <v>199</v>
      </c>
      <c r="V26" s="4074" t="s">
        <v>199</v>
      </c>
      <c r="W26" s="4074" t="s">
        <v>199</v>
      </c>
      <c r="X26" s="4074" t="s">
        <v>199</v>
      </c>
      <c r="Y26" s="4074" t="s">
        <v>199</v>
      </c>
      <c r="Z26" s="4074" t="s">
        <v>199</v>
      </c>
      <c r="AA26" s="4074" t="s">
        <v>199</v>
      </c>
      <c r="AB26" s="4074" t="s">
        <v>199</v>
      </c>
      <c r="AC26" s="4074" t="s">
        <v>199</v>
      </c>
      <c r="AD26" s="4074" t="s">
        <v>199</v>
      </c>
      <c r="AE26" s="4074" t="s">
        <v>199</v>
      </c>
      <c r="AF26" s="4074" t="s">
        <v>199</v>
      </c>
      <c r="AG26" s="4074" t="s">
        <v>199</v>
      </c>
      <c r="AH26" s="4074" t="s">
        <v>199</v>
      </c>
      <c r="AI26" s="4074" t="s">
        <v>199</v>
      </c>
      <c r="AJ26" s="4074" t="s">
        <v>199</v>
      </c>
      <c r="AK26" s="4074" t="s">
        <v>199</v>
      </c>
      <c r="AL26" s="4080" t="str">
        <f t="shared" si="4"/>
        <v>NA</v>
      </c>
      <c r="AM26" s="19"/>
    </row>
    <row r="27" spans="2:39" ht="18" customHeight="1" x14ac:dyDescent="0.2">
      <c r="B27" s="1129" t="s">
        <v>1935</v>
      </c>
      <c r="C27" s="346"/>
      <c r="D27" s="346"/>
      <c r="E27" s="4075"/>
      <c r="F27" s="4075"/>
      <c r="G27" s="4076"/>
      <c r="H27" s="4076"/>
      <c r="I27" s="4076"/>
      <c r="J27" s="4076"/>
      <c r="K27" s="4076"/>
      <c r="L27" s="4076"/>
      <c r="M27" s="4076"/>
      <c r="N27" s="4076"/>
      <c r="O27" s="4076"/>
      <c r="P27" s="4076"/>
      <c r="Q27" s="4076"/>
      <c r="R27" s="4076"/>
      <c r="S27" s="4076"/>
      <c r="T27" s="4076"/>
      <c r="U27" s="4076"/>
      <c r="V27" s="4076"/>
      <c r="W27" s="4076"/>
      <c r="X27" s="4076"/>
      <c r="Y27" s="4076"/>
      <c r="Z27" s="4076"/>
      <c r="AA27" s="4076"/>
      <c r="AB27" s="4076"/>
      <c r="AC27" s="4076"/>
      <c r="AD27" s="4076"/>
      <c r="AE27" s="4076"/>
      <c r="AF27" s="4076"/>
      <c r="AG27" s="4076"/>
      <c r="AH27" s="4076"/>
      <c r="AI27" s="4076"/>
      <c r="AJ27" s="4076"/>
      <c r="AK27" s="4076"/>
      <c r="AL27" s="4076"/>
      <c r="AM27" s="19"/>
    </row>
    <row r="28" spans="2:39" ht="18" customHeight="1" x14ac:dyDescent="0.2">
      <c r="B28" s="1129" t="s">
        <v>662</v>
      </c>
      <c r="C28" s="2027"/>
      <c r="D28" s="2027"/>
      <c r="E28" s="4073" t="s">
        <v>274</v>
      </c>
      <c r="F28" s="4073" t="s">
        <v>274</v>
      </c>
      <c r="G28" s="4073" t="s">
        <v>274</v>
      </c>
      <c r="H28" s="4073" t="s">
        <v>274</v>
      </c>
      <c r="I28" s="4073" t="s">
        <v>274</v>
      </c>
      <c r="J28" s="4073" t="s">
        <v>274</v>
      </c>
      <c r="K28" s="4073" t="s">
        <v>274</v>
      </c>
      <c r="L28" s="4073" t="s">
        <v>274</v>
      </c>
      <c r="M28" s="4073" t="s">
        <v>274</v>
      </c>
      <c r="N28" s="4073" t="s">
        <v>274</v>
      </c>
      <c r="O28" s="4073" t="s">
        <v>274</v>
      </c>
      <c r="P28" s="4073" t="s">
        <v>274</v>
      </c>
      <c r="Q28" s="4073" t="s">
        <v>274</v>
      </c>
      <c r="R28" s="4073" t="s">
        <v>274</v>
      </c>
      <c r="S28" s="4073" t="s">
        <v>274</v>
      </c>
      <c r="T28" s="4073" t="s">
        <v>274</v>
      </c>
      <c r="U28" s="4073" t="s">
        <v>274</v>
      </c>
      <c r="V28" s="4073" t="s">
        <v>274</v>
      </c>
      <c r="W28" s="4073" t="s">
        <v>274</v>
      </c>
      <c r="X28" s="4073" t="s">
        <v>274</v>
      </c>
      <c r="Y28" s="4073" t="s">
        <v>274</v>
      </c>
      <c r="Z28" s="4073" t="s">
        <v>274</v>
      </c>
      <c r="AA28" s="4073" t="s">
        <v>274</v>
      </c>
      <c r="AB28" s="4073" t="s">
        <v>274</v>
      </c>
      <c r="AC28" s="4073" t="s">
        <v>274</v>
      </c>
      <c r="AD28" s="4073" t="s">
        <v>274</v>
      </c>
      <c r="AE28" s="4073" t="s">
        <v>274</v>
      </c>
      <c r="AF28" s="4073" t="s">
        <v>274</v>
      </c>
      <c r="AG28" s="4073" t="s">
        <v>274</v>
      </c>
      <c r="AH28" s="4073" t="s">
        <v>274</v>
      </c>
      <c r="AI28" s="4073" t="s">
        <v>274</v>
      </c>
      <c r="AJ28" s="4073" t="s">
        <v>274</v>
      </c>
      <c r="AK28" s="4073" t="s">
        <v>274</v>
      </c>
      <c r="AL28" s="4080" t="s">
        <v>205</v>
      </c>
      <c r="AM28" s="19"/>
    </row>
    <row r="29" spans="2:39" ht="18" customHeight="1" thickBot="1" x14ac:dyDescent="0.25">
      <c r="B29" s="1374" t="s">
        <v>2380</v>
      </c>
      <c r="C29" s="2043"/>
      <c r="D29" s="2043"/>
      <c r="E29" s="4077" t="s">
        <v>199</v>
      </c>
      <c r="F29" s="4077" t="s">
        <v>199</v>
      </c>
      <c r="G29" s="4078" t="s">
        <v>199</v>
      </c>
      <c r="H29" s="4078" t="s">
        <v>199</v>
      </c>
      <c r="I29" s="4078" t="s">
        <v>199</v>
      </c>
      <c r="J29" s="4078" t="s">
        <v>199</v>
      </c>
      <c r="K29" s="4078" t="s">
        <v>199</v>
      </c>
      <c r="L29" s="4078" t="s">
        <v>199</v>
      </c>
      <c r="M29" s="4078" t="s">
        <v>199</v>
      </c>
      <c r="N29" s="4078" t="s">
        <v>199</v>
      </c>
      <c r="O29" s="4078" t="s">
        <v>199</v>
      </c>
      <c r="P29" s="4078" t="s">
        <v>199</v>
      </c>
      <c r="Q29" s="4078" t="s">
        <v>199</v>
      </c>
      <c r="R29" s="4078" t="s">
        <v>199</v>
      </c>
      <c r="S29" s="4078" t="s">
        <v>199</v>
      </c>
      <c r="T29" s="4078" t="s">
        <v>199</v>
      </c>
      <c r="U29" s="4078" t="s">
        <v>199</v>
      </c>
      <c r="V29" s="4078" t="s">
        <v>199</v>
      </c>
      <c r="W29" s="4078" t="s">
        <v>199</v>
      </c>
      <c r="X29" s="4078" t="s">
        <v>199</v>
      </c>
      <c r="Y29" s="4078" t="s">
        <v>199</v>
      </c>
      <c r="Z29" s="4078" t="s">
        <v>199</v>
      </c>
      <c r="AA29" s="4078" t="s">
        <v>199</v>
      </c>
      <c r="AB29" s="4078" t="s">
        <v>199</v>
      </c>
      <c r="AC29" s="4078" t="s">
        <v>199</v>
      </c>
      <c r="AD29" s="4078" t="s">
        <v>199</v>
      </c>
      <c r="AE29" s="4078" t="s">
        <v>199</v>
      </c>
      <c r="AF29" s="4078" t="s">
        <v>199</v>
      </c>
      <c r="AG29" s="4078" t="s">
        <v>199</v>
      </c>
      <c r="AH29" s="4078" t="s">
        <v>199</v>
      </c>
      <c r="AI29" s="4078" t="s">
        <v>199</v>
      </c>
      <c r="AJ29" s="4078" t="s">
        <v>199</v>
      </c>
      <c r="AK29" s="4078" t="s">
        <v>199</v>
      </c>
      <c r="AL29" s="4086" t="str">
        <f t="shared" si="4"/>
        <v>NA</v>
      </c>
      <c r="AM29" s="19"/>
    </row>
    <row r="30" spans="2:39" ht="18" customHeight="1" x14ac:dyDescent="0.2">
      <c r="B30" s="773" t="s">
        <v>1937</v>
      </c>
      <c r="C30" s="2029"/>
      <c r="D30" s="2029"/>
      <c r="E30" s="4070">
        <f>SUM(E31:E40)</f>
        <v>39.414720273129603</v>
      </c>
      <c r="F30" s="4070">
        <f t="shared" ref="F30:AJ30" si="9">SUM(F31:F40)</f>
        <v>38.888468938179926</v>
      </c>
      <c r="G30" s="4070">
        <f t="shared" si="9"/>
        <v>37.648766154949847</v>
      </c>
      <c r="H30" s="4070">
        <f t="shared" si="9"/>
        <v>36.965503568442976</v>
      </c>
      <c r="I30" s="4070">
        <f t="shared" si="9"/>
        <v>37.76380083612252</v>
      </c>
      <c r="J30" s="4070">
        <f t="shared" si="9"/>
        <v>35.405787879213577</v>
      </c>
      <c r="K30" s="4070">
        <f t="shared" si="9"/>
        <v>37.518517582348075</v>
      </c>
      <c r="L30" s="4070">
        <f t="shared" si="9"/>
        <v>38.753188280834244</v>
      </c>
      <c r="M30" s="4070">
        <f t="shared" si="9"/>
        <v>38.91366099284096</v>
      </c>
      <c r="N30" s="4070">
        <f t="shared" si="9"/>
        <v>40.146449942122651</v>
      </c>
      <c r="O30" s="4070">
        <f t="shared" si="9"/>
        <v>42.481554881869222</v>
      </c>
      <c r="P30" s="4070">
        <f t="shared" si="9"/>
        <v>42.172811917657</v>
      </c>
      <c r="Q30" s="4070">
        <f t="shared" si="9"/>
        <v>42.359806041303486</v>
      </c>
      <c r="R30" s="4070">
        <f t="shared" si="9"/>
        <v>38.438267859728221</v>
      </c>
      <c r="S30" s="4070">
        <f t="shared" si="9"/>
        <v>41.991446828620823</v>
      </c>
      <c r="T30" s="4070">
        <f t="shared" si="9"/>
        <v>41.658404658648649</v>
      </c>
      <c r="U30" s="4070">
        <f t="shared" si="9"/>
        <v>40.948741929246623</v>
      </c>
      <c r="V30" s="4070">
        <f t="shared" si="9"/>
        <v>36.776579359602188</v>
      </c>
      <c r="W30" s="4070">
        <f t="shared" si="9"/>
        <v>35.59747885464504</v>
      </c>
      <c r="X30" s="4070">
        <f t="shared" si="9"/>
        <v>36.694517195846181</v>
      </c>
      <c r="Y30" s="4070">
        <f t="shared" si="9"/>
        <v>36.480355187636228</v>
      </c>
      <c r="Z30" s="4070">
        <f t="shared" si="9"/>
        <v>39.943076959697891</v>
      </c>
      <c r="AA30" s="4070">
        <f t="shared" si="9"/>
        <v>40.636963670468305</v>
      </c>
      <c r="AB30" s="4070">
        <f t="shared" si="9"/>
        <v>40.712124607374015</v>
      </c>
      <c r="AC30" s="4070">
        <f t="shared" si="9"/>
        <v>42.659370986910581</v>
      </c>
      <c r="AD30" s="4070">
        <f t="shared" si="9"/>
        <v>41.268563035393711</v>
      </c>
      <c r="AE30" s="4070">
        <f t="shared" si="9"/>
        <v>41.887737174052766</v>
      </c>
      <c r="AF30" s="4070">
        <f t="shared" si="9"/>
        <v>45.346916530783282</v>
      </c>
      <c r="AG30" s="4070">
        <f t="shared" si="9"/>
        <v>42.404328438113609</v>
      </c>
      <c r="AH30" s="4070">
        <f t="shared" si="9"/>
        <v>39.497358895608237</v>
      </c>
      <c r="AI30" s="4070">
        <f t="shared" si="9"/>
        <v>40.083676874785645</v>
      </c>
      <c r="AJ30" s="4070">
        <f t="shared" si="9"/>
        <v>45.871067593386478</v>
      </c>
      <c r="AK30" s="4070">
        <f t="shared" ref="AK30" si="10">SUM(AK31:AK40)</f>
        <v>46.800390973997203</v>
      </c>
      <c r="AL30" s="4067">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64">
        <v>0.93246402239747295</v>
      </c>
      <c r="F32" s="4064">
        <v>0.941740524859082</v>
      </c>
      <c r="G32" s="4064">
        <v>0.97919097744706762</v>
      </c>
      <c r="H32" s="4064">
        <v>1.0056892396421921</v>
      </c>
      <c r="I32" s="4064">
        <v>1.070891591631705</v>
      </c>
      <c r="J32" s="4064">
        <v>1.142860611820981</v>
      </c>
      <c r="K32" s="4064">
        <v>1.1327723700593442</v>
      </c>
      <c r="L32" s="4064">
        <v>1.1237627605458389</v>
      </c>
      <c r="M32" s="4064">
        <v>1.2207543789843476</v>
      </c>
      <c r="N32" s="4064">
        <v>1.2903705071755349</v>
      </c>
      <c r="O32" s="4064">
        <v>1.532833519110911</v>
      </c>
      <c r="P32" s="4064">
        <v>1.6706660164138651</v>
      </c>
      <c r="Q32" s="4064">
        <v>1.7533567489635473</v>
      </c>
      <c r="R32" s="4064">
        <v>1.7304958820317204</v>
      </c>
      <c r="S32" s="4064">
        <v>1.7014330780372773</v>
      </c>
      <c r="T32" s="4064">
        <v>1.9456860251468422</v>
      </c>
      <c r="U32" s="4064">
        <v>2.0165502541686724</v>
      </c>
      <c r="V32" s="4064">
        <v>2.0342399420231261</v>
      </c>
      <c r="W32" s="4064">
        <v>1.7337355145574289</v>
      </c>
      <c r="X32" s="4064">
        <v>1.7439196949091933</v>
      </c>
      <c r="Y32" s="4064">
        <v>1.7436204481604911</v>
      </c>
      <c r="Z32" s="4064">
        <v>1.8551630777807968</v>
      </c>
      <c r="AA32" s="4064">
        <v>1.8459116884230853</v>
      </c>
      <c r="AB32" s="4064">
        <v>1.8689614980946547</v>
      </c>
      <c r="AC32" s="4064">
        <v>1.926857197729944</v>
      </c>
      <c r="AD32" s="4064">
        <v>2.1376164264601694</v>
      </c>
      <c r="AE32" s="4064">
        <v>2.1584164942452144</v>
      </c>
      <c r="AF32" s="4064">
        <v>2.1922358080843889</v>
      </c>
      <c r="AG32" s="4064">
        <v>2.283554395553018</v>
      </c>
      <c r="AH32" s="4064">
        <v>2.3463281826165221</v>
      </c>
      <c r="AI32" s="4064">
        <v>2.3744228304840567</v>
      </c>
      <c r="AJ32" s="4064">
        <v>2.38763395837513</v>
      </c>
      <c r="AK32" s="4064">
        <v>2.5311560585596493</v>
      </c>
      <c r="AL32" s="4067">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64">
        <v>38.016142312210725</v>
      </c>
      <c r="F34" s="4064">
        <v>37.486452732198735</v>
      </c>
      <c r="G34" s="4064">
        <v>36.232235923105605</v>
      </c>
      <c r="H34" s="4064">
        <v>35.440970172538862</v>
      </c>
      <c r="I34" s="4064">
        <v>36.095734283562088</v>
      </c>
      <c r="J34" s="4064">
        <v>33.921080540622995</v>
      </c>
      <c r="K34" s="4064">
        <v>35.854031205145553</v>
      </c>
      <c r="L34" s="4064">
        <v>36.985622270477037</v>
      </c>
      <c r="M34" s="4064">
        <v>37.110147310601832</v>
      </c>
      <c r="N34" s="4064">
        <v>38.215459374253022</v>
      </c>
      <c r="O34" s="4064">
        <v>40.379758386734295</v>
      </c>
      <c r="P34" s="4064">
        <v>39.929785395045521</v>
      </c>
      <c r="Q34" s="4064">
        <v>40.015424566359563</v>
      </c>
      <c r="R34" s="4064">
        <v>36.435684135380257</v>
      </c>
      <c r="S34" s="4064">
        <v>39.722010195469707</v>
      </c>
      <c r="T34" s="4064">
        <v>39.341408594679962</v>
      </c>
      <c r="U34" s="4064">
        <v>38.457687047803994</v>
      </c>
      <c r="V34" s="4064">
        <v>34.542725488137798</v>
      </c>
      <c r="W34" s="4064">
        <v>33.600715430923124</v>
      </c>
      <c r="X34" s="4064">
        <v>34.626501267459403</v>
      </c>
      <c r="Y34" s="4064">
        <v>34.45543599446394</v>
      </c>
      <c r="Z34" s="4064">
        <v>37.671868714289943</v>
      </c>
      <c r="AA34" s="4064">
        <v>38.366552823415994</v>
      </c>
      <c r="AB34" s="4064">
        <v>38.437254657764143</v>
      </c>
      <c r="AC34" s="4064">
        <v>40.360394416752868</v>
      </c>
      <c r="AD34" s="4064">
        <v>38.776313600537634</v>
      </c>
      <c r="AE34" s="4064">
        <v>39.410248029126194</v>
      </c>
      <c r="AF34" s="4064">
        <v>42.624967909636766</v>
      </c>
      <c r="AG34" s="4064">
        <v>39.751613856137588</v>
      </c>
      <c r="AH34" s="4064">
        <v>36.923936082223392</v>
      </c>
      <c r="AI34" s="4064">
        <v>37.468465987236442</v>
      </c>
      <c r="AJ34" s="4064">
        <v>42.970834146284126</v>
      </c>
      <c r="AK34" s="4064">
        <v>43.716001525656779</v>
      </c>
      <c r="AL34" s="4067">
        <f t="shared" si="4"/>
        <v>14.993260406685891</v>
      </c>
      <c r="AM34" s="721"/>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721"/>
    </row>
    <row r="36" spans="2:39" ht="18" customHeight="1" x14ac:dyDescent="0.2">
      <c r="B36" s="1131" t="s">
        <v>1943</v>
      </c>
      <c r="C36" s="2027"/>
      <c r="D36" s="2027"/>
      <c r="E36" s="4064">
        <v>0.4661139385214037</v>
      </c>
      <c r="F36" s="4064">
        <v>0.46027568112210543</v>
      </c>
      <c r="G36" s="4064">
        <v>0.43733925439717408</v>
      </c>
      <c r="H36" s="4064">
        <v>0.51884415626192171</v>
      </c>
      <c r="I36" s="4064">
        <v>0.59717496092872757</v>
      </c>
      <c r="J36" s="4064">
        <v>0.34184672676960454</v>
      </c>
      <c r="K36" s="4064">
        <v>0.53171400714317996</v>
      </c>
      <c r="L36" s="4064">
        <v>0.6438032498113726</v>
      </c>
      <c r="M36" s="4064">
        <v>0.58275930325478098</v>
      </c>
      <c r="N36" s="4064">
        <v>0.6406200606940875</v>
      </c>
      <c r="O36" s="4064">
        <v>0.56896297602401846</v>
      </c>
      <c r="P36" s="4064">
        <v>0.57236050619761281</v>
      </c>
      <c r="Q36" s="4064">
        <v>0.59102472598037303</v>
      </c>
      <c r="R36" s="4064">
        <v>0.27208784231624822</v>
      </c>
      <c r="S36" s="4064">
        <v>0.56800355511383671</v>
      </c>
      <c r="T36" s="4064">
        <v>0.37131003882184332</v>
      </c>
      <c r="U36" s="4064">
        <v>0.47450462727395798</v>
      </c>
      <c r="V36" s="4064">
        <v>0.19961392944126016</v>
      </c>
      <c r="W36" s="4064">
        <v>0.26302790916448576</v>
      </c>
      <c r="X36" s="4064">
        <v>0.32409623347758237</v>
      </c>
      <c r="Y36" s="4064">
        <v>0.28129874501179614</v>
      </c>
      <c r="Z36" s="4064">
        <v>0.41604516762715543</v>
      </c>
      <c r="AA36" s="4064">
        <v>0.42449915862922627</v>
      </c>
      <c r="AB36" s="4064">
        <v>0.40590845151521499</v>
      </c>
      <c r="AC36" s="4064">
        <v>0.37211937242776477</v>
      </c>
      <c r="AD36" s="4064">
        <v>0.35463300839590872</v>
      </c>
      <c r="AE36" s="4064">
        <v>0.31907265068135793</v>
      </c>
      <c r="AF36" s="4064">
        <v>0.52971281306212881</v>
      </c>
      <c r="AG36" s="4064">
        <v>0.36916018642300474</v>
      </c>
      <c r="AH36" s="4064">
        <v>0.22709463076832143</v>
      </c>
      <c r="AI36" s="4064">
        <v>0.24078805706514347</v>
      </c>
      <c r="AJ36" s="4064">
        <v>0.51259948872721606</v>
      </c>
      <c r="AK36" s="4064">
        <v>0.55323338978076964</v>
      </c>
      <c r="AL36" s="4067">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6" t="s">
        <v>205</v>
      </c>
      <c r="AM40" s="721"/>
    </row>
    <row r="41" spans="2:39" ht="18" customHeight="1" x14ac:dyDescent="0.2">
      <c r="B41" s="773" t="s">
        <v>2381</v>
      </c>
      <c r="C41" s="2029"/>
      <c r="D41" s="2029"/>
      <c r="E41" s="4070">
        <f>SUM(E42:E49)</f>
        <v>16.188041506546814</v>
      </c>
      <c r="F41" s="4070">
        <f t="shared" ref="F41:AJ41" si="11">SUM(F42:F49)</f>
        <v>15.518014420853294</v>
      </c>
      <c r="G41" s="4070">
        <f t="shared" si="11"/>
        <v>14.216676857085792</v>
      </c>
      <c r="H41" s="4070">
        <f t="shared" si="11"/>
        <v>13.650454995143942</v>
      </c>
      <c r="I41" s="4070">
        <f t="shared" si="11"/>
        <v>13.74554683388112</v>
      </c>
      <c r="J41" s="4070">
        <f t="shared" si="11"/>
        <v>13.838487684118176</v>
      </c>
      <c r="K41" s="4070">
        <f t="shared" si="11"/>
        <v>14.437659890380543</v>
      </c>
      <c r="L41" s="4070">
        <f t="shared" si="11"/>
        <v>14.446979675196145</v>
      </c>
      <c r="M41" s="4070">
        <f t="shared" si="11"/>
        <v>15.166134311107724</v>
      </c>
      <c r="N41" s="4070">
        <f t="shared" si="11"/>
        <v>16.391874295412933</v>
      </c>
      <c r="O41" s="4070">
        <f t="shared" si="11"/>
        <v>17.873639963713792</v>
      </c>
      <c r="P41" s="4070">
        <f t="shared" si="11"/>
        <v>17.3793918160112</v>
      </c>
      <c r="Q41" s="4070">
        <f t="shared" si="11"/>
        <v>17.631877786215885</v>
      </c>
      <c r="R41" s="4070">
        <f t="shared" si="11"/>
        <v>18.448074918192379</v>
      </c>
      <c r="S41" s="4070">
        <f t="shared" si="11"/>
        <v>15.762319511609135</v>
      </c>
      <c r="T41" s="4070">
        <f t="shared" si="11"/>
        <v>16.714635398183244</v>
      </c>
      <c r="U41" s="4070">
        <f t="shared" si="11"/>
        <v>17.795434673715192</v>
      </c>
      <c r="V41" s="4070">
        <f t="shared" si="11"/>
        <v>18.44737249314203</v>
      </c>
      <c r="W41" s="4070">
        <f t="shared" si="11"/>
        <v>16.771405753662368</v>
      </c>
      <c r="X41" s="4070">
        <f t="shared" si="11"/>
        <v>17.694926063970804</v>
      </c>
      <c r="Y41" s="4070">
        <f t="shared" si="11"/>
        <v>18.766871355188027</v>
      </c>
      <c r="Z41" s="4070">
        <f t="shared" si="11"/>
        <v>18.854301795019605</v>
      </c>
      <c r="AA41" s="4070">
        <f t="shared" si="11"/>
        <v>17.586958456497957</v>
      </c>
      <c r="AB41" s="4070">
        <f t="shared" si="11"/>
        <v>17.854021460365434</v>
      </c>
      <c r="AC41" s="4070">
        <f t="shared" si="11"/>
        <v>17.694410367499898</v>
      </c>
      <c r="AD41" s="4070">
        <f t="shared" si="11"/>
        <v>16.370065380402544</v>
      </c>
      <c r="AE41" s="4070">
        <f t="shared" si="11"/>
        <v>15.280550019142892</v>
      </c>
      <c r="AF41" s="4070">
        <f t="shared" si="11"/>
        <v>15.258540839194911</v>
      </c>
      <c r="AG41" s="4070">
        <f t="shared" si="11"/>
        <v>13.952167136132866</v>
      </c>
      <c r="AH41" s="4070">
        <f t="shared" si="11"/>
        <v>13.071987665130774</v>
      </c>
      <c r="AI41" s="4070">
        <f t="shared" si="11"/>
        <v>12.599288192913251</v>
      </c>
      <c r="AJ41" s="4070">
        <f t="shared" si="11"/>
        <v>11.977137436929262</v>
      </c>
      <c r="AK41" s="4070">
        <f t="shared" ref="AK41" si="12">SUM(AK42:AK49)</f>
        <v>12.631438729927522</v>
      </c>
      <c r="AL41" s="4067">
        <f t="shared" si="4"/>
        <v>-21.970556321967166</v>
      </c>
      <c r="AM41" s="721"/>
    </row>
    <row r="42" spans="2:39" ht="18" customHeight="1" x14ac:dyDescent="0.2">
      <c r="B42" s="1131" t="s">
        <v>1252</v>
      </c>
      <c r="C42" s="2027"/>
      <c r="D42" s="2027"/>
      <c r="E42" s="4064">
        <v>4.975550062691009</v>
      </c>
      <c r="F42" s="4064">
        <v>5.2593458587398763</v>
      </c>
      <c r="G42" s="4064">
        <v>5.2341726566746889</v>
      </c>
      <c r="H42" s="4064">
        <v>5.0870784699875129</v>
      </c>
      <c r="I42" s="4064">
        <v>4.9218289166029292</v>
      </c>
      <c r="J42" s="4064">
        <v>4.7884115704228298</v>
      </c>
      <c r="K42" s="4064">
        <v>4.842908092763242</v>
      </c>
      <c r="L42" s="4064">
        <v>4.6070512651177893</v>
      </c>
      <c r="M42" s="4064">
        <v>4.6693390431634496</v>
      </c>
      <c r="N42" s="4064">
        <v>4.9715682304449844</v>
      </c>
      <c r="O42" s="4064">
        <v>5.3366821059068723</v>
      </c>
      <c r="P42" s="4064">
        <v>5.113553045208084</v>
      </c>
      <c r="Q42" s="4064">
        <v>5.3169198751224496</v>
      </c>
      <c r="R42" s="4064">
        <v>5.3542815311925009</v>
      </c>
      <c r="S42" s="4064">
        <v>5.0242454107283372</v>
      </c>
      <c r="T42" s="4064">
        <v>5.0027215307335826</v>
      </c>
      <c r="U42" s="4064">
        <v>5.1629339198005972</v>
      </c>
      <c r="V42" s="4064">
        <v>5.4116143689676202</v>
      </c>
      <c r="W42" s="4064">
        <v>6.0534212523612299</v>
      </c>
      <c r="X42" s="4064">
        <v>6.5679889582306252</v>
      </c>
      <c r="Y42" s="4064">
        <v>7.2745159490588609</v>
      </c>
      <c r="Z42" s="4064">
        <v>7.6715342526016892</v>
      </c>
      <c r="AA42" s="4064">
        <v>7.1441135216735709</v>
      </c>
      <c r="AB42" s="4064">
        <v>6.977533188865638</v>
      </c>
      <c r="AC42" s="4064">
        <v>6.3078997257968679</v>
      </c>
      <c r="AD42" s="4064">
        <v>6.1374912363665066</v>
      </c>
      <c r="AE42" s="4064">
        <v>5.6281554368031035</v>
      </c>
      <c r="AF42" s="4064">
        <v>5.4525003881280947</v>
      </c>
      <c r="AG42" s="4064">
        <v>4.964058975413443</v>
      </c>
      <c r="AH42" s="4064">
        <v>4.9559777685075073</v>
      </c>
      <c r="AI42" s="4064">
        <v>4.7412097999105711</v>
      </c>
      <c r="AJ42" s="4064">
        <v>4.9259347761379821</v>
      </c>
      <c r="AK42" s="4064">
        <v>5.7395038109123453</v>
      </c>
      <c r="AL42" s="4067">
        <f t="shared" si="4"/>
        <v>15.354156597675853</v>
      </c>
      <c r="AM42" s="721"/>
    </row>
    <row r="43" spans="2:39" ht="18" customHeight="1" x14ac:dyDescent="0.2">
      <c r="B43" s="1131" t="s">
        <v>1255</v>
      </c>
      <c r="C43" s="2027"/>
      <c r="D43" s="2027"/>
      <c r="E43" s="4064">
        <v>0.52541536381525189</v>
      </c>
      <c r="F43" s="4064">
        <v>0.48927027215859376</v>
      </c>
      <c r="G43" s="4064">
        <v>0.32064765050895638</v>
      </c>
      <c r="H43" s="4064">
        <v>0.22577824721450362</v>
      </c>
      <c r="I43" s="4064">
        <v>0.21000759328491775</v>
      </c>
      <c r="J43" s="4064">
        <v>0.2566623766512659</v>
      </c>
      <c r="K43" s="4064">
        <v>0.19466647155727571</v>
      </c>
      <c r="L43" s="4064">
        <v>0.1915128785084724</v>
      </c>
      <c r="M43" s="4064">
        <v>0.22457109514051338</v>
      </c>
      <c r="N43" s="4064">
        <v>0.20268704492466819</v>
      </c>
      <c r="O43" s="4064">
        <v>0.14234949881780573</v>
      </c>
      <c r="P43" s="4064">
        <v>0.1650321490341943</v>
      </c>
      <c r="Q43" s="4064">
        <v>0.17217396311206129</v>
      </c>
      <c r="R43" s="4064">
        <v>0.20905134184610297</v>
      </c>
      <c r="S43" s="4064">
        <v>0.15377267478272216</v>
      </c>
      <c r="T43" s="4064">
        <v>0.22951139348824476</v>
      </c>
      <c r="U43" s="4064">
        <v>0.1166791453199196</v>
      </c>
      <c r="V43" s="4064">
        <v>0.22167883968747498</v>
      </c>
      <c r="W43" s="4064">
        <v>0.1480912439442027</v>
      </c>
      <c r="X43" s="4064">
        <v>0.13435901649287135</v>
      </c>
      <c r="Y43" s="4064">
        <v>0.16145741837122568</v>
      </c>
      <c r="Z43" s="4064">
        <v>0.15362575864558597</v>
      </c>
      <c r="AA43" s="4064">
        <v>9.1184510713735636E-2</v>
      </c>
      <c r="AB43" s="4064">
        <v>0.13737922232763755</v>
      </c>
      <c r="AC43" s="4064">
        <v>0.13342757416058848</v>
      </c>
      <c r="AD43" s="4064">
        <v>0.10306703507389361</v>
      </c>
      <c r="AE43" s="4064">
        <v>0.15290164299970221</v>
      </c>
      <c r="AF43" s="4064">
        <v>3.7514442384899691E-2</v>
      </c>
      <c r="AG43" s="4064">
        <v>6.0382775355224953E-2</v>
      </c>
      <c r="AH43" s="4064">
        <v>8.0246418046379928E-2</v>
      </c>
      <c r="AI43" s="4064">
        <v>0.10302905575741669</v>
      </c>
      <c r="AJ43" s="4064">
        <v>0.1076188664559501</v>
      </c>
      <c r="AK43" s="4064">
        <v>5.4701043861740281E-2</v>
      </c>
      <c r="AL43" s="4067">
        <f t="shared" si="4"/>
        <v>-89.588990419972873</v>
      </c>
      <c r="AM43" s="721"/>
    </row>
    <row r="44" spans="2:39" ht="18" customHeight="1" x14ac:dyDescent="0.2">
      <c r="B44" s="1131" t="s">
        <v>2382</v>
      </c>
      <c r="C44" s="2027"/>
      <c r="D44" s="2027"/>
      <c r="E44" s="4064">
        <v>10.253159465212008</v>
      </c>
      <c r="F44" s="4064">
        <v>9.3603791686527789</v>
      </c>
      <c r="G44" s="4064">
        <v>8.267165745172818</v>
      </c>
      <c r="H44" s="4064">
        <v>7.962849192562814</v>
      </c>
      <c r="I44" s="4064">
        <v>8.25916617072183</v>
      </c>
      <c r="J44" s="4064">
        <v>8.4659159398455621</v>
      </c>
      <c r="K44" s="4064">
        <v>8.9926132776853844</v>
      </c>
      <c r="L44" s="4064">
        <v>9.2004231383396071</v>
      </c>
      <c r="M44" s="4064">
        <v>9.7960596262980761</v>
      </c>
      <c r="N44" s="4064">
        <v>10.692730882693487</v>
      </c>
      <c r="O44" s="4064">
        <v>11.805788382466174</v>
      </c>
      <c r="P44" s="4064">
        <v>11.571982165997102</v>
      </c>
      <c r="Q44" s="4064">
        <v>11.580801503439703</v>
      </c>
      <c r="R44" s="4064">
        <v>12.307138295426942</v>
      </c>
      <c r="S44" s="4064">
        <v>10.062507744706476</v>
      </c>
      <c r="T44" s="4064">
        <v>10.942462272799721</v>
      </c>
      <c r="U44" s="4064">
        <v>11.93036286830718</v>
      </c>
      <c r="V44" s="4064">
        <v>12.213681916345003</v>
      </c>
      <c r="W44" s="4064">
        <v>9.9609090248713201</v>
      </c>
      <c r="X44" s="4064">
        <v>10.340070107449293</v>
      </c>
      <c r="Y44" s="4064">
        <v>10.683645113051018</v>
      </c>
      <c r="Z44" s="4064">
        <v>10.364689791088185</v>
      </c>
      <c r="AA44" s="4064">
        <v>9.7104511389349675</v>
      </c>
      <c r="AB44" s="4064">
        <v>10.09233625564346</v>
      </c>
      <c r="AC44" s="4064">
        <v>10.639132082143236</v>
      </c>
      <c r="AD44" s="4064">
        <v>9.4979384535346529</v>
      </c>
      <c r="AE44" s="4064">
        <v>8.8872335553257447</v>
      </c>
      <c r="AF44" s="4064">
        <v>9.1703343582705266</v>
      </c>
      <c r="AG44" s="4064">
        <v>8.3490068481494379</v>
      </c>
      <c r="AH44" s="4064">
        <v>7.4557664762049276</v>
      </c>
      <c r="AI44" s="4064">
        <v>7.1758066280757378</v>
      </c>
      <c r="AJ44" s="4064">
        <v>6.3209860170774714</v>
      </c>
      <c r="AK44" s="4064">
        <v>6.2208197272196495</v>
      </c>
      <c r="AL44" s="4067">
        <f t="shared" si="4"/>
        <v>-39.327777468727589</v>
      </c>
      <c r="AM44" s="721"/>
    </row>
    <row r="45" spans="2:39" ht="18" customHeight="1" x14ac:dyDescent="0.2">
      <c r="B45" s="1131" t="s">
        <v>1984</v>
      </c>
      <c r="C45" s="2027"/>
      <c r="D45" s="2027"/>
      <c r="E45" s="4064">
        <v>0.2823977966740186</v>
      </c>
      <c r="F45" s="4064">
        <v>0.27359551914462499</v>
      </c>
      <c r="G45" s="4064">
        <v>0.25559923706559917</v>
      </c>
      <c r="H45" s="4064">
        <v>0.25274157402144481</v>
      </c>
      <c r="I45" s="4064">
        <v>0.21558534243097108</v>
      </c>
      <c r="J45" s="4064">
        <v>0.20790664768887621</v>
      </c>
      <c r="K45" s="4064">
        <v>0.2918321055607615</v>
      </c>
      <c r="L45" s="4064">
        <v>0.33190858053478117</v>
      </c>
      <c r="M45" s="4064">
        <v>0.35016419208583149</v>
      </c>
      <c r="N45" s="4064">
        <v>0.38815743789006951</v>
      </c>
      <c r="O45" s="4064">
        <v>0.44158744389087679</v>
      </c>
      <c r="P45" s="4064">
        <v>0.38412981646428768</v>
      </c>
      <c r="Q45" s="4064">
        <v>0.40757015943711317</v>
      </c>
      <c r="R45" s="4064">
        <v>0.41327657128567474</v>
      </c>
      <c r="S45" s="4064">
        <v>0.34583659635122355</v>
      </c>
      <c r="T45" s="4064">
        <v>0.34887234643941306</v>
      </c>
      <c r="U45" s="4064">
        <v>0.38669636438774935</v>
      </c>
      <c r="V45" s="4064">
        <v>0.38535903832457352</v>
      </c>
      <c r="W45" s="4064">
        <v>0.40642979248018124</v>
      </c>
      <c r="X45" s="4064">
        <v>0.45130269076836094</v>
      </c>
      <c r="Y45" s="4064">
        <v>0.43773340816420059</v>
      </c>
      <c r="Z45" s="4064">
        <v>0.44256171909281433</v>
      </c>
      <c r="AA45" s="4064">
        <v>0.42033907360591199</v>
      </c>
      <c r="AB45" s="4064">
        <v>0.4343513006734947</v>
      </c>
      <c r="AC45" s="4064">
        <v>0.41758070653252854</v>
      </c>
      <c r="AD45" s="4064">
        <v>0.40488106827832615</v>
      </c>
      <c r="AE45" s="4064">
        <v>0.36605163744352376</v>
      </c>
      <c r="AF45" s="4064">
        <v>0.37471840899373088</v>
      </c>
      <c r="AG45" s="4064">
        <v>0.33465030742704477</v>
      </c>
      <c r="AH45" s="4064">
        <v>0.3528702338577468</v>
      </c>
      <c r="AI45" s="4064">
        <v>0.3155456515569432</v>
      </c>
      <c r="AJ45" s="4064">
        <v>0.3029873388942112</v>
      </c>
      <c r="AK45" s="4064">
        <v>0.29102380559988877</v>
      </c>
      <c r="AL45" s="4067">
        <f t="shared" si="4"/>
        <v>3.0545595707417874</v>
      </c>
      <c r="AM45" s="721"/>
    </row>
    <row r="46" spans="2:39" ht="18" customHeight="1" x14ac:dyDescent="0.2">
      <c r="B46" s="1131" t="s">
        <v>1264</v>
      </c>
      <c r="C46" s="2027"/>
      <c r="D46" s="2027"/>
      <c r="E46" s="4064">
        <v>0.13876076672595797</v>
      </c>
      <c r="F46" s="4064">
        <v>0.11938574358599241</v>
      </c>
      <c r="G46" s="4064">
        <v>0.1109675533780165</v>
      </c>
      <c r="H46" s="4064">
        <v>9.0250479929095906E-2</v>
      </c>
      <c r="I46" s="4064">
        <v>9.751373369761375E-2</v>
      </c>
      <c r="J46" s="4064">
        <v>8.5505056652499439E-2</v>
      </c>
      <c r="K46" s="4064">
        <v>7.8775972813880282E-2</v>
      </c>
      <c r="L46" s="4064">
        <v>7.9294202695495863E-2</v>
      </c>
      <c r="M46" s="4064">
        <v>8.253427870556837E-2</v>
      </c>
      <c r="N46" s="4064">
        <v>8.3021533745438247E-2</v>
      </c>
      <c r="O46" s="4064">
        <v>8.2685675767775954E-2</v>
      </c>
      <c r="P46" s="4064">
        <v>7.1815699296101876E-2</v>
      </c>
      <c r="Q46" s="4064">
        <v>7.3753661140270904E-2</v>
      </c>
      <c r="R46" s="4064">
        <v>8.9159517301159341E-2</v>
      </c>
      <c r="S46" s="4064">
        <v>9.2343492937520644E-2</v>
      </c>
      <c r="T46" s="4064">
        <v>0.11257857221799553</v>
      </c>
      <c r="U46" s="4064">
        <v>0.10424491224689181</v>
      </c>
      <c r="V46" s="4064">
        <v>0.11145134067917029</v>
      </c>
      <c r="W46" s="4064">
        <v>9.1790584164016573E-2</v>
      </c>
      <c r="X46" s="4064">
        <v>7.9615572315601374E-2</v>
      </c>
      <c r="Y46" s="4064">
        <v>8.1631354609302681E-2</v>
      </c>
      <c r="Z46" s="4064">
        <v>8.6545681492043045E-2</v>
      </c>
      <c r="AA46" s="4064">
        <v>6.2237409078646763E-2</v>
      </c>
      <c r="AB46" s="4064">
        <v>5.9012748443833647E-2</v>
      </c>
      <c r="AC46" s="4064">
        <v>4.6045657813947316E-2</v>
      </c>
      <c r="AD46" s="4064">
        <v>5.1183277944449761E-2</v>
      </c>
      <c r="AE46" s="4064">
        <v>5.1318963706531322E-2</v>
      </c>
      <c r="AF46" s="4064">
        <v>3.8534607333373626E-2</v>
      </c>
      <c r="AG46" s="4064">
        <v>3.35058169105713E-2</v>
      </c>
      <c r="AH46" s="4064">
        <v>2.9538969942783842E-2</v>
      </c>
      <c r="AI46" s="4064">
        <v>3.6101538645439739E-2</v>
      </c>
      <c r="AJ46" s="4064">
        <v>3.1535356947076112E-2</v>
      </c>
      <c r="AK46" s="4064">
        <v>3.7315260917326155E-2</v>
      </c>
      <c r="AL46" s="4067">
        <f t="shared" si="4"/>
        <v>-73.108205007960947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88">
        <v>1.2758051428571431E-2</v>
      </c>
      <c r="F49" s="4088">
        <v>1.6037858571428573E-2</v>
      </c>
      <c r="G49" s="4088">
        <v>2.8124014285714288E-2</v>
      </c>
      <c r="H49" s="4088">
        <v>3.1757031428571433E-2</v>
      </c>
      <c r="I49" s="4088">
        <v>4.144507714285714E-2</v>
      </c>
      <c r="J49" s="4088">
        <v>3.4086092857142862E-2</v>
      </c>
      <c r="K49" s="4088">
        <v>3.6863970000000003E-2</v>
      </c>
      <c r="L49" s="4088">
        <v>3.6789610000000007E-2</v>
      </c>
      <c r="M49" s="4088">
        <v>4.3466075714285714E-2</v>
      </c>
      <c r="N49" s="4088">
        <v>5.3709165714285717E-2</v>
      </c>
      <c r="O49" s="4088">
        <v>6.4546856864285712E-2</v>
      </c>
      <c r="P49" s="4088">
        <v>7.287894001142857E-2</v>
      </c>
      <c r="Q49" s="4088">
        <v>8.0658623964285719E-2</v>
      </c>
      <c r="R49" s="4088">
        <v>7.5167661140000008E-2</v>
      </c>
      <c r="S49" s="4088">
        <v>8.3613592102857154E-2</v>
      </c>
      <c r="T49" s="4088">
        <v>7.8489282504285732E-2</v>
      </c>
      <c r="U49" s="4088">
        <v>9.4517463652857153E-2</v>
      </c>
      <c r="V49" s="4088">
        <v>0.1035869891381873</v>
      </c>
      <c r="W49" s="4088">
        <v>0.11076385584141431</v>
      </c>
      <c r="X49" s="4088">
        <v>0.12158971871405545</v>
      </c>
      <c r="Y49" s="4088">
        <v>0.12788811193341856</v>
      </c>
      <c r="Z49" s="4088">
        <v>0.13534459209928801</v>
      </c>
      <c r="AA49" s="4088">
        <v>0.15863280249112216</v>
      </c>
      <c r="AB49" s="4088">
        <v>0.15340874441137142</v>
      </c>
      <c r="AC49" s="4088">
        <v>0.15032462105272859</v>
      </c>
      <c r="AD49" s="4088">
        <v>0.17550430920471427</v>
      </c>
      <c r="AE49" s="4088">
        <v>0.19488878286428571</v>
      </c>
      <c r="AF49" s="4088">
        <v>0.18493863408428571</v>
      </c>
      <c r="AG49" s="4088">
        <v>0.21056241287714289</v>
      </c>
      <c r="AH49" s="4088">
        <v>0.19758779857142855</v>
      </c>
      <c r="AI49" s="4088">
        <v>0.22759551896714286</v>
      </c>
      <c r="AJ49" s="4088">
        <v>0.28807508141657151</v>
      </c>
      <c r="AK49" s="4088">
        <v>0.28807508141657151</v>
      </c>
      <c r="AL49" s="4079">
        <f t="shared" si="4"/>
        <v>2157.9865195670277</v>
      </c>
      <c r="AM49" s="721"/>
    </row>
    <row r="50" spans="2:39" ht="18" customHeight="1" x14ac:dyDescent="0.2">
      <c r="B50" s="774" t="s">
        <v>1955</v>
      </c>
      <c r="C50" s="2026"/>
      <c r="D50" s="2026"/>
      <c r="E50" s="4090">
        <f>SUM(E51:E55)</f>
        <v>0.59380049335514651</v>
      </c>
      <c r="F50" s="4090">
        <f t="shared" ref="F50:AJ50" si="13">SUM(F51:F55)</f>
        <v>0.61813364076428645</v>
      </c>
      <c r="G50" s="4090">
        <f t="shared" si="13"/>
        <v>0.64167034590775029</v>
      </c>
      <c r="H50" s="4090">
        <f t="shared" si="13"/>
        <v>0.66480169878840234</v>
      </c>
      <c r="I50" s="4090">
        <f t="shared" si="13"/>
        <v>0.6748602533814182</v>
      </c>
      <c r="J50" s="4090">
        <f t="shared" si="13"/>
        <v>0.68677642061202049</v>
      </c>
      <c r="K50" s="4090">
        <f t="shared" si="13"/>
        <v>0.704023228559712</v>
      </c>
      <c r="L50" s="4090">
        <f t="shared" si="13"/>
        <v>0.72880389471375717</v>
      </c>
      <c r="M50" s="4090">
        <f t="shared" si="13"/>
        <v>0.75565066334282749</v>
      </c>
      <c r="N50" s="4090">
        <f t="shared" si="13"/>
        <v>0.77667629320589482</v>
      </c>
      <c r="O50" s="4090">
        <f t="shared" si="13"/>
        <v>0.79816342621954495</v>
      </c>
      <c r="P50" s="4090">
        <f t="shared" si="13"/>
        <v>0.81989781190778277</v>
      </c>
      <c r="Q50" s="4090">
        <f t="shared" si="13"/>
        <v>0.84230124598577261</v>
      </c>
      <c r="R50" s="4090">
        <f t="shared" si="13"/>
        <v>0.86890688260120186</v>
      </c>
      <c r="S50" s="4090">
        <f t="shared" si="13"/>
        <v>0.89207302509492703</v>
      </c>
      <c r="T50" s="4090">
        <f t="shared" si="13"/>
        <v>0.91452844210611206</v>
      </c>
      <c r="U50" s="4090">
        <f t="shared" si="13"/>
        <v>0.94487305994812654</v>
      </c>
      <c r="V50" s="4090">
        <f t="shared" si="13"/>
        <v>0.97212226391401435</v>
      </c>
      <c r="W50" s="4090">
        <f t="shared" si="13"/>
        <v>1.032889995653324</v>
      </c>
      <c r="X50" s="4090">
        <f t="shared" si="13"/>
        <v>1.2616847310806687</v>
      </c>
      <c r="Y50" s="4090">
        <f t="shared" si="13"/>
        <v>1.343791983055437</v>
      </c>
      <c r="Z50" s="4090">
        <f t="shared" si="13"/>
        <v>1.4471069682259725</v>
      </c>
      <c r="AA50" s="4090">
        <f t="shared" si="13"/>
        <v>1.2812867753564194</v>
      </c>
      <c r="AB50" s="4090">
        <f t="shared" si="13"/>
        <v>1.1808759878538788</v>
      </c>
      <c r="AC50" s="4090">
        <f t="shared" si="13"/>
        <v>1.240403827217694</v>
      </c>
      <c r="AD50" s="4090">
        <f t="shared" si="13"/>
        <v>1.2879823064356828</v>
      </c>
      <c r="AE50" s="4090">
        <f t="shared" si="13"/>
        <v>1.3633861471000244</v>
      </c>
      <c r="AF50" s="4090">
        <f t="shared" si="13"/>
        <v>1.3334549536302136</v>
      </c>
      <c r="AG50" s="4090">
        <f t="shared" si="13"/>
        <v>1.3160711322537635</v>
      </c>
      <c r="AH50" s="4090">
        <f t="shared" si="13"/>
        <v>1.3393262904371759</v>
      </c>
      <c r="AI50" s="4090">
        <f t="shared" si="13"/>
        <v>1.3682815925931888</v>
      </c>
      <c r="AJ50" s="4090">
        <f t="shared" si="13"/>
        <v>1.329665523768472</v>
      </c>
      <c r="AK50" s="4090">
        <f t="shared" ref="AK50" si="14">SUM(AK51:AK55)</f>
        <v>1.3412694052763527</v>
      </c>
      <c r="AL50" s="4067">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64">
        <v>4.4834209662719324E-2</v>
      </c>
      <c r="F52" s="4064">
        <v>6.1837012751870701E-2</v>
      </c>
      <c r="G52" s="4064">
        <v>7.8839815841023009E-2</v>
      </c>
      <c r="H52" s="4064">
        <v>9.5842618930175344E-2</v>
      </c>
      <c r="I52" s="4064">
        <v>0.11284542201932737</v>
      </c>
      <c r="J52" s="4064">
        <v>0.12984822510847871</v>
      </c>
      <c r="K52" s="4064">
        <v>0.14685102819763104</v>
      </c>
      <c r="L52" s="4064">
        <v>0.16385383128678338</v>
      </c>
      <c r="M52" s="4064">
        <v>0.18085663437593569</v>
      </c>
      <c r="N52" s="4064">
        <v>0.197859437465088</v>
      </c>
      <c r="O52" s="4064">
        <v>0.21486224055423939</v>
      </c>
      <c r="P52" s="4064">
        <v>0.23186504364339167</v>
      </c>
      <c r="Q52" s="4064">
        <v>0.24886784673254408</v>
      </c>
      <c r="R52" s="4064">
        <v>0.26587064982169634</v>
      </c>
      <c r="S52" s="4064">
        <v>0.28287345291084798</v>
      </c>
      <c r="T52" s="4064">
        <v>0.29987625600000001</v>
      </c>
      <c r="U52" s="4064">
        <v>0.32291011199999997</v>
      </c>
      <c r="V52" s="4064">
        <v>0.34093142400000004</v>
      </c>
      <c r="W52" s="4064">
        <v>0.36703022400000002</v>
      </c>
      <c r="X52" s="4064">
        <v>0.38502451296000001</v>
      </c>
      <c r="Y52" s="4064">
        <v>0.43550678496000006</v>
      </c>
      <c r="Z52" s="4064">
        <v>0.50594630496000004</v>
      </c>
      <c r="AA52" s="4064">
        <v>0.51473875392000001</v>
      </c>
      <c r="AB52" s="4064">
        <v>0.52355088384000004</v>
      </c>
      <c r="AC52" s="4064">
        <v>0.5313267100800001</v>
      </c>
      <c r="AD52" s="4064">
        <v>0.53876968223999999</v>
      </c>
      <c r="AE52" s="4064">
        <v>0.55267241211228502</v>
      </c>
      <c r="AF52" s="4064">
        <v>0.56139967209225794</v>
      </c>
      <c r="AG52" s="4064">
        <v>0.57042224205820513</v>
      </c>
      <c r="AH52" s="4064">
        <v>0.57469981740377529</v>
      </c>
      <c r="AI52" s="4064">
        <v>0.58209129263598647</v>
      </c>
      <c r="AJ52" s="4064">
        <v>0.58397051121672516</v>
      </c>
      <c r="AK52" s="4064">
        <v>0.58955615341958501</v>
      </c>
      <c r="AL52" s="4067">
        <f t="shared" si="4"/>
        <v>1214.9694348461205</v>
      </c>
      <c r="AM52" s="721"/>
    </row>
    <row r="53" spans="2:39" ht="18" customHeight="1" x14ac:dyDescent="0.2">
      <c r="B53" s="1131" t="s">
        <v>1991</v>
      </c>
      <c r="C53" s="2027"/>
      <c r="D53" s="2027"/>
      <c r="E53" s="4064">
        <v>3.7979999999999993E-2</v>
      </c>
      <c r="F53" s="4064">
        <v>3.7979999999999993E-2</v>
      </c>
      <c r="G53" s="4064">
        <v>3.7979999999999993E-2</v>
      </c>
      <c r="H53" s="4064">
        <v>3.7979999999999993E-2</v>
      </c>
      <c r="I53" s="4064">
        <v>3.7979999999999993E-2</v>
      </c>
      <c r="J53" s="4064">
        <v>3.7979999999999993E-2</v>
      </c>
      <c r="K53" s="4064">
        <v>2.4749999999999998E-2</v>
      </c>
      <c r="L53" s="4064" t="s">
        <v>199</v>
      </c>
      <c r="M53" s="4064" t="s">
        <v>199</v>
      </c>
      <c r="N53" s="4064" t="s">
        <v>199</v>
      </c>
      <c r="O53" s="4064" t="s">
        <v>199</v>
      </c>
      <c r="P53" s="4064" t="s">
        <v>199</v>
      </c>
      <c r="Q53" s="4064" t="s">
        <v>199</v>
      </c>
      <c r="R53" s="4064" t="s">
        <v>199</v>
      </c>
      <c r="S53" s="4064" t="s">
        <v>199</v>
      </c>
      <c r="T53" s="4064" t="s">
        <v>199</v>
      </c>
      <c r="U53" s="4064" t="s">
        <v>199</v>
      </c>
      <c r="V53" s="4064" t="s">
        <v>199</v>
      </c>
      <c r="W53" s="4064" t="s">
        <v>199</v>
      </c>
      <c r="X53" s="4064" t="s">
        <v>199</v>
      </c>
      <c r="Y53" s="4064" t="s">
        <v>199</v>
      </c>
      <c r="Z53" s="4064" t="s">
        <v>199</v>
      </c>
      <c r="AA53" s="4064" t="s">
        <v>199</v>
      </c>
      <c r="AB53" s="4064" t="s">
        <v>199</v>
      </c>
      <c r="AC53" s="4064" t="s">
        <v>199</v>
      </c>
      <c r="AD53" s="4064" t="s">
        <v>199</v>
      </c>
      <c r="AE53" s="4064" t="s">
        <v>199</v>
      </c>
      <c r="AF53" s="4064" t="s">
        <v>199</v>
      </c>
      <c r="AG53" s="4064" t="s">
        <v>199</v>
      </c>
      <c r="AH53" s="4064" t="s">
        <v>199</v>
      </c>
      <c r="AI53" s="4064" t="s">
        <v>199</v>
      </c>
      <c r="AJ53" s="4064" t="s">
        <v>199</v>
      </c>
      <c r="AK53" s="4064" t="s">
        <v>199</v>
      </c>
      <c r="AL53" s="4067">
        <f t="shared" si="4"/>
        <v>-100</v>
      </c>
      <c r="AM53" s="721"/>
    </row>
    <row r="54" spans="2:39" ht="18" customHeight="1" x14ac:dyDescent="0.2">
      <c r="B54" s="1131" t="s">
        <v>1959</v>
      </c>
      <c r="C54" s="2027"/>
      <c r="D54" s="2027"/>
      <c r="E54" s="4064">
        <v>0.51098628369242716</v>
      </c>
      <c r="F54" s="4064">
        <v>0.51831662801241574</v>
      </c>
      <c r="G54" s="4064">
        <v>0.52485053006672733</v>
      </c>
      <c r="H54" s="4064">
        <v>0.53097907985822701</v>
      </c>
      <c r="I54" s="4064">
        <v>0.52403483136209084</v>
      </c>
      <c r="J54" s="4064">
        <v>0.51894819550354176</v>
      </c>
      <c r="K54" s="4064">
        <v>0.53242220036208099</v>
      </c>
      <c r="L54" s="4064">
        <v>0.56495006342697385</v>
      </c>
      <c r="M54" s="4064">
        <v>0.5747940289668918</v>
      </c>
      <c r="N54" s="4064">
        <v>0.57881685574080677</v>
      </c>
      <c r="O54" s="4064">
        <v>0.58330118566530553</v>
      </c>
      <c r="P54" s="4064">
        <v>0.5880327682643911</v>
      </c>
      <c r="Q54" s="4064">
        <v>0.59343339925322847</v>
      </c>
      <c r="R54" s="4064">
        <v>0.60303623277950558</v>
      </c>
      <c r="S54" s="4064">
        <v>0.60919957218407905</v>
      </c>
      <c r="T54" s="4064">
        <v>0.61465218610611205</v>
      </c>
      <c r="U54" s="4064">
        <v>0.62196294794812657</v>
      </c>
      <c r="V54" s="4064">
        <v>0.63119083991401437</v>
      </c>
      <c r="W54" s="4064">
        <v>0.665859771653324</v>
      </c>
      <c r="X54" s="4064">
        <v>0.87666021812066863</v>
      </c>
      <c r="Y54" s="4064">
        <v>0.90828519809543695</v>
      </c>
      <c r="Z54" s="4064">
        <v>0.94116066326597247</v>
      </c>
      <c r="AA54" s="4064">
        <v>0.76654802143641942</v>
      </c>
      <c r="AB54" s="4064">
        <v>0.65732510401387878</v>
      </c>
      <c r="AC54" s="4064">
        <v>0.70907711713769395</v>
      </c>
      <c r="AD54" s="4064">
        <v>0.7492126241956828</v>
      </c>
      <c r="AE54" s="4064">
        <v>0.81071373498773935</v>
      </c>
      <c r="AF54" s="4064">
        <v>0.77205528153795566</v>
      </c>
      <c r="AG54" s="4064">
        <v>0.74564889019555824</v>
      </c>
      <c r="AH54" s="4064">
        <v>0.76462647303340059</v>
      </c>
      <c r="AI54" s="4064">
        <v>0.78619029995720235</v>
      </c>
      <c r="AJ54" s="4064">
        <v>0.74569501255174675</v>
      </c>
      <c r="AK54" s="4064">
        <v>0.75171325185676774</v>
      </c>
      <c r="AL54" s="4067">
        <f t="shared" si="4"/>
        <v>47.110260264684314</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1994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92">
        <f>SUM(E10,E21,E30,E50,E56)</f>
        <v>50.004547693865831</v>
      </c>
      <c r="F58" s="4092">
        <f t="shared" ref="F58:AJ58" si="15">SUM(F10,F21,F30,F50,F56)</f>
        <v>49.039584390376305</v>
      </c>
      <c r="G58" s="4092">
        <f t="shared" si="15"/>
        <v>48.924063730492755</v>
      </c>
      <c r="H58" s="4092">
        <f t="shared" si="15"/>
        <v>49.709823993379366</v>
      </c>
      <c r="I58" s="4092">
        <f t="shared" si="15"/>
        <v>50.754065419878927</v>
      </c>
      <c r="J58" s="4092">
        <f t="shared" si="15"/>
        <v>48.835238416778957</v>
      </c>
      <c r="K58" s="4092">
        <f t="shared" si="15"/>
        <v>51.84733739122202</v>
      </c>
      <c r="L58" s="4092">
        <f t="shared" si="15"/>
        <v>53.695917234762511</v>
      </c>
      <c r="M58" s="4092">
        <f t="shared" si="15"/>
        <v>54.78782424707471</v>
      </c>
      <c r="N58" s="4092">
        <f t="shared" si="15"/>
        <v>56.274004296051515</v>
      </c>
      <c r="O58" s="4092">
        <f t="shared" si="15"/>
        <v>59.355001083910196</v>
      </c>
      <c r="P58" s="4092">
        <f t="shared" si="15"/>
        <v>60.696738800916748</v>
      </c>
      <c r="Q58" s="4092">
        <f t="shared" si="15"/>
        <v>62.091110516137668</v>
      </c>
      <c r="R58" s="4092">
        <f t="shared" si="15"/>
        <v>60.023433643003337</v>
      </c>
      <c r="S58" s="4092">
        <f t="shared" si="15"/>
        <v>63.883806172778442</v>
      </c>
      <c r="T58" s="4092">
        <f t="shared" si="15"/>
        <v>64.304384354190447</v>
      </c>
      <c r="U58" s="4092">
        <f t="shared" si="15"/>
        <v>63.375449650224688</v>
      </c>
      <c r="V58" s="4092">
        <f t="shared" si="15"/>
        <v>59.713326881732698</v>
      </c>
      <c r="W58" s="4092">
        <f t="shared" si="15"/>
        <v>59.817226968417863</v>
      </c>
      <c r="X58" s="4092">
        <f t="shared" si="15"/>
        <v>60.455309944651042</v>
      </c>
      <c r="Y58" s="4092">
        <f t="shared" si="15"/>
        <v>60.534074761517324</v>
      </c>
      <c r="Z58" s="4092">
        <f t="shared" si="15"/>
        <v>62.462475375421022</v>
      </c>
      <c r="AA58" s="4092">
        <f t="shared" si="15"/>
        <v>62.362344661126464</v>
      </c>
      <c r="AB58" s="4092">
        <f t="shared" si="15"/>
        <v>59.138057432576645</v>
      </c>
      <c r="AC58" s="4092">
        <f t="shared" si="15"/>
        <v>60.394194932560694</v>
      </c>
      <c r="AD58" s="4092">
        <f t="shared" si="15"/>
        <v>58.799515085494264</v>
      </c>
      <c r="AE58" s="4092">
        <f t="shared" si="15"/>
        <v>58.934912833160396</v>
      </c>
      <c r="AF58" s="4092">
        <f t="shared" si="15"/>
        <v>62.706631066804874</v>
      </c>
      <c r="AG58" s="4092">
        <f t="shared" si="15"/>
        <v>60.136538681486648</v>
      </c>
      <c r="AH58" s="4092">
        <f t="shared" si="15"/>
        <v>58.394464198836367</v>
      </c>
      <c r="AI58" s="4092">
        <f t="shared" si="15"/>
        <v>57.689466182691994</v>
      </c>
      <c r="AJ58" s="4092">
        <f t="shared" si="15"/>
        <v>62.302495033661586</v>
      </c>
      <c r="AK58" s="4092">
        <f t="shared" ref="AK58" si="16">SUM(AK10,AK21,AK30,AK50,AK56)</f>
        <v>63.052115601081823</v>
      </c>
      <c r="AL58" s="4421">
        <f t="shared" si="4"/>
        <v>26.092762576505748</v>
      </c>
      <c r="AM58" s="721"/>
    </row>
    <row r="59" spans="2:39" ht="18" customHeight="1" thickBot="1" x14ac:dyDescent="0.25">
      <c r="B59" s="787" t="s">
        <v>2411</v>
      </c>
      <c r="C59" s="785"/>
      <c r="D59" s="786"/>
      <c r="E59" s="4092">
        <f>SUM(E58,E41)</f>
        <v>66.192589200412641</v>
      </c>
      <c r="F59" s="4092">
        <f t="shared" ref="F59:AJ59" si="17">SUM(F58,F41)</f>
        <v>64.557598811229596</v>
      </c>
      <c r="G59" s="4092">
        <f t="shared" si="17"/>
        <v>63.140740587578549</v>
      </c>
      <c r="H59" s="4092">
        <f t="shared" si="17"/>
        <v>63.360278988523305</v>
      </c>
      <c r="I59" s="4092">
        <f t="shared" si="17"/>
        <v>64.499612253760048</v>
      </c>
      <c r="J59" s="4092">
        <f t="shared" si="17"/>
        <v>62.673726100897134</v>
      </c>
      <c r="K59" s="4092">
        <f t="shared" si="17"/>
        <v>66.284997281602557</v>
      </c>
      <c r="L59" s="4092">
        <f t="shared" si="17"/>
        <v>68.142896909958651</v>
      </c>
      <c r="M59" s="4092">
        <f t="shared" si="17"/>
        <v>69.953958558182435</v>
      </c>
      <c r="N59" s="4092">
        <f t="shared" si="17"/>
        <v>72.665878591464448</v>
      </c>
      <c r="O59" s="4092">
        <f t="shared" si="17"/>
        <v>77.228641047623995</v>
      </c>
      <c r="P59" s="4092">
        <f t="shared" si="17"/>
        <v>78.076130616927941</v>
      </c>
      <c r="Q59" s="4092">
        <f t="shared" si="17"/>
        <v>79.722988302353556</v>
      </c>
      <c r="R59" s="4092">
        <f t="shared" si="17"/>
        <v>78.471508561195719</v>
      </c>
      <c r="S59" s="4092">
        <f t="shared" si="17"/>
        <v>79.646125684387584</v>
      </c>
      <c r="T59" s="4092">
        <f t="shared" si="17"/>
        <v>81.019019752373694</v>
      </c>
      <c r="U59" s="4092">
        <f t="shared" si="17"/>
        <v>81.170884323939873</v>
      </c>
      <c r="V59" s="4092">
        <f t="shared" si="17"/>
        <v>78.160699374874724</v>
      </c>
      <c r="W59" s="4092">
        <f t="shared" si="17"/>
        <v>76.588632722080234</v>
      </c>
      <c r="X59" s="4092">
        <f t="shared" si="17"/>
        <v>78.150236008621846</v>
      </c>
      <c r="Y59" s="4092">
        <f t="shared" si="17"/>
        <v>79.300946116705347</v>
      </c>
      <c r="Z59" s="4092">
        <f t="shared" si="17"/>
        <v>81.316777170440631</v>
      </c>
      <c r="AA59" s="4092">
        <f t="shared" si="17"/>
        <v>79.949303117624424</v>
      </c>
      <c r="AB59" s="4092">
        <f t="shared" si="17"/>
        <v>76.992078892942075</v>
      </c>
      <c r="AC59" s="4092">
        <f t="shared" si="17"/>
        <v>78.088605300060593</v>
      </c>
      <c r="AD59" s="4092">
        <f t="shared" si="17"/>
        <v>75.169580465896814</v>
      </c>
      <c r="AE59" s="4092">
        <f t="shared" si="17"/>
        <v>74.21546285230329</v>
      </c>
      <c r="AF59" s="4092">
        <f t="shared" si="17"/>
        <v>77.965171905999782</v>
      </c>
      <c r="AG59" s="4092">
        <f t="shared" si="17"/>
        <v>74.088705817619513</v>
      </c>
      <c r="AH59" s="4092">
        <f t="shared" si="17"/>
        <v>71.466451863967137</v>
      </c>
      <c r="AI59" s="4092">
        <f t="shared" si="17"/>
        <v>70.288754375605251</v>
      </c>
      <c r="AJ59" s="4092">
        <f t="shared" si="17"/>
        <v>74.279632470590855</v>
      </c>
      <c r="AK59" s="4092">
        <f t="shared" ref="AK59" si="18">SUM(AK58,AK41)</f>
        <v>75.683554331009347</v>
      </c>
      <c r="AL59" s="4067">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98"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7.9993873321929823E-2</v>
      </c>
      <c r="F62" s="4096">
        <f t="shared" ref="F62:AJ62" si="19">SUM(F63:F64)</f>
        <v>7.5386837384210537E-2</v>
      </c>
      <c r="G62" s="4096">
        <f t="shared" si="19"/>
        <v>7.4823900764035098E-2</v>
      </c>
      <c r="H62" s="4096">
        <f t="shared" si="19"/>
        <v>7.7065468544736837E-2</v>
      </c>
      <c r="I62" s="4096">
        <f t="shared" si="19"/>
        <v>8.4259927376315782E-2</v>
      </c>
      <c r="J62" s="4096">
        <f t="shared" si="19"/>
        <v>0.10483241108070175</v>
      </c>
      <c r="K62" s="4096">
        <f t="shared" si="19"/>
        <v>0.10822132526929826</v>
      </c>
      <c r="L62" s="4096">
        <f t="shared" si="19"/>
        <v>0.10435733409736841</v>
      </c>
      <c r="M62" s="4096">
        <f t="shared" si="19"/>
        <v>9.8623807064912292E-2</v>
      </c>
      <c r="N62" s="4096">
        <f t="shared" si="19"/>
        <v>0.10482924900263157</v>
      </c>
      <c r="O62" s="4096">
        <f t="shared" si="19"/>
        <v>0.11416261503947368</v>
      </c>
      <c r="P62" s="4096">
        <f t="shared" si="19"/>
        <v>0.11170550690175438</v>
      </c>
      <c r="Q62" s="4096">
        <f t="shared" si="19"/>
        <v>0.11388578527807017</v>
      </c>
      <c r="R62" s="4096">
        <f t="shared" si="19"/>
        <v>0.10956142667105265</v>
      </c>
      <c r="S62" s="4096">
        <f t="shared" si="19"/>
        <v>0.11539899330438597</v>
      </c>
      <c r="T62" s="4096">
        <f t="shared" si="19"/>
        <v>0.11673756348245615</v>
      </c>
      <c r="U62" s="4096">
        <f t="shared" si="19"/>
        <v>0.12637548478873684</v>
      </c>
      <c r="V62" s="4096">
        <f t="shared" si="19"/>
        <v>0.11699365824210525</v>
      </c>
      <c r="W62" s="4096">
        <f t="shared" si="19"/>
        <v>0.12533493048606811</v>
      </c>
      <c r="X62" s="4096">
        <f t="shared" si="19"/>
        <v>0.12149481179620025</v>
      </c>
      <c r="Y62" s="4096">
        <f t="shared" si="19"/>
        <v>0.1090583331049037</v>
      </c>
      <c r="Z62" s="4096">
        <f t="shared" si="19"/>
        <v>0.10260023191578947</v>
      </c>
      <c r="AA62" s="4096">
        <f t="shared" si="19"/>
        <v>0.1199910280188005</v>
      </c>
      <c r="AB62" s="4096">
        <f t="shared" si="19"/>
        <v>0.10893505670364748</v>
      </c>
      <c r="AC62" s="4096">
        <f t="shared" si="19"/>
        <v>0.12093147292210527</v>
      </c>
      <c r="AD62" s="4096">
        <f t="shared" si="19"/>
        <v>0.12129717688495549</v>
      </c>
      <c r="AE62" s="4096">
        <f t="shared" si="19"/>
        <v>0.12818914253736841</v>
      </c>
      <c r="AF62" s="4096">
        <f t="shared" si="19"/>
        <v>0.13923153398238275</v>
      </c>
      <c r="AG62" s="4096">
        <f t="shared" si="19"/>
        <v>0.13996129811820385</v>
      </c>
      <c r="AH62" s="4096">
        <f t="shared" si="19"/>
        <v>0.13952382496329768</v>
      </c>
      <c r="AI62" s="4096">
        <f t="shared" si="19"/>
        <v>0.1159477610636668</v>
      </c>
      <c r="AJ62" s="4096">
        <f t="shared" si="19"/>
        <v>5.2466657696916712E-2</v>
      </c>
      <c r="AK62" s="4096">
        <f t="shared" ref="AK62" si="20">SUM(AK63:AK64)</f>
        <v>7.7090449453802806E-2</v>
      </c>
      <c r="AL62" s="4067">
        <f t="shared" si="4"/>
        <v>-3.6295577993109447</v>
      </c>
      <c r="AM62" s="721"/>
    </row>
    <row r="63" spans="2:39" ht="18" customHeight="1" x14ac:dyDescent="0.2">
      <c r="B63" s="1370" t="s">
        <v>218</v>
      </c>
      <c r="C63" s="2027"/>
      <c r="D63" s="2027"/>
      <c r="E63" s="4064">
        <v>2.2973873321929825E-2</v>
      </c>
      <c r="F63" s="4064">
        <v>2.3926837384210527E-2</v>
      </c>
      <c r="G63" s="4064">
        <v>2.5223900764035089E-2</v>
      </c>
      <c r="H63" s="4064">
        <v>2.7525468544736843E-2</v>
      </c>
      <c r="I63" s="4064">
        <v>2.8459927376315787E-2</v>
      </c>
      <c r="J63" s="4064">
        <v>3.0652411080701755E-2</v>
      </c>
      <c r="K63" s="4064">
        <v>3.3001325269298241E-2</v>
      </c>
      <c r="L63" s="4064">
        <v>3.4517334097368416E-2</v>
      </c>
      <c r="M63" s="4064">
        <v>3.7203807064912282E-2</v>
      </c>
      <c r="N63" s="4064">
        <v>3.7129249002631572E-2</v>
      </c>
      <c r="O63" s="4064">
        <v>3.7662615039473685E-2</v>
      </c>
      <c r="P63" s="4064">
        <v>3.9805506901754384E-2</v>
      </c>
      <c r="Q63" s="4064">
        <v>3.5285785278070171E-2</v>
      </c>
      <c r="R63" s="4064">
        <v>3.2867426671052628E-2</v>
      </c>
      <c r="S63" s="4064">
        <v>3.8290993304385963E-2</v>
      </c>
      <c r="T63" s="4064">
        <v>4.3855312482456131E-2</v>
      </c>
      <c r="U63" s="4064">
        <v>4.4078064144736841E-2</v>
      </c>
      <c r="V63" s="4064">
        <v>4.6975091042105267E-2</v>
      </c>
      <c r="W63" s="4064">
        <v>4.7344146486068113E-2</v>
      </c>
      <c r="X63" s="4064">
        <v>4.8814811796200265E-2</v>
      </c>
      <c r="Y63" s="4064">
        <v>5.1998333104903711E-2</v>
      </c>
      <c r="Z63" s="4064">
        <v>5.1800231915789467E-2</v>
      </c>
      <c r="AA63" s="4064">
        <v>5.3561028018800499E-2</v>
      </c>
      <c r="AB63" s="4064">
        <v>5.5965056703647487E-2</v>
      </c>
      <c r="AC63" s="4064">
        <v>6.0041472922105266E-2</v>
      </c>
      <c r="AD63" s="4064">
        <v>6.0037240884955469E-2</v>
      </c>
      <c r="AE63" s="4064">
        <v>6.3201432671368421E-2</v>
      </c>
      <c r="AF63" s="4064">
        <v>6.9300306500382769E-2</v>
      </c>
      <c r="AG63" s="4064">
        <v>7.1600728214995746E-2</v>
      </c>
      <c r="AH63" s="4064">
        <v>7.4445840969297669E-2</v>
      </c>
      <c r="AI63" s="4064">
        <v>5.7589741863666853E-2</v>
      </c>
      <c r="AJ63" s="4064">
        <v>1.8097156496916712E-2</v>
      </c>
      <c r="AK63" s="4064">
        <v>2.6065717449802801E-2</v>
      </c>
      <c r="AL63" s="4067">
        <f t="shared" si="4"/>
        <v>13.458088170624862</v>
      </c>
      <c r="AM63" s="721"/>
    </row>
    <row r="64" spans="2:39" ht="18" customHeight="1" x14ac:dyDescent="0.2">
      <c r="B64" s="1379" t="s">
        <v>1963</v>
      </c>
      <c r="C64" s="2027"/>
      <c r="D64" s="2027"/>
      <c r="E64" s="4064">
        <v>5.7020000000000001E-2</v>
      </c>
      <c r="F64" s="4064">
        <v>5.1460000000000006E-2</v>
      </c>
      <c r="G64" s="4064">
        <v>4.9600000000000005E-2</v>
      </c>
      <c r="H64" s="4064">
        <v>4.9540000000000001E-2</v>
      </c>
      <c r="I64" s="4064">
        <v>5.5799999999999995E-2</v>
      </c>
      <c r="J64" s="4064">
        <v>7.4179999999999996E-2</v>
      </c>
      <c r="K64" s="4064">
        <v>7.5220000000000009E-2</v>
      </c>
      <c r="L64" s="4064">
        <v>6.9839999999999999E-2</v>
      </c>
      <c r="M64" s="4064">
        <v>6.1420000000000009E-2</v>
      </c>
      <c r="N64" s="4064">
        <v>6.7699999999999996E-2</v>
      </c>
      <c r="O64" s="4064">
        <v>7.6499999999999999E-2</v>
      </c>
      <c r="P64" s="4064">
        <v>7.1899999999999992E-2</v>
      </c>
      <c r="Q64" s="4064">
        <v>7.8600000000000003E-2</v>
      </c>
      <c r="R64" s="4064">
        <v>7.6694000000000012E-2</v>
      </c>
      <c r="S64" s="4064">
        <v>7.710800000000001E-2</v>
      </c>
      <c r="T64" s="4064">
        <v>7.2882251000000009E-2</v>
      </c>
      <c r="U64" s="4064">
        <v>8.2297420644000002E-2</v>
      </c>
      <c r="V64" s="4064">
        <v>7.0018567199999993E-2</v>
      </c>
      <c r="W64" s="4064">
        <v>7.7990783999999994E-2</v>
      </c>
      <c r="X64" s="4064">
        <v>7.2679999999999995E-2</v>
      </c>
      <c r="Y64" s="4064">
        <v>5.706E-2</v>
      </c>
      <c r="Z64" s="4064">
        <v>5.0800000000000005E-2</v>
      </c>
      <c r="AA64" s="4064">
        <v>6.6430000000000003E-2</v>
      </c>
      <c r="AB64" s="4064">
        <v>5.2969999999999996E-2</v>
      </c>
      <c r="AC64" s="4064">
        <v>6.0890000000000007E-2</v>
      </c>
      <c r="AD64" s="4064">
        <v>6.1259936000000022E-2</v>
      </c>
      <c r="AE64" s="4064">
        <v>6.4987709865999999E-2</v>
      </c>
      <c r="AF64" s="4064">
        <v>6.9931227481999994E-2</v>
      </c>
      <c r="AG64" s="4064">
        <v>6.8360569903208088E-2</v>
      </c>
      <c r="AH64" s="4064">
        <v>6.5077983994000013E-2</v>
      </c>
      <c r="AI64" s="4064">
        <v>5.8358019199999958E-2</v>
      </c>
      <c r="AJ64" s="4064">
        <v>3.4369501199999999E-2</v>
      </c>
      <c r="AK64" s="4064">
        <v>5.1024732003999998E-2</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08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88" t="s">
        <v>2036</v>
      </c>
      <c r="F69" s="4088" t="s">
        <v>2036</v>
      </c>
      <c r="G69" s="4088" t="s">
        <v>2036</v>
      </c>
      <c r="H69" s="4088" t="s">
        <v>2036</v>
      </c>
      <c r="I69" s="4088" t="s">
        <v>2036</v>
      </c>
      <c r="J69" s="4088" t="s">
        <v>2036</v>
      </c>
      <c r="K69" s="4088" t="s">
        <v>2036</v>
      </c>
      <c r="L69" s="4088" t="s">
        <v>2036</v>
      </c>
      <c r="M69" s="4088" t="s">
        <v>2036</v>
      </c>
      <c r="N69" s="4088" t="s">
        <v>2036</v>
      </c>
      <c r="O69" s="4088" t="s">
        <v>2036</v>
      </c>
      <c r="P69" s="4088" t="s">
        <v>2036</v>
      </c>
      <c r="Q69" s="4088" t="s">
        <v>2036</v>
      </c>
      <c r="R69" s="4088" t="s">
        <v>2036</v>
      </c>
      <c r="S69" s="4088" t="s">
        <v>2036</v>
      </c>
      <c r="T69" s="4088" t="s">
        <v>2036</v>
      </c>
      <c r="U69" s="4088" t="s">
        <v>2036</v>
      </c>
      <c r="V69" s="4088" t="s">
        <v>2036</v>
      </c>
      <c r="W69" s="4088" t="s">
        <v>2036</v>
      </c>
      <c r="X69" s="4088" t="s">
        <v>2036</v>
      </c>
      <c r="Y69" s="4088" t="s">
        <v>2036</v>
      </c>
      <c r="Z69" s="4088" t="s">
        <v>2036</v>
      </c>
      <c r="AA69" s="4088" t="s">
        <v>2036</v>
      </c>
      <c r="AB69" s="4088" t="s">
        <v>2036</v>
      </c>
      <c r="AC69" s="4088" t="s">
        <v>2036</v>
      </c>
      <c r="AD69" s="4088" t="s">
        <v>2036</v>
      </c>
      <c r="AE69" s="4088" t="s">
        <v>2036</v>
      </c>
      <c r="AF69" s="4088" t="s">
        <v>2036</v>
      </c>
      <c r="AG69" s="4088" t="s">
        <v>2036</v>
      </c>
      <c r="AH69" s="4088" t="s">
        <v>2036</v>
      </c>
      <c r="AI69" s="4088" t="s">
        <v>2036</v>
      </c>
      <c r="AJ69" s="4088" t="s">
        <v>2036</v>
      </c>
      <c r="AK69" s="4088" t="s">
        <v>2036</v>
      </c>
      <c r="AL69" s="4099"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topLeftCell="A101" workbookViewId="0">
      <selection activeCell="I89" sqref="I89:J91"/>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2460</v>
      </c>
    </row>
    <row r="2" spans="2:11" ht="16.350000000000001" customHeight="1" x14ac:dyDescent="0.25">
      <c r="B2" s="1020" t="s">
        <v>229</v>
      </c>
      <c r="J2" s="14" t="s">
        <v>2461</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8"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1226615.9221567658</v>
      </c>
      <c r="D10" s="1938" t="s">
        <v>97</v>
      </c>
      <c r="E10" s="615"/>
      <c r="F10" s="615"/>
      <c r="G10" s="615"/>
      <c r="H10" s="1851">
        <f>IF(SUM(H11:H14)=0,"NO",SUM(H11:H14))</f>
        <v>82772.894979733144</v>
      </c>
      <c r="I10" s="1851">
        <f>IF(SUM(I11:I15)=0,"NO",SUM(I11:I15))</f>
        <v>19.847976582840413</v>
      </c>
      <c r="J10" s="2217">
        <f>IF(SUM(J11:J15)=0,"NO",SUM(J11:J15))</f>
        <v>6.7968941140769177</v>
      </c>
    </row>
    <row r="11" spans="2:11" ht="18" customHeight="1" x14ac:dyDescent="0.2">
      <c r="B11" s="282" t="s">
        <v>243</v>
      </c>
      <c r="C11" s="1938">
        <f>IF(SUM(C17:C18,C21:C24,C82,C89:C92,C100)=0,"NO",SUM(C17:C18,C21:C24,C82,C89:C92,C100))</f>
        <v>1193459.947139381</v>
      </c>
      <c r="D11" s="1934" t="s">
        <v>97</v>
      </c>
      <c r="E11" s="1938">
        <f>IFERROR(H11*1000/$C11,"NA")</f>
        <v>68.041614271095526</v>
      </c>
      <c r="F11" s="1938">
        <f t="shared" ref="F11:G15" si="0">IFERROR(I11*1000000/$C11,"NA")</f>
        <v>16.138861263673935</v>
      </c>
      <c r="G11" s="1938">
        <f t="shared" si="0"/>
        <v>5.6813441094579398</v>
      </c>
      <c r="H11" s="1938">
        <f>IF(SUM(H17:H18,H21:H24,H82,H89:H92,H100)=0,"NO",SUM(H17:H18,H21:H24,H82,H89:H92,H100))</f>
        <v>81204.941371259818</v>
      </c>
      <c r="I11" s="1938">
        <f>IF(SUM(I17:I18,I21:I24,I82,I89:I92,I100)=0,"NO",SUM(I17:I18,I21:I24,I82,I89:I92,I100))</f>
        <v>19.261084510634099</v>
      </c>
      <c r="J11" s="3064">
        <f>IF(SUM(J17:J18,J21:J24,J82,J89:J92,J100)=0,"NO",SUM(J17:J18,J21:J24,J82,J89:J92,J100))</f>
        <v>6.7804566405543065</v>
      </c>
    </row>
    <row r="12" spans="2:11" ht="18" customHeight="1" x14ac:dyDescent="0.2">
      <c r="B12" s="282" t="s">
        <v>245</v>
      </c>
      <c r="C12" s="1938">
        <f>IF(SUM(C83,C101,C97)=0,"NO",SUM(C83,C101,C97))</f>
        <v>7400.0000000000009</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4" t="str">
        <f>IF(SUM(J83,J101)=0,"NO",SUM(J83,J101))</f>
        <v>NO</v>
      </c>
    </row>
    <row r="13" spans="2:11" ht="18" customHeight="1" x14ac:dyDescent="0.2">
      <c r="B13" s="282" t="s">
        <v>246</v>
      </c>
      <c r="C13" s="1938">
        <f>IF(SUM(C26,C84,C94,C102)=0,"NO",SUM(C26,C84,C94,C102))</f>
        <v>17518.789595866772</v>
      </c>
      <c r="D13" s="1934" t="s">
        <v>97</v>
      </c>
      <c r="E13" s="1938">
        <f t="shared" si="1"/>
        <v>51.411918339265</v>
      </c>
      <c r="F13" s="1938">
        <f t="shared" si="0"/>
        <v>17.048641471130065</v>
      </c>
      <c r="G13" s="1938">
        <f t="shared" si="0"/>
        <v>0.17705921922817075</v>
      </c>
      <c r="H13" s="1938">
        <f>IF(SUM(H26,H84,H94,H102)=0,"NO",SUM(H26,H84,H94,H102))</f>
        <v>900.67458010546784</v>
      </c>
      <c r="I13" s="1938">
        <f>IF(SUM(I26,I84,I94,I102)=0,"NO",SUM(I26,I84,I94,I102))</f>
        <v>0.29867156282809615</v>
      </c>
      <c r="J13" s="3064">
        <f>IF(SUM(J26,J84,J94,J102)=0,"NO",SUM(J26,J84,J94,J102))</f>
        <v>3.1018632076667716E-3</v>
      </c>
    </row>
    <row r="14" spans="2:11" ht="18" customHeight="1" x14ac:dyDescent="0.2">
      <c r="B14" s="282" t="s">
        <v>290</v>
      </c>
      <c r="C14" s="1938">
        <f>IF(SUM(C28,C86,C96,C103)=0,"NO",SUM(C28,C86,C96,C103))</f>
        <v>7417.449227392478</v>
      </c>
      <c r="D14" s="1934" t="s">
        <v>97</v>
      </c>
      <c r="E14" s="1938">
        <f t="shared" si="1"/>
        <v>89.960713974774748</v>
      </c>
      <c r="F14" s="1938">
        <f t="shared" si="0"/>
        <v>31.924721388789937</v>
      </c>
      <c r="G14" s="1938">
        <f t="shared" si="0"/>
        <v>0.99764754339968553</v>
      </c>
      <c r="H14" s="1938">
        <f>IF(SUM(H28,H86,H96,H103)=0,"NO",SUM(H28,H86,H96,H103))</f>
        <v>667.27902836786859</v>
      </c>
      <c r="I14" s="1938">
        <f>IF(SUM(I28,I86,I96,I103)=0,"NO",SUM(I28,I86,I96,I103))</f>
        <v>0.23680000000000004</v>
      </c>
      <c r="J14" s="3064">
        <f>IF(SUM(J28,J86,J96,J103)=0,"NO",SUM(J28,J86,J96,J103))</f>
        <v>7.4000000000000012E-3</v>
      </c>
    </row>
    <row r="15" spans="2:11" ht="18" customHeight="1" x14ac:dyDescent="0.2">
      <c r="B15" s="282" t="s">
        <v>249</v>
      </c>
      <c r="C15" s="1938">
        <f>IF(SUM(C19,C27,C85,C95,C104)=0,"NO",SUM(C19,C27,C85,C95,C104))</f>
        <v>819.73619412550022</v>
      </c>
      <c r="D15" s="1938" t="s">
        <v>97</v>
      </c>
      <c r="E15" s="1938">
        <f t="shared" si="1"/>
        <v>67.260000000000019</v>
      </c>
      <c r="F15" s="1938">
        <f t="shared" si="0"/>
        <v>62.728118810312246</v>
      </c>
      <c r="G15" s="1938">
        <f t="shared" si="0"/>
        <v>7.240878660087394</v>
      </c>
      <c r="H15" s="1938">
        <f>IF(SUM(H19,H27,H85,H95,H104)=0,"NO",SUM(H19,H27,H85,H95,H104))</f>
        <v>55.135456416881155</v>
      </c>
      <c r="I15" s="1938">
        <f>IF(SUM(I19,I27,I85,I95,I104)=0,"NO",SUM(I19,I27,I85,I95,I104))</f>
        <v>5.1420509378217558E-2</v>
      </c>
      <c r="J15" s="3064">
        <f>IF(SUM(J19,J27,J85,J95,J104)=0,"NO",SUM(J19,J27,J85,J95,J104))</f>
        <v>5.9356103149445913E-3</v>
      </c>
    </row>
    <row r="16" spans="2:11" ht="18" customHeight="1" x14ac:dyDescent="0.2">
      <c r="B16" s="1240" t="s">
        <v>291</v>
      </c>
      <c r="C16" s="1938">
        <f>IF(SUM(C17:C19)=0,"NO",SUM(C17:C19))</f>
        <v>88001.384645242142</v>
      </c>
      <c r="D16" s="1934" t="s">
        <v>97</v>
      </c>
      <c r="E16" s="615"/>
      <c r="F16" s="615"/>
      <c r="G16" s="615"/>
      <c r="H16" s="1938">
        <f>IF(SUM(H17:H18)=0,"NO",SUM(H17:H18))</f>
        <v>6117.2957125230123</v>
      </c>
      <c r="I16" s="1938">
        <f>IF(SUM(I17:I19)=0,"NO",SUM(I17:I19))</f>
        <v>2.9418044055001608E-2</v>
      </c>
      <c r="J16" s="3064">
        <f>IF(SUM(J17:J19)=0,"NO",SUM(J17:J19))</f>
        <v>4.8243052490112667E-2</v>
      </c>
    </row>
    <row r="17" spans="2:10" ht="18" customHeight="1" x14ac:dyDescent="0.2">
      <c r="B17" s="282" t="s">
        <v>292</v>
      </c>
      <c r="C17" s="699">
        <v>2923.3303022460577</v>
      </c>
      <c r="D17" s="1934" t="s">
        <v>97</v>
      </c>
      <c r="E17" s="1938">
        <f t="shared" ref="E17:E19" si="2">IFERROR(H17*1000/$C17,"NA")</f>
        <v>66.999999999999986</v>
      </c>
      <c r="F17" s="1938">
        <f t="shared" ref="F17:G19" si="3">IFERROR(I17*1000000/$C17,"NA")</f>
        <v>0.5</v>
      </c>
      <c r="G17" s="1938">
        <f t="shared" si="3"/>
        <v>2</v>
      </c>
      <c r="H17" s="699">
        <v>195.86313025048585</v>
      </c>
      <c r="I17" s="699">
        <v>1.4616651511230288E-3</v>
      </c>
      <c r="J17" s="2921">
        <v>5.8466606044921153E-3</v>
      </c>
    </row>
    <row r="18" spans="2:10" ht="18" customHeight="1" x14ac:dyDescent="0.2">
      <c r="B18" s="282" t="s">
        <v>293</v>
      </c>
      <c r="C18" s="699">
        <v>85078.054342996082</v>
      </c>
      <c r="D18" s="1934" t="s">
        <v>97</v>
      </c>
      <c r="E18" s="1938">
        <f t="shared" si="2"/>
        <v>69.599999999999994</v>
      </c>
      <c r="F18" s="1938">
        <f t="shared" si="3"/>
        <v>0.32859682934415912</v>
      </c>
      <c r="G18" s="1938">
        <f t="shared" si="3"/>
        <v>0.49832347734114318</v>
      </c>
      <c r="H18" s="699">
        <v>5921.4325822725268</v>
      </c>
      <c r="I18" s="699">
        <v>2.795637890387858E-2</v>
      </c>
      <c r="J18" s="2921">
        <v>4.2396391885620555E-2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1" t="s">
        <v>199</v>
      </c>
    </row>
    <row r="20" spans="2:10" ht="18" customHeight="1" x14ac:dyDescent="0.2">
      <c r="B20" s="1244" t="s">
        <v>295</v>
      </c>
      <c r="C20" s="1938">
        <f>IF(SUM(C21:C24,C26:C28)=0,"NO",SUM(C21:C24,C26:C28))</f>
        <v>1055918.95053591</v>
      </c>
      <c r="D20" s="1934" t="s">
        <v>97</v>
      </c>
      <c r="E20" s="615"/>
      <c r="F20" s="615"/>
      <c r="G20" s="615"/>
      <c r="H20" s="1938">
        <f>IF(SUM(H21:H24,H26,H28)=0,"NO",SUM(H21:H24,H26,H28))</f>
        <v>71544.886560288302</v>
      </c>
      <c r="I20" s="1938">
        <f>IF(SUM(I21:I24,I26:I28)=0,"NO",SUM(I21:I24,I26:I28))</f>
        <v>15.309054118584058</v>
      </c>
      <c r="J20" s="3064">
        <f>IF(SUM(J21:J24,J26:J28)=0,"NO",SUM(J21:J24,J26:J28))</f>
        <v>5.8744397031814515</v>
      </c>
    </row>
    <row r="21" spans="2:10" ht="18" customHeight="1" x14ac:dyDescent="0.2">
      <c r="B21" s="282" t="s">
        <v>281</v>
      </c>
      <c r="C21" s="1938">
        <f>IF(SUM(C31,C41,C51,C61,C72)=0,"NO",SUM(C31,C41,C51,C61,C72))</f>
        <v>632345.55721853592</v>
      </c>
      <c r="D21" s="1934" t="s">
        <v>97</v>
      </c>
      <c r="E21" s="1938">
        <f t="shared" ref="E21:E23" si="4">IFERROR(H21*1000/$C21,"NA")</f>
        <v>67.399999999999991</v>
      </c>
      <c r="F21" s="1938">
        <f t="shared" ref="F21:G23" si="5">IFERROR(I21*1000000/$C21,"NA")</f>
        <v>16.167265968459866</v>
      </c>
      <c r="G21" s="1938">
        <f t="shared" si="5"/>
        <v>8.1331033606253094</v>
      </c>
      <c r="H21" s="1938">
        <f t="shared" ref="H21:J23" si="6">IF(SUM(H31,H41,H51,H61,H72)=0,"NO",SUM(H31,H41,H51,H61,H72))</f>
        <v>42620.090556529314</v>
      </c>
      <c r="I21" s="1938">
        <f t="shared" si="6"/>
        <v>10.223298807526026</v>
      </c>
      <c r="J21" s="3064">
        <f t="shared" si="6"/>
        <v>5.142931776490558</v>
      </c>
    </row>
    <row r="22" spans="2:10" ht="18" customHeight="1" x14ac:dyDescent="0.2">
      <c r="B22" s="282" t="s">
        <v>282</v>
      </c>
      <c r="C22" s="1938">
        <f>IF(SUM(C32,C42,C52,C62,C73)=0,"NO",SUM(C32,C42,C52,C62,C73))</f>
        <v>359430.87573693262</v>
      </c>
      <c r="D22" s="1934" t="s">
        <v>97</v>
      </c>
      <c r="E22" s="1938">
        <f t="shared" si="4"/>
        <v>69.900000000000006</v>
      </c>
      <c r="F22" s="1938">
        <f t="shared" si="5"/>
        <v>8.6316458313068765</v>
      </c>
      <c r="G22" s="1938">
        <f t="shared" si="5"/>
        <v>1.6722801402489471</v>
      </c>
      <c r="H22" s="1938">
        <f t="shared" si="6"/>
        <v>25124.218214011595</v>
      </c>
      <c r="I22" s="1938">
        <f t="shared" si="6"/>
        <v>3.1024800201976745</v>
      </c>
      <c r="J22" s="3064">
        <f t="shared" si="6"/>
        <v>0.60106911528715956</v>
      </c>
    </row>
    <row r="23" spans="2:10" ht="18" customHeight="1" x14ac:dyDescent="0.2">
      <c r="B23" s="282" t="s">
        <v>283</v>
      </c>
      <c r="C23" s="1938">
        <f>IF(SUM(C33,C43,C53,C63,C74)=0,"NO",SUM(C33,C43,C53,C63,C74))</f>
        <v>61908.999999999993</v>
      </c>
      <c r="D23" s="1934" t="s">
        <v>97</v>
      </c>
      <c r="E23" s="1938">
        <f t="shared" si="4"/>
        <v>60.199999999999996</v>
      </c>
      <c r="F23" s="1938">
        <f t="shared" si="5"/>
        <v>28.902874200940598</v>
      </c>
      <c r="G23" s="1938">
        <f t="shared" si="5"/>
        <v>1.9893790489250009</v>
      </c>
      <c r="H23" s="1938">
        <f t="shared" si="6"/>
        <v>3726.9217999999992</v>
      </c>
      <c r="I23" s="1938">
        <f t="shared" si="6"/>
        <v>1.7893480389060312</v>
      </c>
      <c r="J23" s="3064">
        <f t="shared" si="6"/>
        <v>0.12316046753989787</v>
      </c>
    </row>
    <row r="24" spans="2:10" ht="18" customHeight="1" x14ac:dyDescent="0.2">
      <c r="B24" s="282" t="s">
        <v>296</v>
      </c>
      <c r="C24" s="1938" t="str">
        <f>C25</f>
        <v>NO</v>
      </c>
      <c r="D24" s="1934" t="s">
        <v>97</v>
      </c>
      <c r="E24" s="615"/>
      <c r="F24" s="615"/>
      <c r="G24" s="615"/>
      <c r="H24" s="1938" t="str">
        <f>H25</f>
        <v>NO</v>
      </c>
      <c r="I24" s="1938" t="str">
        <f>I25</f>
        <v>NO</v>
      </c>
      <c r="J24" s="3064" t="str">
        <f>J25</f>
        <v>NO</v>
      </c>
    </row>
    <row r="25" spans="2:10" ht="18" customHeight="1" x14ac:dyDescent="0.2">
      <c r="B25" s="3083"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4" t="str">
        <f>IF(SUM(J35,J45,J55,J65,J76)=0,"NO",SUM(J35,J45,J55,J65,J76))</f>
        <v>NO</v>
      </c>
    </row>
    <row r="26" spans="2:10" ht="18" customHeight="1" x14ac:dyDescent="0.2">
      <c r="B26" s="282" t="s">
        <v>246</v>
      </c>
      <c r="C26" s="1938">
        <f t="shared" ref="C26:C29" si="9">IF(SUM(C36,C46,C56,C66,C77)=0,"NO",SUM(C36,C46,C56,C66,C77))</f>
        <v>1426.9562295123417</v>
      </c>
      <c r="D26" s="1934" t="s">
        <v>97</v>
      </c>
      <c r="E26" s="1938">
        <f t="shared" si="7"/>
        <v>51.411918339264979</v>
      </c>
      <c r="F26" s="1938">
        <f t="shared" si="8"/>
        <v>108.80688398921954</v>
      </c>
      <c r="G26" s="1938">
        <f t="shared" si="8"/>
        <v>0.99999999999999956</v>
      </c>
      <c r="H26" s="1938">
        <f t="shared" ref="H26:J29" si="10">IF(SUM(H36,H46,H56,H66,H77)=0,"NO",SUM(H36,H46,H56,H66,H77))</f>
        <v>73.362557145393964</v>
      </c>
      <c r="I26" s="1938">
        <f t="shared" si="10"/>
        <v>0.1552626609222435</v>
      </c>
      <c r="J26" s="3064">
        <f t="shared" si="10"/>
        <v>1.426956229512341E-3</v>
      </c>
    </row>
    <row r="27" spans="2:10" ht="18" customHeight="1" x14ac:dyDescent="0.2">
      <c r="B27" s="282" t="s">
        <v>249</v>
      </c>
      <c r="C27" s="1938">
        <f t="shared" si="9"/>
        <v>802.55817764117614</v>
      </c>
      <c r="D27" s="1934" t="s">
        <v>97</v>
      </c>
      <c r="E27" s="1938">
        <f t="shared" si="7"/>
        <v>67.260000000000005</v>
      </c>
      <c r="F27" s="1938">
        <f t="shared" si="8"/>
        <v>48.176683148034904</v>
      </c>
      <c r="G27" s="1938">
        <f t="shared" si="8"/>
        <v>7.2909202065852341</v>
      </c>
      <c r="H27" s="1938">
        <f t="shared" si="10"/>
        <v>53.980063028145516</v>
      </c>
      <c r="I27" s="1938">
        <f t="shared" si="10"/>
        <v>3.8664591032083258E-2</v>
      </c>
      <c r="J27" s="3064">
        <f t="shared" si="10"/>
        <v>5.8513876343242724E-3</v>
      </c>
    </row>
    <row r="28" spans="2:10" ht="18" customHeight="1" x14ac:dyDescent="0.2">
      <c r="B28" s="282" t="s">
        <v>290</v>
      </c>
      <c r="C28" s="1938">
        <f>C29</f>
        <v>4.0031732879702329</v>
      </c>
      <c r="D28" s="1934" t="s">
        <v>97</v>
      </c>
      <c r="E28" s="615"/>
      <c r="F28" s="615"/>
      <c r="G28" s="615"/>
      <c r="H28" s="1938">
        <f>H29</f>
        <v>0.29343260200821819</v>
      </c>
      <c r="I28" s="1938" t="str">
        <f>I29</f>
        <v>NE</v>
      </c>
      <c r="J28" s="3064" t="str">
        <f>J29</f>
        <v>NE</v>
      </c>
    </row>
    <row r="29" spans="2:10" ht="18" customHeight="1" x14ac:dyDescent="0.2">
      <c r="B29" s="3083" t="s">
        <v>297</v>
      </c>
      <c r="C29" s="1938">
        <f t="shared" si="9"/>
        <v>4.0031732879702329</v>
      </c>
      <c r="D29" s="1934" t="s">
        <v>97</v>
      </c>
      <c r="E29" s="3081">
        <f t="shared" ref="E29" si="11">IFERROR(H29*1000/$C29,"NA")</f>
        <v>73.300000000000026</v>
      </c>
      <c r="F29" s="3081" t="str">
        <f>IFERROR(I29*1000000/$C29,"NA")</f>
        <v>NA</v>
      </c>
      <c r="G29" s="3081" t="str">
        <f>IFERROR(J29*1000000/$C29,"NA")</f>
        <v>NA</v>
      </c>
      <c r="H29" s="1938">
        <f t="shared" si="10"/>
        <v>0.29343260200821819</v>
      </c>
      <c r="I29" s="1938" t="str">
        <f>IF(SUM(I39,I49,I59,I69,I80)=0,"NE",SUM(I39,I49,I59,I69,I80))</f>
        <v>NE</v>
      </c>
      <c r="J29" s="3064" t="str">
        <f>IF(SUM(J39,J49,J59,J69,J80)=0,"NE",SUM(J39,J49,J59,J69,J80))</f>
        <v>NE</v>
      </c>
    </row>
    <row r="30" spans="2:10" ht="18" customHeight="1" x14ac:dyDescent="0.2">
      <c r="B30" s="1241" t="s">
        <v>298</v>
      </c>
      <c r="C30" s="1938">
        <f>IF(SUM(C31:C34,C36:C38)=0,"NO",SUM(C31:C34,C36:C38))</f>
        <v>612360.50239633874</v>
      </c>
      <c r="D30" s="1934" t="s">
        <v>97</v>
      </c>
      <c r="E30" s="615"/>
      <c r="F30" s="615"/>
      <c r="G30" s="615"/>
      <c r="H30" s="1938">
        <f>IF(SUM(H31:H34,H36,H38)=0,"NO",SUM(H31:H34,H36,H38))</f>
        <v>40991.47746247943</v>
      </c>
      <c r="I30" s="1938">
        <f>IF(SUM(I31:I34,I36:I38)=0,"NO",SUM(I31:I34,I36:I38))</f>
        <v>10.128314996134394</v>
      </c>
      <c r="J30" s="3064">
        <f>IF(SUM(J31:J34,J36:J38)=0,"NO",SUM(J31:J34,J36:J38))</f>
        <v>4.8686334891963075</v>
      </c>
    </row>
    <row r="31" spans="2:10" ht="18" customHeight="1" x14ac:dyDescent="0.2">
      <c r="B31" s="282" t="s">
        <v>281</v>
      </c>
      <c r="C31" s="699">
        <v>532984.62679311854</v>
      </c>
      <c r="D31" s="1934" t="s">
        <v>97</v>
      </c>
      <c r="E31" s="1938">
        <f t="shared" ref="E31:E33" si="12">IFERROR(H31*1000/$C31,"NA")</f>
        <v>67.400000000000006</v>
      </c>
      <c r="F31" s="1938">
        <f t="shared" ref="F31:G33" si="13">IFERROR(I31*1000000/$C31,"NA")</f>
        <v>16.018660206888558</v>
      </c>
      <c r="G31" s="1938">
        <f t="shared" si="13"/>
        <v>8.9049034779892651</v>
      </c>
      <c r="H31" s="699">
        <v>35923.163845856187</v>
      </c>
      <c r="I31" s="699">
        <v>8.5376996320942773</v>
      </c>
      <c r="J31" s="2921">
        <v>4.7461766568448516</v>
      </c>
    </row>
    <row r="32" spans="2:10" ht="18" customHeight="1" x14ac:dyDescent="0.2">
      <c r="B32" s="282" t="s">
        <v>282</v>
      </c>
      <c r="C32" s="699">
        <v>34056.190530772103</v>
      </c>
      <c r="D32" s="1934" t="s">
        <v>97</v>
      </c>
      <c r="E32" s="1938">
        <f t="shared" si="12"/>
        <v>69.90000000000002</v>
      </c>
      <c r="F32" s="1938">
        <f t="shared" si="13"/>
        <v>7.6046048182094399</v>
      </c>
      <c r="G32" s="1938">
        <f t="shared" si="13"/>
        <v>0.91257239110240362</v>
      </c>
      <c r="H32" s="699">
        <v>2380.5277181009706</v>
      </c>
      <c r="I32" s="699">
        <v>0.25898387060016825</v>
      </c>
      <c r="J32" s="2921">
        <v>3.1078739224505735E-2</v>
      </c>
    </row>
    <row r="33" spans="2:10" ht="18" customHeight="1" x14ac:dyDescent="0.2">
      <c r="B33" s="282" t="s">
        <v>283</v>
      </c>
      <c r="C33" s="699">
        <v>44624.062291434922</v>
      </c>
      <c r="D33" s="1934" t="s">
        <v>97</v>
      </c>
      <c r="E33" s="1938">
        <f t="shared" si="12"/>
        <v>60.199999999999989</v>
      </c>
      <c r="F33" s="1938">
        <f t="shared" si="13"/>
        <v>28.971707672201823</v>
      </c>
      <c r="G33" s="1938">
        <f t="shared" si="13"/>
        <v>1.9509531424129365</v>
      </c>
      <c r="H33" s="699">
        <v>2686.3685499443818</v>
      </c>
      <c r="I33" s="699">
        <v>1.2928352878535772</v>
      </c>
      <c r="J33" s="2921">
        <v>8.7059454554705595E-2</v>
      </c>
    </row>
    <row r="34" spans="2:10" ht="18" customHeight="1" x14ac:dyDescent="0.2">
      <c r="B34" s="282" t="s">
        <v>284</v>
      </c>
      <c r="C34" s="1938" t="str">
        <f>C35</f>
        <v>NO</v>
      </c>
      <c r="D34" s="1934" t="s">
        <v>97</v>
      </c>
      <c r="E34" s="615"/>
      <c r="F34" s="615"/>
      <c r="G34" s="615"/>
      <c r="H34" s="1938" t="str">
        <f>H35</f>
        <v>NO</v>
      </c>
      <c r="I34" s="1938" t="str">
        <f>I35</f>
        <v>NO</v>
      </c>
      <c r="J34" s="3064" t="str">
        <f>J35</f>
        <v>NO</v>
      </c>
    </row>
    <row r="35" spans="2:10" ht="18" customHeight="1" x14ac:dyDescent="0.2">
      <c r="B35" s="3083"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1" t="s">
        <v>199</v>
      </c>
    </row>
    <row r="36" spans="2:10" ht="18" customHeight="1" x14ac:dyDescent="0.2">
      <c r="B36" s="282" t="s">
        <v>246</v>
      </c>
      <c r="C36" s="699">
        <v>27.56848263340121</v>
      </c>
      <c r="D36" s="1934" t="s">
        <v>97</v>
      </c>
      <c r="E36" s="1938">
        <f t="shared" si="14"/>
        <v>51.411918339265007</v>
      </c>
      <c r="F36" s="1938">
        <f t="shared" si="15"/>
        <v>261.00000000000006</v>
      </c>
      <c r="G36" s="1938">
        <f t="shared" si="15"/>
        <v>1.0000000000000002</v>
      </c>
      <c r="H36" s="699">
        <v>1.4173485778858685</v>
      </c>
      <c r="I36" s="699">
        <v>7.1953739673177169E-3</v>
      </c>
      <c r="J36" s="2921">
        <v>2.7568482633401219E-5</v>
      </c>
    </row>
    <row r="37" spans="2:10" ht="18" customHeight="1" x14ac:dyDescent="0.2">
      <c r="B37" s="282" t="s">
        <v>249</v>
      </c>
      <c r="C37" s="699">
        <v>668.05429837971769</v>
      </c>
      <c r="D37" s="1934" t="s">
        <v>97</v>
      </c>
      <c r="E37" s="1938">
        <f t="shared" si="14"/>
        <v>67.260000000000005</v>
      </c>
      <c r="F37" s="1938">
        <f t="shared" si="15"/>
        <v>47.302789153062626</v>
      </c>
      <c r="G37" s="1938">
        <f t="shared" si="15"/>
        <v>6.4232355064827944</v>
      </c>
      <c r="H37" s="699">
        <v>44.933332109019815</v>
      </c>
      <c r="I37" s="699">
        <v>3.1600831619052971E-2</v>
      </c>
      <c r="J37" s="2921">
        <v>4.2910700896110539E-3</v>
      </c>
    </row>
    <row r="38" spans="2:10" ht="18" customHeight="1" x14ac:dyDescent="0.2">
      <c r="B38" s="282" t="s">
        <v>299</v>
      </c>
      <c r="C38" s="1938" t="str">
        <f>C39</f>
        <v>NO</v>
      </c>
      <c r="D38" s="1934" t="s">
        <v>97</v>
      </c>
      <c r="E38" s="615"/>
      <c r="F38" s="615"/>
      <c r="G38" s="615"/>
      <c r="H38" s="1938" t="str">
        <f>H39</f>
        <v>NO</v>
      </c>
      <c r="I38" s="1938" t="str">
        <f>I39</f>
        <v>NO</v>
      </c>
      <c r="J38" s="3064" t="str">
        <f>J39</f>
        <v>NO</v>
      </c>
    </row>
    <row r="39" spans="2:10" ht="18" customHeight="1" x14ac:dyDescent="0.2">
      <c r="B39" s="3083" t="s">
        <v>297</v>
      </c>
      <c r="C39" s="699" t="s">
        <v>199</v>
      </c>
      <c r="D39" s="1934" t="s">
        <v>97</v>
      </c>
      <c r="E39" s="3081" t="str">
        <f t="shared" ref="E39" si="16">IFERROR(H39*1000/$C39,"NA")</f>
        <v>NA</v>
      </c>
      <c r="F39" s="3081" t="str">
        <f>IFERROR(I39*1000000/$C39,"NA")</f>
        <v>NA</v>
      </c>
      <c r="G39" s="3081" t="str">
        <f>IFERROR(J39*1000000/$C39,"NA")</f>
        <v>NA</v>
      </c>
      <c r="H39" s="699" t="s">
        <v>199</v>
      </c>
      <c r="I39" s="699" t="s">
        <v>199</v>
      </c>
      <c r="J39" s="2921" t="s">
        <v>199</v>
      </c>
    </row>
    <row r="40" spans="2:10" ht="18" customHeight="1" x14ac:dyDescent="0.2">
      <c r="B40" s="1241" t="s">
        <v>300</v>
      </c>
      <c r="C40" s="1938">
        <f>IF(SUM(C41:C44,C46:C48)=0,"NO",SUM(C41:C44,C46:C48))</f>
        <v>173224.59629006285</v>
      </c>
      <c r="D40" s="1934" t="s">
        <v>97</v>
      </c>
      <c r="E40" s="615"/>
      <c r="F40" s="615"/>
      <c r="G40" s="615"/>
      <c r="H40" s="1938">
        <f>IF(SUM(H41:H44,H46,H48)=0,"NO",SUM(H41:H44,H46,H48))</f>
        <v>11717.77068245295</v>
      </c>
      <c r="I40" s="1938">
        <f>IF(SUM(I41:I44,I46:I48)=0,"NO",SUM(I41:I44,I46:I48))</f>
        <v>3.0286470232465788</v>
      </c>
      <c r="J40" s="3064">
        <f>IF(SUM(J41:J44,J46:J48)=0,"NO",SUM(J41:J44,J46:J48))</f>
        <v>0.47560752530337214</v>
      </c>
    </row>
    <row r="41" spans="2:10" ht="18" customHeight="1" x14ac:dyDescent="0.2">
      <c r="B41" s="282" t="s">
        <v>281</v>
      </c>
      <c r="C41" s="699">
        <v>93129.934788489612</v>
      </c>
      <c r="D41" s="1934" t="s">
        <v>97</v>
      </c>
      <c r="E41" s="1938">
        <f t="shared" ref="E41:E43" si="17">IFERROR(H41*1000/$C41,"NA")</f>
        <v>67.399999999999991</v>
      </c>
      <c r="F41" s="1938">
        <f t="shared" ref="F41:G43" si="18">IFERROR(I41*1000000/$C41,"NA")</f>
        <v>14.636595853063158</v>
      </c>
      <c r="G41" s="1938">
        <f t="shared" si="18"/>
        <v>4.1973761146225472</v>
      </c>
      <c r="H41" s="699">
        <v>6276.9576047441997</v>
      </c>
      <c r="I41" s="699">
        <v>1.3631052173212495</v>
      </c>
      <c r="J41" s="2921">
        <v>0.39090136383756169</v>
      </c>
    </row>
    <row r="42" spans="2:10" ht="18" customHeight="1" x14ac:dyDescent="0.2">
      <c r="B42" s="282" t="s">
        <v>282</v>
      </c>
      <c r="C42" s="699">
        <v>64699.091695284384</v>
      </c>
      <c r="D42" s="1934" t="s">
        <v>97</v>
      </c>
      <c r="E42" s="1938">
        <f t="shared" si="17"/>
        <v>69.900000000000006</v>
      </c>
      <c r="F42" s="1938">
        <f t="shared" si="18"/>
        <v>18.240565129165205</v>
      </c>
      <c r="G42" s="1938">
        <f t="shared" si="18"/>
        <v>0.77989365200750749</v>
      </c>
      <c r="H42" s="699">
        <v>4522.4665095003784</v>
      </c>
      <c r="I42" s="699">
        <v>1.1801479958656667</v>
      </c>
      <c r="J42" s="2921">
        <v>5.0458410903803937E-2</v>
      </c>
    </row>
    <row r="43" spans="2:10" ht="18" customHeight="1" x14ac:dyDescent="0.2">
      <c r="B43" s="282" t="s">
        <v>283</v>
      </c>
      <c r="C43" s="699">
        <v>15219.008898776419</v>
      </c>
      <c r="D43" s="1934" t="s">
        <v>97</v>
      </c>
      <c r="E43" s="1938">
        <f t="shared" si="17"/>
        <v>60.2</v>
      </c>
      <c r="F43" s="1938">
        <f t="shared" si="18"/>
        <v>30.708515211572525</v>
      </c>
      <c r="G43" s="1938">
        <f t="shared" si="18"/>
        <v>2.1450395493012029</v>
      </c>
      <c r="H43" s="699">
        <v>916.18433570634045</v>
      </c>
      <c r="I43" s="699">
        <v>0.46735316627313328</v>
      </c>
      <c r="J43" s="2921">
        <v>3.2645375989042366E-2</v>
      </c>
    </row>
    <row r="44" spans="2:10" ht="18" customHeight="1" x14ac:dyDescent="0.2">
      <c r="B44" s="282" t="s">
        <v>284</v>
      </c>
      <c r="C44" s="1938" t="str">
        <f>C45</f>
        <v>NO</v>
      </c>
      <c r="D44" s="1934" t="s">
        <v>97</v>
      </c>
      <c r="E44" s="615"/>
      <c r="F44" s="615"/>
      <c r="G44" s="615"/>
      <c r="H44" s="1938" t="str">
        <f>H45</f>
        <v>NO</v>
      </c>
      <c r="I44" s="1938" t="str">
        <f>I45</f>
        <v>NO</v>
      </c>
      <c r="J44" s="3064" t="str">
        <f>J45</f>
        <v>NO</v>
      </c>
    </row>
    <row r="45" spans="2:10" ht="18" customHeight="1" x14ac:dyDescent="0.2">
      <c r="B45" s="3083"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1" t="s">
        <v>199</v>
      </c>
    </row>
    <row r="46" spans="2:10" ht="18" customHeight="1" x14ac:dyDescent="0.2">
      <c r="B46" s="282" t="s">
        <v>246</v>
      </c>
      <c r="C46" s="699">
        <v>42.057028250955128</v>
      </c>
      <c r="D46" s="1934" t="s">
        <v>97</v>
      </c>
      <c r="E46" s="1938">
        <f t="shared" si="19"/>
        <v>51.411918339265007</v>
      </c>
      <c r="F46" s="1938">
        <f t="shared" si="20"/>
        <v>261.00000000000006</v>
      </c>
      <c r="G46" s="1938">
        <f t="shared" si="20"/>
        <v>1</v>
      </c>
      <c r="H46" s="699">
        <v>2.1622325020302666</v>
      </c>
      <c r="I46" s="699">
        <v>1.097688437349929E-2</v>
      </c>
      <c r="J46" s="2921">
        <v>4.2057028250955131E-5</v>
      </c>
    </row>
    <row r="47" spans="2:10" ht="18" customHeight="1" x14ac:dyDescent="0.2">
      <c r="B47" s="282" t="s">
        <v>249</v>
      </c>
      <c r="C47" s="699">
        <v>134.50387926145851</v>
      </c>
      <c r="D47" s="1934" t="s">
        <v>97</v>
      </c>
      <c r="E47" s="1938">
        <f t="shared" si="19"/>
        <v>67.260000000000019</v>
      </c>
      <c r="F47" s="1938">
        <f t="shared" si="20"/>
        <v>52.51714264165745</v>
      </c>
      <c r="G47" s="1938">
        <f t="shared" si="20"/>
        <v>11.600539354557641</v>
      </c>
      <c r="H47" s="699">
        <v>9.0467309191257002</v>
      </c>
      <c r="I47" s="699">
        <v>7.0637594130302881E-3</v>
      </c>
      <c r="J47" s="2921">
        <v>1.5603175447132186E-3</v>
      </c>
    </row>
    <row r="48" spans="2:10" ht="18" customHeight="1" x14ac:dyDescent="0.2">
      <c r="B48" s="282" t="s">
        <v>299</v>
      </c>
      <c r="C48" s="1938" t="str">
        <f>C49</f>
        <v>NO</v>
      </c>
      <c r="D48" s="1934" t="s">
        <v>97</v>
      </c>
      <c r="E48" s="615"/>
      <c r="F48" s="615"/>
      <c r="G48" s="615"/>
      <c r="H48" s="1938" t="str">
        <f>H49</f>
        <v>NO</v>
      </c>
      <c r="I48" s="1938" t="str">
        <f>I49</f>
        <v>NO</v>
      </c>
      <c r="J48" s="3064" t="str">
        <f>J49</f>
        <v>NO</v>
      </c>
    </row>
    <row r="49" spans="2:10" ht="18" customHeight="1" x14ac:dyDescent="0.2">
      <c r="B49" s="3083" t="s">
        <v>297</v>
      </c>
      <c r="C49" s="699" t="s">
        <v>199</v>
      </c>
      <c r="D49" s="1934" t="s">
        <v>97</v>
      </c>
      <c r="E49" s="3081" t="str">
        <f t="shared" ref="E49" si="21">IFERROR(H49*1000/$C49,"NA")</f>
        <v>NA</v>
      </c>
      <c r="F49" s="3081" t="str">
        <f>IFERROR(I49*1000000/$C49,"NA")</f>
        <v>NA</v>
      </c>
      <c r="G49" s="3081" t="str">
        <f>IFERROR(J49*1000000/$C49,"NA")</f>
        <v>NA</v>
      </c>
      <c r="H49" s="699" t="s">
        <v>199</v>
      </c>
      <c r="I49" s="699" t="s">
        <v>199</v>
      </c>
      <c r="J49" s="2921" t="s">
        <v>199</v>
      </c>
    </row>
    <row r="50" spans="2:10" ht="18" customHeight="1" x14ac:dyDescent="0.2">
      <c r="B50" s="1241" t="s">
        <v>301</v>
      </c>
      <c r="C50" s="1938">
        <f>IF(SUM(C51:C54,C56:C58)=0,"NO",SUM(C51:C54,C56:C58))</f>
        <v>266175.85158493533</v>
      </c>
      <c r="D50" s="1934" t="s">
        <v>97</v>
      </c>
      <c r="E50" s="615"/>
      <c r="F50" s="615"/>
      <c r="G50" s="615"/>
      <c r="H50" s="1938">
        <f>IF(SUM(H51:H54,H56,H58)=0,"NO",SUM(H51:H54,H56,H58))</f>
        <v>18555.365578801309</v>
      </c>
      <c r="I50" s="1938">
        <f>IF(SUM(I51:I54,I56:I58)=0,"NO",SUM(I51:I54,I56:I58))</f>
        <v>1.8717953993862739</v>
      </c>
      <c r="J50" s="3064">
        <f>IF(SUM(J51:J54,J56:J58)=0,"NO",SUM(J51:J54,J56:J58))</f>
        <v>0.5264613993508821</v>
      </c>
    </row>
    <row r="51" spans="2:10" ht="18" customHeight="1" x14ac:dyDescent="0.2">
      <c r="B51" s="282" t="s">
        <v>281</v>
      </c>
      <c r="C51" s="699">
        <v>2076.9985456425738</v>
      </c>
      <c r="D51" s="1934" t="s">
        <v>97</v>
      </c>
      <c r="E51" s="1938">
        <f t="shared" ref="E51:E53" si="22">IFERROR(H51*1000/$C51,"NA")</f>
        <v>67.400000000000006</v>
      </c>
      <c r="F51" s="1938">
        <f t="shared" ref="F51:G53" si="23">IFERROR(I51*1000000/$C51,"NA")</f>
        <v>20.316460202735424</v>
      </c>
      <c r="G51" s="1938">
        <f t="shared" si="23"/>
        <v>1.0190023876976235</v>
      </c>
      <c r="H51" s="699">
        <v>139.9897019763095</v>
      </c>
      <c r="I51" s="699">
        <v>4.2197258293686701E-2</v>
      </c>
      <c r="J51" s="2921">
        <v>2.1164664772542743E-3</v>
      </c>
    </row>
    <row r="52" spans="2:10" ht="18" customHeight="1" x14ac:dyDescent="0.2">
      <c r="B52" s="282" t="s">
        <v>282</v>
      </c>
      <c r="C52" s="699">
        <v>260675.59351087612</v>
      </c>
      <c r="D52" s="1934" t="s">
        <v>97</v>
      </c>
      <c r="E52" s="1938">
        <f t="shared" si="22"/>
        <v>69.90000000000002</v>
      </c>
      <c r="F52" s="1938">
        <f t="shared" si="23"/>
        <v>6.3809125025064537</v>
      </c>
      <c r="G52" s="1938">
        <f t="shared" si="23"/>
        <v>1.9930211269938993</v>
      </c>
      <c r="H52" s="699">
        <v>18221.223986410245</v>
      </c>
      <c r="I52" s="699">
        <v>1.6633481537318398</v>
      </c>
      <c r="J52" s="2921">
        <v>0.51953196515884992</v>
      </c>
    </row>
    <row r="53" spans="2:10" ht="18" customHeight="1" x14ac:dyDescent="0.2">
      <c r="B53" s="282" t="s">
        <v>283</v>
      </c>
      <c r="C53" s="699">
        <v>2065.9288097886538</v>
      </c>
      <c r="D53" s="1934" t="s">
        <v>97</v>
      </c>
      <c r="E53" s="1938">
        <f t="shared" si="22"/>
        <v>60.200000000000017</v>
      </c>
      <c r="F53" s="1938">
        <f t="shared" si="23"/>
        <v>14.114515776709684</v>
      </c>
      <c r="G53" s="1938">
        <f t="shared" si="23"/>
        <v>1.6726796101475627</v>
      </c>
      <c r="H53" s="699">
        <v>124.36891434927699</v>
      </c>
      <c r="I53" s="699">
        <v>2.9159584779321013E-2</v>
      </c>
      <c r="J53" s="2921">
        <v>3.4556369961499037E-3</v>
      </c>
    </row>
    <row r="54" spans="2:10" ht="18" customHeight="1" x14ac:dyDescent="0.2">
      <c r="B54" s="282" t="s">
        <v>284</v>
      </c>
      <c r="C54" s="1938" t="str">
        <f>C55</f>
        <v>NO</v>
      </c>
      <c r="D54" s="1934" t="s">
        <v>97</v>
      </c>
      <c r="E54" s="615"/>
      <c r="F54" s="615"/>
      <c r="G54" s="615"/>
      <c r="H54" s="1938" t="str">
        <f>H55</f>
        <v>NO</v>
      </c>
      <c r="I54" s="1938" t="str">
        <f>I55</f>
        <v>NO</v>
      </c>
      <c r="J54" s="3064" t="str">
        <f>J55</f>
        <v>NO</v>
      </c>
    </row>
    <row r="55" spans="2:10" ht="18" customHeight="1" x14ac:dyDescent="0.2">
      <c r="B55" s="3083"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1" t="s">
        <v>199</v>
      </c>
    </row>
    <row r="56" spans="2:10" ht="18" customHeight="1" x14ac:dyDescent="0.2">
      <c r="B56" s="282" t="s">
        <v>246</v>
      </c>
      <c r="C56" s="699">
        <v>1357.3307186279853</v>
      </c>
      <c r="D56" s="1934" t="s">
        <v>97</v>
      </c>
      <c r="E56" s="1938">
        <f t="shared" si="24"/>
        <v>51.411918339264972</v>
      </c>
      <c r="F56" s="1938">
        <f t="shared" si="25"/>
        <v>100.99999999999997</v>
      </c>
      <c r="G56" s="1938">
        <f t="shared" si="25"/>
        <v>0.99999999999999944</v>
      </c>
      <c r="H56" s="699">
        <v>69.782976065477826</v>
      </c>
      <c r="I56" s="699">
        <v>0.13709040258142649</v>
      </c>
      <c r="J56" s="2921">
        <v>1.3573307186279847E-3</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1" t="s">
        <v>199</v>
      </c>
    </row>
    <row r="58" spans="2:10" ht="18" customHeight="1" x14ac:dyDescent="0.2">
      <c r="B58" s="282" t="s">
        <v>299</v>
      </c>
      <c r="C58" s="1938" t="str">
        <f>C59</f>
        <v>NO</v>
      </c>
      <c r="D58" s="1934" t="s">
        <v>97</v>
      </c>
      <c r="E58" s="615"/>
      <c r="F58" s="615"/>
      <c r="G58" s="615"/>
      <c r="H58" s="1938" t="str">
        <f>H59</f>
        <v>NO</v>
      </c>
      <c r="I58" s="1938" t="str">
        <f>I59</f>
        <v>NO</v>
      </c>
      <c r="J58" s="3064" t="str">
        <f>J59</f>
        <v>NO</v>
      </c>
    </row>
    <row r="59" spans="2:10" ht="18" customHeight="1" x14ac:dyDescent="0.2">
      <c r="B59" s="3083" t="s">
        <v>297</v>
      </c>
      <c r="C59" s="699" t="s">
        <v>199</v>
      </c>
      <c r="D59" s="1934" t="s">
        <v>97</v>
      </c>
      <c r="E59" s="3081" t="str">
        <f t="shared" ref="E59" si="26">IFERROR(H59*1000/$C59,"NA")</f>
        <v>NA</v>
      </c>
      <c r="F59" s="3081" t="str">
        <f>IFERROR(I59*1000000/$C59,"NA")</f>
        <v>NA</v>
      </c>
      <c r="G59" s="3081" t="str">
        <f>IFERROR(J59*1000000/$C59,"NA")</f>
        <v>NA</v>
      </c>
      <c r="H59" s="699" t="s">
        <v>199</v>
      </c>
      <c r="I59" s="699" t="s">
        <v>199</v>
      </c>
      <c r="J59" s="2921" t="s">
        <v>199</v>
      </c>
    </row>
    <row r="60" spans="2:10" ht="18" customHeight="1" x14ac:dyDescent="0.2">
      <c r="B60" s="1241" t="s">
        <v>302</v>
      </c>
      <c r="C60" s="1938">
        <f>IF(SUM(C61:C64,C66:C68)=0,"NO",SUM(C61:C64,C66:C68))</f>
        <v>4158.0002645731183</v>
      </c>
      <c r="D60" s="1934" t="s">
        <v>97</v>
      </c>
      <c r="E60" s="615"/>
      <c r="F60" s="615"/>
      <c r="G60" s="615"/>
      <c r="H60" s="1938">
        <f>IF(SUM(H61:H64,H66,H68)=0,"NO",SUM(H61:H64,H66,H68))</f>
        <v>280.27283655462725</v>
      </c>
      <c r="I60" s="1938">
        <f>IF(SUM(I61:I64,I66:I68)=0,"NO",SUM(I61:I64,I66:I68))</f>
        <v>0.28029669981681166</v>
      </c>
      <c r="J60" s="3064">
        <f>IF(SUM(J61:J64,J66:J68)=0,"NO",SUM(J61:J64,J66:J68))</f>
        <v>3.7372893308908212E-3</v>
      </c>
    </row>
    <row r="61" spans="2:10" ht="18" customHeight="1" x14ac:dyDescent="0.2">
      <c r="B61" s="282" t="s">
        <v>281</v>
      </c>
      <c r="C61" s="699">
        <v>4153.9970912851477</v>
      </c>
      <c r="D61" s="1934" t="s">
        <v>97</v>
      </c>
      <c r="E61" s="1938">
        <f t="shared" ref="E61:E63" si="27">IFERROR(H61*1000/$C61,"NA")</f>
        <v>67.400000000000006</v>
      </c>
      <c r="F61" s="1938">
        <f t="shared" ref="F61:G63" si="28">IFERROR(I61*1000000/$C61,"NA")</f>
        <v>67.476383265856967</v>
      </c>
      <c r="G61" s="1938">
        <f t="shared" si="28"/>
        <v>0.89968511021142594</v>
      </c>
      <c r="H61" s="699">
        <v>279.97940395261901</v>
      </c>
      <c r="I61" s="699">
        <v>0.28029669981681166</v>
      </c>
      <c r="J61" s="2921">
        <v>3.7372893308908212E-3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1"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1" t="s">
        <v>199</v>
      </c>
    </row>
    <row r="64" spans="2:10" ht="18" customHeight="1" x14ac:dyDescent="0.2">
      <c r="B64" s="282" t="s">
        <v>284</v>
      </c>
      <c r="C64" s="1938" t="str">
        <f>C65</f>
        <v>NO</v>
      </c>
      <c r="D64" s="1934" t="s">
        <v>97</v>
      </c>
      <c r="E64" s="615"/>
      <c r="F64" s="615"/>
      <c r="G64" s="615"/>
      <c r="H64" s="1938" t="str">
        <f>H65</f>
        <v>NO</v>
      </c>
      <c r="I64" s="1938" t="str">
        <f>I65</f>
        <v>NO</v>
      </c>
      <c r="J64" s="3064" t="str">
        <f>J65</f>
        <v>NO</v>
      </c>
    </row>
    <row r="65" spans="2:10" ht="18" customHeight="1" x14ac:dyDescent="0.2">
      <c r="B65" s="3083"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1"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1"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1" t="s">
        <v>199</v>
      </c>
    </row>
    <row r="68" spans="2:10" ht="18" customHeight="1" x14ac:dyDescent="0.2">
      <c r="B68" s="282" t="s">
        <v>299</v>
      </c>
      <c r="C68" s="1938">
        <f>C69</f>
        <v>4.0031732879702329</v>
      </c>
      <c r="D68" s="1934" t="s">
        <v>97</v>
      </c>
      <c r="E68" s="615"/>
      <c r="F68" s="615"/>
      <c r="G68" s="615"/>
      <c r="H68" s="1938">
        <f>H69</f>
        <v>0.29343260200821819</v>
      </c>
      <c r="I68" s="1938" t="str">
        <f>I69</f>
        <v>NE</v>
      </c>
      <c r="J68" s="3064" t="str">
        <f>J69</f>
        <v>NE</v>
      </c>
    </row>
    <row r="69" spans="2:10" ht="18" customHeight="1" x14ac:dyDescent="0.2">
      <c r="B69" s="3083" t="s">
        <v>297</v>
      </c>
      <c r="C69" s="699">
        <v>4.0031732879702329</v>
      </c>
      <c r="D69" s="1934" t="s">
        <v>97</v>
      </c>
      <c r="E69" s="3081">
        <f t="shared" ref="E69" si="31">IFERROR(H69*1000/$C69,"NA")</f>
        <v>73.300000000000026</v>
      </c>
      <c r="F69" s="3081" t="str">
        <f>IFERROR(I69*1000000/$C69,"NA")</f>
        <v>NA</v>
      </c>
      <c r="G69" s="3081" t="str">
        <f>IFERROR(J69*1000000/$C69,"NA")</f>
        <v>NA</v>
      </c>
      <c r="H69" s="699">
        <v>0.29343260200821819</v>
      </c>
      <c r="I69" s="699" t="s">
        <v>221</v>
      </c>
      <c r="J69" s="2921" t="s">
        <v>221</v>
      </c>
    </row>
    <row r="70" spans="2:10" ht="18" customHeight="1" x14ac:dyDescent="0.2">
      <c r="B70" s="1241" t="s">
        <v>303</v>
      </c>
      <c r="C70" s="1938" t="str">
        <f>C71</f>
        <v>NO</v>
      </c>
      <c r="D70" s="1934" t="s">
        <v>97</v>
      </c>
      <c r="E70" s="615"/>
      <c r="F70" s="615"/>
      <c r="G70" s="615"/>
      <c r="H70" s="1938" t="str">
        <f>H71</f>
        <v>NO</v>
      </c>
      <c r="I70" s="1938" t="str">
        <f>I71</f>
        <v>NO</v>
      </c>
      <c r="J70" s="3064" t="str">
        <f>J71</f>
        <v>NO</v>
      </c>
    </row>
    <row r="71" spans="2:10" ht="18" customHeight="1" x14ac:dyDescent="0.2">
      <c r="B71" s="3084" t="s">
        <v>205</v>
      </c>
      <c r="C71" s="3077" t="str">
        <f>IF(SUM(C72:C75,C77:C79)=0,"NO",SUM(C72:C75,C77:C79))</f>
        <v>NO</v>
      </c>
      <c r="D71" s="3077" t="s">
        <v>97</v>
      </c>
      <c r="E71" s="615"/>
      <c r="F71" s="615"/>
      <c r="G71" s="615"/>
      <c r="H71" s="3077" t="str">
        <f>IF(SUM(H72:H75,H77,H79)=0,"NO",SUM(H72:H75,H77,H79))</f>
        <v>NO</v>
      </c>
      <c r="I71" s="3077" t="str">
        <f>IF(SUM(I72:I75,I77:I79)=0,"NO",SUM(I72:I75,I77:I79))</f>
        <v>NO</v>
      </c>
      <c r="J71" s="3078"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1"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1"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1" t="s">
        <v>199</v>
      </c>
    </row>
    <row r="75" spans="2:10" ht="18" customHeight="1" x14ac:dyDescent="0.2">
      <c r="B75" s="282" t="s">
        <v>284</v>
      </c>
      <c r="C75" s="1938" t="str">
        <f>C76</f>
        <v>NO</v>
      </c>
      <c r="D75" s="1934" t="s">
        <v>97</v>
      </c>
      <c r="E75" s="615"/>
      <c r="F75" s="615"/>
      <c r="G75" s="615"/>
      <c r="H75" s="1938" t="str">
        <f>H76</f>
        <v>NO</v>
      </c>
      <c r="I75" s="1938" t="str">
        <f>I76</f>
        <v>NO</v>
      </c>
      <c r="J75" s="3064" t="str">
        <f>J76</f>
        <v>NO</v>
      </c>
    </row>
    <row r="76" spans="2:10" ht="18" customHeight="1" x14ac:dyDescent="0.2">
      <c r="B76" s="3083"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1"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1"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1" t="s">
        <v>199</v>
      </c>
    </row>
    <row r="79" spans="2:10" ht="18" customHeight="1" x14ac:dyDescent="0.2">
      <c r="B79" s="282" t="s">
        <v>299</v>
      </c>
      <c r="C79" s="1938" t="str">
        <f>C80</f>
        <v>NO</v>
      </c>
      <c r="D79" s="1934" t="s">
        <v>97</v>
      </c>
      <c r="E79" s="615"/>
      <c r="F79" s="615"/>
      <c r="G79" s="615"/>
      <c r="H79" s="1938" t="str">
        <f>H80</f>
        <v>NO</v>
      </c>
      <c r="I79" s="1938" t="str">
        <f>I80</f>
        <v>NO</v>
      </c>
      <c r="J79" s="3064" t="str">
        <f>J80</f>
        <v>NO</v>
      </c>
    </row>
    <row r="80" spans="2:10" ht="18" customHeight="1" x14ac:dyDescent="0.2">
      <c r="B80" s="3083" t="s">
        <v>297</v>
      </c>
      <c r="C80" s="699" t="s">
        <v>199</v>
      </c>
      <c r="D80" s="1934" t="s">
        <v>97</v>
      </c>
      <c r="E80" s="3081" t="str">
        <f t="shared" ref="E80" si="36">IFERROR(H80*1000/$C80,"NA")</f>
        <v>NA</v>
      </c>
      <c r="F80" s="3081" t="str">
        <f>IFERROR(I80*1000000/$C80,"NA")</f>
        <v>NA</v>
      </c>
      <c r="G80" s="3081" t="str">
        <f>IFERROR(J80*1000000/$C80,"NA")</f>
        <v>NA</v>
      </c>
      <c r="H80" s="699" t="s">
        <v>199</v>
      </c>
      <c r="I80" s="699" t="s">
        <v>199</v>
      </c>
      <c r="J80" s="2921" t="s">
        <v>199</v>
      </c>
    </row>
    <row r="81" spans="2:10" ht="18" customHeight="1" x14ac:dyDescent="0.2">
      <c r="B81" s="1240" t="s">
        <v>304</v>
      </c>
      <c r="C81" s="1938">
        <f>IF(SUM(C82:C86)=0,"NO",SUM(C82:C86))</f>
        <v>27662.76284289909</v>
      </c>
      <c r="D81" s="1934" t="s">
        <v>97</v>
      </c>
      <c r="E81" s="615"/>
      <c r="F81" s="615"/>
      <c r="G81" s="615"/>
      <c r="H81" s="1938">
        <f>IF(SUM(H82:H84,H86)=0,"NO",SUM(H82:H84,H86))</f>
        <v>1933.6271227186467</v>
      </c>
      <c r="I81" s="1938">
        <f>IF(SUM(I82:I86)=0,"NO",SUM(I82:I86))</f>
        <v>0.11065105137159637</v>
      </c>
      <c r="J81" s="3064">
        <f>IF(SUM(J82:J86)=0,"NO",SUM(J82:J86))</f>
        <v>0.82988288528697274</v>
      </c>
    </row>
    <row r="82" spans="2:10" ht="18" customHeight="1" x14ac:dyDescent="0.2">
      <c r="B82" s="282" t="s">
        <v>243</v>
      </c>
      <c r="C82" s="699">
        <v>27662.76284289909</v>
      </c>
      <c r="D82" s="1934" t="s">
        <v>97</v>
      </c>
      <c r="E82" s="1938">
        <f t="shared" ref="E82:E85" si="37">IFERROR(H82*1000/$C82,"NA")</f>
        <v>69.900000000000006</v>
      </c>
      <c r="F82" s="1938">
        <f t="shared" ref="F82:G85" si="38">IFERROR(I82*1000000/$C82,"NA")</f>
        <v>4</v>
      </c>
      <c r="G82" s="1938">
        <f t="shared" si="38"/>
        <v>30</v>
      </c>
      <c r="H82" s="699">
        <v>1933.6271227186467</v>
      </c>
      <c r="I82" s="699">
        <v>0.11065105137159637</v>
      </c>
      <c r="J82" s="2921">
        <v>0.82988288528697274</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1" t="s">
        <v>221</v>
      </c>
    </row>
    <row r="84" spans="2:10" ht="18" customHeight="1" x14ac:dyDescent="0.2">
      <c r="B84" s="282" t="s">
        <v>246</v>
      </c>
      <c r="C84" s="699" t="s">
        <v>199</v>
      </c>
      <c r="D84" s="1934" t="s">
        <v>97</v>
      </c>
      <c r="E84" s="1938" t="str">
        <f t="shared" si="37"/>
        <v>NA</v>
      </c>
      <c r="F84" s="1938" t="str">
        <f t="shared" si="38"/>
        <v>NA</v>
      </c>
      <c r="G84" s="1938" t="str">
        <f t="shared" si="38"/>
        <v>NA</v>
      </c>
      <c r="H84" s="699" t="s">
        <v>199</v>
      </c>
      <c r="I84" s="699" t="s">
        <v>199</v>
      </c>
      <c r="J84" s="2921"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1" t="s">
        <v>199</v>
      </c>
    </row>
    <row r="86" spans="2:10" ht="18" customHeight="1" x14ac:dyDescent="0.2">
      <c r="B86" s="282" t="s">
        <v>299</v>
      </c>
      <c r="C86" s="1938" t="str">
        <f>C87</f>
        <v>NO</v>
      </c>
      <c r="D86" s="1934" t="s">
        <v>97</v>
      </c>
      <c r="E86" s="615"/>
      <c r="F86" s="615"/>
      <c r="G86" s="615"/>
      <c r="H86" s="1938" t="str">
        <f>H87</f>
        <v>NO</v>
      </c>
      <c r="I86" s="1938" t="str">
        <f>I87</f>
        <v>NO</v>
      </c>
      <c r="J86" s="3064" t="str">
        <f>J87</f>
        <v>NO</v>
      </c>
    </row>
    <row r="87" spans="2:10" ht="18" customHeight="1" x14ac:dyDescent="0.2">
      <c r="B87" s="3083" t="s">
        <v>297</v>
      </c>
      <c r="C87" s="699" t="s">
        <v>199</v>
      </c>
      <c r="D87" s="1934" t="s">
        <v>97</v>
      </c>
      <c r="E87" s="3081" t="str">
        <f t="shared" ref="E87" si="39">IFERROR(H87*1000/$C87,"NA")</f>
        <v>NA</v>
      </c>
      <c r="F87" s="3081" t="str">
        <f>IFERROR(I87*1000000/$C87,"NA")</f>
        <v>NA</v>
      </c>
      <c r="G87" s="3081" t="str">
        <f>IFERROR(J87*1000000/$C87,"NA")</f>
        <v>NA</v>
      </c>
      <c r="H87" s="699" t="s">
        <v>199</v>
      </c>
      <c r="I87" s="699" t="s">
        <v>199</v>
      </c>
      <c r="J87" s="2921" t="s">
        <v>199</v>
      </c>
    </row>
    <row r="88" spans="2:10" ht="18" customHeight="1" x14ac:dyDescent="0.2">
      <c r="B88" s="1240" t="s">
        <v>305</v>
      </c>
      <c r="C88" s="1938">
        <f>IF(SUM(C89:C92,C94:C96)=0,"NO",SUM(C89:C92,C94:C96))</f>
        <v>30944.290518429298</v>
      </c>
      <c r="D88" s="1934" t="s">
        <v>97</v>
      </c>
      <c r="E88" s="615"/>
      <c r="F88" s="615"/>
      <c r="G88" s="615"/>
      <c r="H88" s="1938">
        <f>IF(SUM(H89:H92,H94,H96)=0,"NO",SUM(H89:H92,H94,H96))</f>
        <v>2308.3737498642713</v>
      </c>
      <c r="I88" s="3299">
        <f>IF(SUM(I89:I92,I94:I96)=0,"NE",SUM(I89:I92,I94:I96))</f>
        <v>4.2396845605437976</v>
      </c>
      <c r="J88" s="3300">
        <f>IF(SUM(J89:J92,J94:J96)=0,"NE",SUM(J89:J92,J94:J96))</f>
        <v>4.2592714646773985E-2</v>
      </c>
    </row>
    <row r="89" spans="2:10" ht="18" customHeight="1" x14ac:dyDescent="0.2">
      <c r="B89" s="282" t="s">
        <v>306</v>
      </c>
      <c r="C89" s="699">
        <v>7051.4977518000005</v>
      </c>
      <c r="D89" s="1934" t="s">
        <v>97</v>
      </c>
      <c r="E89" s="1938">
        <f t="shared" ref="E89:E91" si="40">IFERROR(H89*1000/$C89,"NA")</f>
        <v>73.59999999999998</v>
      </c>
      <c r="F89" s="1938">
        <f t="shared" ref="F89:G91" si="41">IFERROR(I89*1000000/$C89,"NA")</f>
        <v>7</v>
      </c>
      <c r="G89" s="1938">
        <f t="shared" si="41"/>
        <v>2.0000000000000004</v>
      </c>
      <c r="H89" s="699">
        <v>518.99023453247992</v>
      </c>
      <c r="I89" s="4435">
        <v>4.93604842626E-2</v>
      </c>
      <c r="J89" s="4436">
        <v>1.4102995503600002E-2</v>
      </c>
    </row>
    <row r="90" spans="2:10" ht="18" customHeight="1" x14ac:dyDescent="0.2">
      <c r="B90" s="282" t="s">
        <v>307</v>
      </c>
      <c r="C90" s="699">
        <v>5611.9856484505935</v>
      </c>
      <c r="D90" s="1934" t="s">
        <v>97</v>
      </c>
      <c r="E90" s="1938">
        <f t="shared" si="40"/>
        <v>69.899999999999991</v>
      </c>
      <c r="F90" s="1938">
        <f t="shared" si="41"/>
        <v>6.9999999999999982</v>
      </c>
      <c r="G90" s="1938">
        <f t="shared" si="41"/>
        <v>1.9999999999999993</v>
      </c>
      <c r="H90" s="699">
        <v>392.27779682669643</v>
      </c>
      <c r="I90" s="4435">
        <v>3.9283899539154149E-2</v>
      </c>
      <c r="J90" s="4436">
        <v>1.1223971296901183E-2</v>
      </c>
    </row>
    <row r="91" spans="2:10" ht="18" customHeight="1" x14ac:dyDescent="0.2">
      <c r="B91" s="282" t="s">
        <v>281</v>
      </c>
      <c r="C91" s="699">
        <v>10790</v>
      </c>
      <c r="D91" s="1934" t="s">
        <v>97</v>
      </c>
      <c r="E91" s="1938">
        <f t="shared" si="40"/>
        <v>67.400000000000006</v>
      </c>
      <c r="F91" s="1938">
        <f t="shared" si="41"/>
        <v>359.99999999999994</v>
      </c>
      <c r="G91" s="1938">
        <f t="shared" si="41"/>
        <v>0.9</v>
      </c>
      <c r="H91" s="699">
        <v>727.24599999999998</v>
      </c>
      <c r="I91" s="4435">
        <v>3.8843999999999994</v>
      </c>
      <c r="J91" s="4436">
        <v>9.7109999999999991E-3</v>
      </c>
    </row>
    <row r="92" spans="2:10" ht="18" customHeight="1" x14ac:dyDescent="0.2">
      <c r="B92" s="282" t="s">
        <v>308</v>
      </c>
      <c r="C92" s="1938" t="str">
        <f>C93</f>
        <v>NO</v>
      </c>
      <c r="D92" s="1934" t="s">
        <v>97</v>
      </c>
      <c r="E92" s="615"/>
      <c r="F92" s="615"/>
      <c r="G92" s="615"/>
      <c r="H92" s="1938" t="str">
        <f>H93</f>
        <v>NO</v>
      </c>
      <c r="I92" s="3299" t="str">
        <f>I93</f>
        <v>NO</v>
      </c>
      <c r="J92" s="3300" t="str">
        <f>J93</f>
        <v>NO</v>
      </c>
    </row>
    <row r="93" spans="2:10" ht="18" customHeight="1" x14ac:dyDescent="0.2">
      <c r="B93" s="3083" t="s">
        <v>205</v>
      </c>
      <c r="C93" s="699" t="s">
        <v>199</v>
      </c>
      <c r="D93" s="1934" t="s">
        <v>97</v>
      </c>
      <c r="E93" s="3081" t="str">
        <f t="shared" ref="E93" si="42">IFERROR(H93*1000/$C93,"NA")</f>
        <v>NA</v>
      </c>
      <c r="F93" s="3081" t="str">
        <f t="shared" ref="F93:G95" si="43">IFERROR(I93*1000000/$C93,"NA")</f>
        <v>NA</v>
      </c>
      <c r="G93" s="3081" t="str">
        <f t="shared" si="43"/>
        <v>NA</v>
      </c>
      <c r="H93" s="699" t="s">
        <v>199</v>
      </c>
      <c r="I93" s="3301" t="s">
        <v>199</v>
      </c>
      <c r="J93" s="3302" t="s">
        <v>199</v>
      </c>
    </row>
    <row r="94" spans="2:10" ht="18" customHeight="1" x14ac:dyDescent="0.2">
      <c r="B94" s="282" t="s">
        <v>246</v>
      </c>
      <c r="C94" s="699">
        <v>73.0262683544304</v>
      </c>
      <c r="D94" s="1934" t="s">
        <v>97</v>
      </c>
      <c r="E94" s="1938">
        <f t="shared" ref="E94:E95" si="44">IFERROR(H94*1000/$C94,"NA")</f>
        <v>51.411918339264993</v>
      </c>
      <c r="F94" s="1938">
        <f t="shared" si="43"/>
        <v>243</v>
      </c>
      <c r="G94" s="1938">
        <f t="shared" si="43"/>
        <v>1</v>
      </c>
      <c r="H94" s="699">
        <v>3.7544205452592272</v>
      </c>
      <c r="I94" s="3301">
        <v>1.7745383210126586E-2</v>
      </c>
      <c r="J94" s="3302">
        <v>7.3026268354430395E-5</v>
      </c>
    </row>
    <row r="95" spans="2:10" ht="18" customHeight="1" x14ac:dyDescent="0.2">
      <c r="B95" s="282" t="s">
        <v>249</v>
      </c>
      <c r="C95" s="699">
        <v>16.344315583673119</v>
      </c>
      <c r="D95" s="1934" t="s">
        <v>97</v>
      </c>
      <c r="E95" s="1938">
        <f t="shared" si="44"/>
        <v>67.259999999999991</v>
      </c>
      <c r="F95" s="1938">
        <f t="shared" si="43"/>
        <v>739.99999999999989</v>
      </c>
      <c r="G95" s="1938">
        <f t="shared" si="43"/>
        <v>4.9999999999999991</v>
      </c>
      <c r="H95" s="699">
        <v>1.0993186661578538</v>
      </c>
      <c r="I95" s="3301">
        <v>1.2094793531918105E-2</v>
      </c>
      <c r="J95" s="3302">
        <v>8.1721577918365587E-5</v>
      </c>
    </row>
    <row r="96" spans="2:10" ht="18" customHeight="1" x14ac:dyDescent="0.2">
      <c r="B96" s="282" t="s">
        <v>299</v>
      </c>
      <c r="C96" s="1938">
        <f>IF(SUM(C97:C98)=0,"NO",SUM(C97:C98))</f>
        <v>7401.4365342405963</v>
      </c>
      <c r="D96" s="1934" t="s">
        <v>97</v>
      </c>
      <c r="E96" s="615"/>
      <c r="F96" s="615"/>
      <c r="G96" s="615"/>
      <c r="H96" s="1938">
        <f>IF(SUM(H97:H98)=0,"NO",SUM(H97:H98))</f>
        <v>666.10529795983575</v>
      </c>
      <c r="I96" s="3299">
        <f>IF(SUM(I97:I98)=0,"NE",SUM(I97:I98))</f>
        <v>0.23680000000000004</v>
      </c>
      <c r="J96" s="3300">
        <f>IF(SUM(J97:J98)=0,"NE",SUM(J97:J98))</f>
        <v>7.4000000000000012E-3</v>
      </c>
    </row>
    <row r="97" spans="2:10" ht="18" customHeight="1" x14ac:dyDescent="0.2">
      <c r="B97" s="2592" t="s">
        <v>309</v>
      </c>
      <c r="C97" s="699">
        <v>7400.0000000000009</v>
      </c>
      <c r="D97" s="1934" t="s">
        <v>97</v>
      </c>
      <c r="E97" s="3081">
        <f t="shared" ref="E97" si="45">IFERROR(H97*1000/$C97,"NA")</f>
        <v>90</v>
      </c>
      <c r="F97" s="3081">
        <f>IFERROR(I97*1000000/$C97,"NA")</f>
        <v>32</v>
      </c>
      <c r="G97" s="3081">
        <f>IFERROR(J97*1000000/$C97,"NA")</f>
        <v>1</v>
      </c>
      <c r="H97" s="699">
        <v>666.00000000000011</v>
      </c>
      <c r="I97" s="3301">
        <v>0.23680000000000004</v>
      </c>
      <c r="J97" s="3302">
        <v>7.4000000000000012E-3</v>
      </c>
    </row>
    <row r="98" spans="2:10" ht="18" customHeight="1" x14ac:dyDescent="0.2">
      <c r="B98" s="2592" t="s">
        <v>297</v>
      </c>
      <c r="C98" s="699">
        <v>1.4365342405953399</v>
      </c>
      <c r="D98" s="1934" t="s">
        <v>97</v>
      </c>
      <c r="E98" s="3081">
        <f t="shared" ref="E98" si="46">IFERROR(H98*1000/$C98,"NA")</f>
        <v>73.3</v>
      </c>
      <c r="F98" s="3081" t="str">
        <f>IFERROR(I98*1000000/$C98,"NA")</f>
        <v>NA</v>
      </c>
      <c r="G98" s="3081" t="str">
        <f>IFERROR(J98*1000000/$C98,"NA")</f>
        <v>NA</v>
      </c>
      <c r="H98" s="699">
        <v>0.1052979598356384</v>
      </c>
      <c r="I98" s="3301" t="s">
        <v>221</v>
      </c>
      <c r="J98" s="3302" t="s">
        <v>221</v>
      </c>
    </row>
    <row r="99" spans="2:10" ht="18" customHeight="1" x14ac:dyDescent="0.2">
      <c r="B99" s="1240" t="s">
        <v>310</v>
      </c>
      <c r="C99" s="1938">
        <f>IF(SUM(C100:C104)=0,"NO",SUM(C100:C104))</f>
        <v>16688.533614284876</v>
      </c>
      <c r="D99" s="1934" t="s">
        <v>97</v>
      </c>
      <c r="E99" s="615"/>
      <c r="F99" s="615"/>
      <c r="G99" s="615"/>
      <c r="H99" s="1938">
        <f>IF(SUM(H100:H103)=0,"NO",SUM(H100:H103))</f>
        <v>868.71183433890849</v>
      </c>
      <c r="I99" s="1938">
        <f>IF(SUM(I100:I104)=0,"NO",SUM(I100:I104))</f>
        <v>0.15916880828595803</v>
      </c>
      <c r="J99" s="3064">
        <f>IF(SUM(J100:J104)=0,"NO",SUM(J100:J104))</f>
        <v>1.7357584716060164E-3</v>
      </c>
    </row>
    <row r="100" spans="2:10" ht="18" customHeight="1" x14ac:dyDescent="0.2">
      <c r="B100" s="282" t="s">
        <v>243</v>
      </c>
      <c r="C100" s="1938">
        <f>IF(SUM(C106,C113:C116)=0,"NO",SUM(C106,C113:C116))</f>
        <v>656.8832955203153</v>
      </c>
      <c r="D100" s="1934" t="s">
        <v>97</v>
      </c>
      <c r="E100" s="3081">
        <f t="shared" ref="E100:E104" si="47">IFERROR(H100*1000/$C100,"NA")</f>
        <v>67.40000000000002</v>
      </c>
      <c r="F100" s="3081">
        <f t="shared" ref="F100:G104" si="48">IFERROR(I100*1000000/$C100,"NA")</f>
        <v>50</v>
      </c>
      <c r="G100" s="3081">
        <f t="shared" si="48"/>
        <v>0.2</v>
      </c>
      <c r="H100" s="1938">
        <f>IF(SUM(H106,H113:H116)=0,"NO",SUM(H106,H113:H116))</f>
        <v>44.273934118069263</v>
      </c>
      <c r="I100" s="1938">
        <f>IF(SUM(I106,I113:I116)=0,"NO",SUM(I106,I113:I116))</f>
        <v>3.2844164776015768E-2</v>
      </c>
      <c r="J100" s="3064">
        <f>IF(SUM(J106,J113:J116)=0,"NO",SUM(J106,J113:J116))</f>
        <v>1.3137665910406307E-4</v>
      </c>
    </row>
    <row r="101" spans="2:10" ht="18" customHeight="1" x14ac:dyDescent="0.2">
      <c r="B101" s="282" t="s">
        <v>245</v>
      </c>
      <c r="C101" s="1938" t="str">
        <f>IF(SUM(C107,C118)=0,"NO",SUM(C107,C118))</f>
        <v>NO</v>
      </c>
      <c r="D101" s="1934" t="s">
        <v>97</v>
      </c>
      <c r="E101" s="3081" t="str">
        <f t="shared" si="47"/>
        <v>NA</v>
      </c>
      <c r="F101" s="3081" t="str">
        <f t="shared" si="48"/>
        <v>NA</v>
      </c>
      <c r="G101" s="3081" t="str">
        <f t="shared" si="48"/>
        <v>NA</v>
      </c>
      <c r="H101" s="1938" t="str">
        <f t="shared" ref="H101:J104" si="49">IF(SUM(H107,H118)=0,"NO",SUM(H107,H118))</f>
        <v>NO</v>
      </c>
      <c r="I101" s="1938" t="str">
        <f t="shared" si="49"/>
        <v>NO</v>
      </c>
      <c r="J101" s="3064" t="str">
        <f t="shared" si="49"/>
        <v>NO</v>
      </c>
    </row>
    <row r="102" spans="2:10" ht="18" customHeight="1" x14ac:dyDescent="0.2">
      <c r="B102" s="282" t="s">
        <v>246</v>
      </c>
      <c r="C102" s="1938">
        <f>IF(SUM(C108,C119)=0,"NO",SUM(C108,C119))</f>
        <v>16018.807097999999</v>
      </c>
      <c r="D102" s="1934" t="s">
        <v>97</v>
      </c>
      <c r="E102" s="3081">
        <f t="shared" si="47"/>
        <v>51.411918339265007</v>
      </c>
      <c r="F102" s="3081">
        <f t="shared" si="48"/>
        <v>7.8447488584474909</v>
      </c>
      <c r="G102" s="3081">
        <f t="shared" si="48"/>
        <v>0.10000000000000003</v>
      </c>
      <c r="H102" s="1938">
        <f t="shared" si="49"/>
        <v>823.5576024148146</v>
      </c>
      <c r="I102" s="1938">
        <f t="shared" si="49"/>
        <v>0.12566351869572606</v>
      </c>
      <c r="J102" s="3064">
        <f t="shared" si="49"/>
        <v>1.6018807098000004E-3</v>
      </c>
    </row>
    <row r="103" spans="2:10" ht="18" customHeight="1" x14ac:dyDescent="0.2">
      <c r="B103" s="282" t="s">
        <v>290</v>
      </c>
      <c r="C103" s="1938">
        <f>IF(SUM(C109,C120)=0,"NO",SUM(C109,C120))</f>
        <v>12.0095198639107</v>
      </c>
      <c r="D103" s="1934" t="s">
        <v>97</v>
      </c>
      <c r="E103" s="3081">
        <f t="shared" si="47"/>
        <v>73.3</v>
      </c>
      <c r="F103" s="3081" t="str">
        <f t="shared" si="48"/>
        <v>NA</v>
      </c>
      <c r="G103" s="3081" t="str">
        <f t="shared" si="48"/>
        <v>NA</v>
      </c>
      <c r="H103" s="1938">
        <f t="shared" si="49"/>
        <v>0.88029780602465424</v>
      </c>
      <c r="I103" s="1938" t="str">
        <f t="shared" si="49"/>
        <v>NO</v>
      </c>
      <c r="J103" s="3064" t="str">
        <f t="shared" si="49"/>
        <v>NO</v>
      </c>
    </row>
    <row r="104" spans="2:10" ht="18" customHeight="1" x14ac:dyDescent="0.2">
      <c r="B104" s="282" t="s">
        <v>249</v>
      </c>
      <c r="C104" s="1938">
        <f>IF(SUM(C110,C121)=0,"NO",SUM(C110,C121))</f>
        <v>0.83370090065094105</v>
      </c>
      <c r="D104" s="1934" t="s">
        <v>97</v>
      </c>
      <c r="E104" s="3081">
        <f t="shared" si="47"/>
        <v>67.260000000000019</v>
      </c>
      <c r="F104" s="3081">
        <f t="shared" si="48"/>
        <v>793.00000000000011</v>
      </c>
      <c r="G104" s="3081">
        <f t="shared" si="48"/>
        <v>3.0000000000000004</v>
      </c>
      <c r="H104" s="1938">
        <f t="shared" si="49"/>
        <v>5.6074722577782309E-2</v>
      </c>
      <c r="I104" s="1938">
        <f t="shared" si="49"/>
        <v>6.6112481421619633E-4</v>
      </c>
      <c r="J104" s="3064">
        <f t="shared" si="49"/>
        <v>2.5011027019528232E-6</v>
      </c>
    </row>
    <row r="105" spans="2:10" ht="18" customHeight="1" x14ac:dyDescent="0.2">
      <c r="B105" s="1243" t="s">
        <v>311</v>
      </c>
      <c r="C105" s="1938">
        <f>IF(SUM(C106:C110)=0,"NO",SUM(C106:C110))</f>
        <v>16018.807097999999</v>
      </c>
      <c r="D105" s="1934" t="s">
        <v>97</v>
      </c>
      <c r="E105" s="615"/>
      <c r="F105" s="615"/>
      <c r="G105" s="615"/>
      <c r="H105" s="1938">
        <f>IF(SUM(H106:H109)=0,"NO",SUM(H106:H109))</f>
        <v>823.5576024148146</v>
      </c>
      <c r="I105" s="1938">
        <f>IF(SUM(I106:I110)=0,"NO",SUM(I106:I110))</f>
        <v>0.12566351869572606</v>
      </c>
      <c r="J105" s="3064">
        <f>IF(SUM(J106:J110)=0,"NO",SUM(J106:J110))</f>
        <v>1.6018807098000004E-3</v>
      </c>
    </row>
    <row r="106" spans="2:10" ht="18" customHeight="1" x14ac:dyDescent="0.2">
      <c r="B106" s="282" t="s">
        <v>243</v>
      </c>
      <c r="C106" s="699" t="s">
        <v>199</v>
      </c>
      <c r="D106" s="1934" t="s">
        <v>97</v>
      </c>
      <c r="E106" s="3081" t="str">
        <f t="shared" ref="E106:E110" si="50">IFERROR(H106*1000/$C106,"NA")</f>
        <v>NA</v>
      </c>
      <c r="F106" s="3081" t="str">
        <f t="shared" ref="F106:G110" si="51">IFERROR(I106*1000000/$C106,"NA")</f>
        <v>NA</v>
      </c>
      <c r="G106" s="3081" t="str">
        <f t="shared" si="51"/>
        <v>NA</v>
      </c>
      <c r="H106" s="699" t="s">
        <v>199</v>
      </c>
      <c r="I106" s="699" t="s">
        <v>199</v>
      </c>
      <c r="J106" s="2921" t="s">
        <v>199</v>
      </c>
    </row>
    <row r="107" spans="2:10" ht="18" customHeight="1" x14ac:dyDescent="0.2">
      <c r="B107" s="282" t="s">
        <v>245</v>
      </c>
      <c r="C107" s="699" t="s">
        <v>199</v>
      </c>
      <c r="D107" s="1934" t="s">
        <v>97</v>
      </c>
      <c r="E107" s="3081" t="str">
        <f t="shared" si="50"/>
        <v>NA</v>
      </c>
      <c r="F107" s="3081" t="str">
        <f t="shared" si="51"/>
        <v>NA</v>
      </c>
      <c r="G107" s="3081" t="str">
        <f t="shared" si="51"/>
        <v>NA</v>
      </c>
      <c r="H107" s="699" t="s">
        <v>199</v>
      </c>
      <c r="I107" s="699" t="s">
        <v>199</v>
      </c>
      <c r="J107" s="2921" t="s">
        <v>199</v>
      </c>
    </row>
    <row r="108" spans="2:10" ht="18" customHeight="1" x14ac:dyDescent="0.2">
      <c r="B108" s="282" t="s">
        <v>246</v>
      </c>
      <c r="C108" s="699">
        <v>16018.807097999999</v>
      </c>
      <c r="D108" s="1934" t="s">
        <v>97</v>
      </c>
      <c r="E108" s="3081">
        <f t="shared" si="50"/>
        <v>51.411918339265007</v>
      </c>
      <c r="F108" s="3081">
        <f t="shared" si="51"/>
        <v>7.8447488584474909</v>
      </c>
      <c r="G108" s="3081">
        <f t="shared" si="51"/>
        <v>0.10000000000000003</v>
      </c>
      <c r="H108" s="699">
        <v>823.5576024148146</v>
      </c>
      <c r="I108" s="699">
        <v>0.12566351869572606</v>
      </c>
      <c r="J108" s="2921">
        <v>1.6018807098000004E-3</v>
      </c>
    </row>
    <row r="109" spans="2:10" ht="18" customHeight="1" x14ac:dyDescent="0.2">
      <c r="B109" s="282" t="s">
        <v>290</v>
      </c>
      <c r="C109" s="699" t="s">
        <v>199</v>
      </c>
      <c r="D109" s="1934" t="s">
        <v>97</v>
      </c>
      <c r="E109" s="3081" t="str">
        <f t="shared" si="50"/>
        <v>NA</v>
      </c>
      <c r="F109" s="3081" t="str">
        <f t="shared" si="51"/>
        <v>NA</v>
      </c>
      <c r="G109" s="3081" t="str">
        <f t="shared" si="51"/>
        <v>NA</v>
      </c>
      <c r="H109" s="699" t="s">
        <v>199</v>
      </c>
      <c r="I109" s="699" t="s">
        <v>199</v>
      </c>
      <c r="J109" s="2921" t="s">
        <v>199</v>
      </c>
    </row>
    <row r="110" spans="2:10" ht="18" customHeight="1" x14ac:dyDescent="0.2">
      <c r="B110" s="282" t="s">
        <v>249</v>
      </c>
      <c r="C110" s="699" t="s">
        <v>199</v>
      </c>
      <c r="D110" s="1934" t="s">
        <v>97</v>
      </c>
      <c r="E110" s="3081" t="str">
        <f t="shared" si="50"/>
        <v>NA</v>
      </c>
      <c r="F110" s="3081" t="str">
        <f t="shared" si="51"/>
        <v>NA</v>
      </c>
      <c r="G110" s="3081" t="str">
        <f t="shared" si="51"/>
        <v>NA</v>
      </c>
      <c r="H110" s="699" t="s">
        <v>199</v>
      </c>
      <c r="I110" s="699" t="s">
        <v>199</v>
      </c>
      <c r="J110" s="2921" t="s">
        <v>199</v>
      </c>
    </row>
    <row r="111" spans="2:10" ht="18" customHeight="1" x14ac:dyDescent="0.2">
      <c r="B111" s="1243" t="s">
        <v>312</v>
      </c>
      <c r="C111" s="1938">
        <f>C112</f>
        <v>669.72651628487688</v>
      </c>
      <c r="D111" s="1934" t="s">
        <v>97</v>
      </c>
      <c r="E111" s="615"/>
      <c r="F111" s="615"/>
      <c r="G111" s="615"/>
      <c r="H111" s="1938">
        <f>H112</f>
        <v>45.154231924093921</v>
      </c>
      <c r="I111" s="1938">
        <f>I112</f>
        <v>3.3505289590231961E-2</v>
      </c>
      <c r="J111" s="3064">
        <f>J112</f>
        <v>1.3387776180601589E-4</v>
      </c>
    </row>
    <row r="112" spans="2:10" ht="18" customHeight="1" x14ac:dyDescent="0.2">
      <c r="B112" s="3068" t="s">
        <v>313</v>
      </c>
      <c r="C112" s="3077">
        <f>IF(SUM(C113:C116,C118:C121)=0,"NO",SUM(C113:C116,C118:C121))</f>
        <v>669.72651628487688</v>
      </c>
      <c r="D112" s="3077" t="s">
        <v>97</v>
      </c>
      <c r="E112" s="615"/>
      <c r="F112" s="615"/>
      <c r="G112" s="615"/>
      <c r="H112" s="3077">
        <f>IF(SUM(H113:H116,H118:H120)=0,"NO",SUM(H113:H116,H118:H120))</f>
        <v>45.154231924093921</v>
      </c>
      <c r="I112" s="3077">
        <f>IF(SUM(I113:I116,I118:I121)=0,"NO",SUM(I113:I116,I118:I121))</f>
        <v>3.3505289590231961E-2</v>
      </c>
      <c r="J112" s="3078">
        <f>IF(SUM(J113:J116,J118:J121)=0,"NO",SUM(J113:J116,J118:J121))</f>
        <v>1.3387776180601589E-4</v>
      </c>
    </row>
    <row r="113" spans="2:10" ht="18" customHeight="1" x14ac:dyDescent="0.2">
      <c r="B113" s="282" t="s">
        <v>281</v>
      </c>
      <c r="C113" s="699">
        <v>656.8832955203153</v>
      </c>
      <c r="D113" s="1938" t="s">
        <v>97</v>
      </c>
      <c r="E113" s="1938">
        <f t="shared" ref="E113:E115" si="52">IFERROR(H113*1000/$C113,"NA")</f>
        <v>67.40000000000002</v>
      </c>
      <c r="F113" s="1938">
        <f t="shared" ref="F113:G115" si="53">IFERROR(I113*1000000/$C113,"NA")</f>
        <v>50</v>
      </c>
      <c r="G113" s="1938">
        <f t="shared" si="53"/>
        <v>0.2</v>
      </c>
      <c r="H113" s="699">
        <v>44.273934118069263</v>
      </c>
      <c r="I113" s="699">
        <v>3.2844164776015768E-2</v>
      </c>
      <c r="J113" s="2921">
        <v>1.3137665910406307E-4</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1"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1" t="s">
        <v>199</v>
      </c>
    </row>
    <row r="116" spans="2:10" ht="18" customHeight="1" x14ac:dyDescent="0.2">
      <c r="B116" s="282" t="s">
        <v>284</v>
      </c>
      <c r="C116" s="1938" t="str">
        <f>C117</f>
        <v>NO</v>
      </c>
      <c r="D116" s="1934" t="s">
        <v>97</v>
      </c>
      <c r="E116" s="615"/>
      <c r="F116" s="615"/>
      <c r="G116" s="615"/>
      <c r="H116" s="1938" t="str">
        <f>H117</f>
        <v>NO</v>
      </c>
      <c r="I116" s="1938" t="str">
        <f>I117</f>
        <v>NO</v>
      </c>
      <c r="J116" s="3064" t="str">
        <f>J117</f>
        <v>NO</v>
      </c>
    </row>
    <row r="117" spans="2:10" ht="18" customHeight="1" x14ac:dyDescent="0.2">
      <c r="B117" s="3083" t="s">
        <v>205</v>
      </c>
      <c r="C117" s="699" t="s">
        <v>199</v>
      </c>
      <c r="D117" s="1934" t="s">
        <v>97</v>
      </c>
      <c r="E117" s="3081" t="str">
        <f t="shared" ref="E117:E121" si="54">IFERROR(H117*1000/$C117,"NA")</f>
        <v>NA</v>
      </c>
      <c r="F117" s="3081" t="str">
        <f t="shared" ref="F117:G121" si="55">IFERROR(I117*1000000/$C117,"NA")</f>
        <v>NA</v>
      </c>
      <c r="G117" s="3081" t="str">
        <f t="shared" si="55"/>
        <v>NA</v>
      </c>
      <c r="H117" s="699" t="s">
        <v>199</v>
      </c>
      <c r="I117" s="699" t="s">
        <v>199</v>
      </c>
      <c r="J117" s="2921" t="s">
        <v>199</v>
      </c>
    </row>
    <row r="118" spans="2:10" ht="18" customHeight="1" x14ac:dyDescent="0.2">
      <c r="B118" s="282" t="s">
        <v>245</v>
      </c>
      <c r="C118" s="699" t="s">
        <v>199</v>
      </c>
      <c r="D118" s="1934" t="s">
        <v>97</v>
      </c>
      <c r="E118" s="3081" t="str">
        <f t="shared" si="54"/>
        <v>NA</v>
      </c>
      <c r="F118" s="3081" t="str">
        <f t="shared" si="55"/>
        <v>NA</v>
      </c>
      <c r="G118" s="3081" t="str">
        <f t="shared" si="55"/>
        <v>NA</v>
      </c>
      <c r="H118" s="699" t="s">
        <v>199</v>
      </c>
      <c r="I118" s="699" t="s">
        <v>199</v>
      </c>
      <c r="J118" s="2921" t="s">
        <v>199</v>
      </c>
    </row>
    <row r="119" spans="2:10" ht="18" customHeight="1" x14ac:dyDescent="0.2">
      <c r="B119" s="282" t="s">
        <v>246</v>
      </c>
      <c r="C119" s="699" t="s">
        <v>199</v>
      </c>
      <c r="D119" s="1934" t="s">
        <v>97</v>
      </c>
      <c r="E119" s="3081" t="str">
        <f t="shared" si="54"/>
        <v>NA</v>
      </c>
      <c r="F119" s="3081" t="str">
        <f t="shared" si="55"/>
        <v>NA</v>
      </c>
      <c r="G119" s="3081" t="str">
        <f t="shared" si="55"/>
        <v>NA</v>
      </c>
      <c r="H119" s="699" t="s">
        <v>199</v>
      </c>
      <c r="I119" s="699" t="s">
        <v>199</v>
      </c>
      <c r="J119" s="2921" t="s">
        <v>199</v>
      </c>
    </row>
    <row r="120" spans="2:10" ht="18" customHeight="1" x14ac:dyDescent="0.2">
      <c r="B120" s="282" t="s">
        <v>290</v>
      </c>
      <c r="C120" s="699">
        <v>12.0095198639107</v>
      </c>
      <c r="D120" s="1934" t="s">
        <v>97</v>
      </c>
      <c r="E120" s="3081">
        <f t="shared" si="54"/>
        <v>73.3</v>
      </c>
      <c r="F120" s="3081" t="str">
        <f t="shared" si="55"/>
        <v>NA</v>
      </c>
      <c r="G120" s="3081" t="str">
        <f t="shared" si="55"/>
        <v>NA</v>
      </c>
      <c r="H120" s="699">
        <v>0.88029780602465424</v>
      </c>
      <c r="I120" s="699" t="s">
        <v>221</v>
      </c>
      <c r="J120" s="2921" t="s">
        <v>221</v>
      </c>
    </row>
    <row r="121" spans="2:10" ht="18" customHeight="1" thickBot="1" x14ac:dyDescent="0.25">
      <c r="B121" s="2210" t="s">
        <v>249</v>
      </c>
      <c r="C121" s="1562">
        <v>0.83370090065094105</v>
      </c>
      <c r="D121" s="2891" t="s">
        <v>97</v>
      </c>
      <c r="E121" s="3082">
        <f t="shared" si="54"/>
        <v>67.260000000000019</v>
      </c>
      <c r="F121" s="3082">
        <f t="shared" si="55"/>
        <v>793.00000000000011</v>
      </c>
      <c r="G121" s="3082">
        <f t="shared" si="55"/>
        <v>3.0000000000000004</v>
      </c>
      <c r="H121" s="1562">
        <v>5.6074722577782309E-2</v>
      </c>
      <c r="I121" s="1562">
        <v>6.6112481421619633E-4</v>
      </c>
      <c r="J121" s="1564">
        <v>2.5011027019528232E-6</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zoomScale="90" zoomScaleNormal="90" workbookViewId="0">
      <selection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2460</v>
      </c>
    </row>
    <row r="2" spans="2:39" ht="17.25" x14ac:dyDescent="0.2">
      <c r="B2" s="761" t="s">
        <v>2412</v>
      </c>
      <c r="AL2" s="14" t="s">
        <v>2461</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5" t="s">
        <v>62</v>
      </c>
      <c r="AL7" s="2007"/>
    </row>
    <row r="8" spans="2:39" ht="60" customHeight="1" x14ac:dyDescent="0.2">
      <c r="B8" s="2008"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4050"/>
      <c r="E10" s="4050"/>
      <c r="F10" s="4050"/>
      <c r="G10" s="4050"/>
      <c r="H10" s="4050"/>
      <c r="I10" s="4050"/>
      <c r="J10" s="4050"/>
      <c r="K10" s="4050"/>
      <c r="L10" s="4050"/>
      <c r="M10" s="4050"/>
      <c r="N10" s="4050"/>
      <c r="O10" s="4050"/>
      <c r="P10" s="4050"/>
      <c r="Q10" s="4050"/>
      <c r="R10" s="4050"/>
      <c r="S10" s="4050"/>
      <c r="T10" s="4050"/>
      <c r="U10" s="4050"/>
      <c r="V10" s="4050"/>
      <c r="W10" s="4050"/>
      <c r="X10" s="4050"/>
      <c r="Y10" s="4050"/>
      <c r="Z10" s="4050"/>
      <c r="AA10" s="4050"/>
      <c r="AB10" s="4050"/>
      <c r="AC10" s="4050"/>
      <c r="AD10" s="4050"/>
      <c r="AE10" s="4050"/>
      <c r="AF10" s="4050"/>
      <c r="AG10" s="4050"/>
      <c r="AH10" s="4050"/>
      <c r="AI10" s="4050"/>
      <c r="AJ10" s="4050"/>
      <c r="AK10" s="4050"/>
      <c r="AL10" s="2015"/>
      <c r="AM10" s="19"/>
    </row>
    <row r="11" spans="2:39" ht="18" customHeight="1" thickTop="1" x14ac:dyDescent="0.2">
      <c r="B11" s="2556" t="s">
        <v>2415</v>
      </c>
      <c r="C11" s="2557"/>
      <c r="D11" s="2558"/>
      <c r="E11" s="4055">
        <f>IF(SUM(E12:E31)=0,"NO",SUM(E12:E31))</f>
        <v>1193.6537599999999</v>
      </c>
      <c r="F11" s="4055">
        <f t="shared" ref="F11:AJ11" si="0">IF(SUM(F12:F31)=0,"NO",SUM(F12:F31))</f>
        <v>1193.6537599999999</v>
      </c>
      <c r="G11" s="4055">
        <f t="shared" si="0"/>
        <v>1116.992</v>
      </c>
      <c r="H11" s="4055">
        <f t="shared" si="0"/>
        <v>1533.136</v>
      </c>
      <c r="I11" s="4055">
        <f t="shared" si="0"/>
        <v>861.51013286795262</v>
      </c>
      <c r="J11" s="4055">
        <f t="shared" si="0"/>
        <v>862.28099757385166</v>
      </c>
      <c r="K11" s="4055">
        <f t="shared" si="0"/>
        <v>255.3631786309486</v>
      </c>
      <c r="L11" s="4055">
        <f t="shared" si="0"/>
        <v>426.82299941723306</v>
      </c>
      <c r="M11" s="4055">
        <f t="shared" si="0"/>
        <v>607.0172347661329</v>
      </c>
      <c r="N11" s="4055">
        <f t="shared" si="0"/>
        <v>904.91759376843322</v>
      </c>
      <c r="O11" s="4055">
        <f t="shared" si="0"/>
        <v>1150.4928811431278</v>
      </c>
      <c r="P11" s="4055">
        <f t="shared" si="0"/>
        <v>1547.7184967079177</v>
      </c>
      <c r="Q11" s="4055">
        <f t="shared" si="0"/>
        <v>1939.8840539305438</v>
      </c>
      <c r="R11" s="4055">
        <f t="shared" si="0"/>
        <v>2431.4413681307883</v>
      </c>
      <c r="S11" s="4055">
        <f t="shared" si="0"/>
        <v>2925.3286647757272</v>
      </c>
      <c r="T11" s="4055">
        <f t="shared" si="0"/>
        <v>3699.5141646572247</v>
      </c>
      <c r="U11" s="4055">
        <f t="shared" si="0"/>
        <v>4108.7147366727795</v>
      </c>
      <c r="V11" s="4055">
        <f t="shared" si="0"/>
        <v>4706.3765189513442</v>
      </c>
      <c r="W11" s="4055">
        <f t="shared" si="0"/>
        <v>5286.3167534213235</v>
      </c>
      <c r="X11" s="4055">
        <f t="shared" si="0"/>
        <v>6141.5462216641918</v>
      </c>
      <c r="Y11" s="4055">
        <f t="shared" si="0"/>
        <v>6735.332259575277</v>
      </c>
      <c r="Z11" s="4055">
        <f t="shared" si="0"/>
        <v>7409.828679370049</v>
      </c>
      <c r="AA11" s="4055">
        <f t="shared" si="0"/>
        <v>7816.4186628708085</v>
      </c>
      <c r="AB11" s="4055">
        <f t="shared" si="0"/>
        <v>8187.2588327414187</v>
      </c>
      <c r="AC11" s="4055">
        <f t="shared" si="0"/>
        <v>8837.371668775806</v>
      </c>
      <c r="AD11" s="4055">
        <f t="shared" si="0"/>
        <v>9343.4630293335176</v>
      </c>
      <c r="AE11" s="4055">
        <f t="shared" si="0"/>
        <v>9705.243412908605</v>
      </c>
      <c r="AF11" s="4055">
        <f t="shared" si="0"/>
        <v>9922.2936700768241</v>
      </c>
      <c r="AG11" s="4055">
        <f t="shared" si="0"/>
        <v>9891.6117285115197</v>
      </c>
      <c r="AH11" s="4055">
        <f t="shared" si="0"/>
        <v>10688.47961393749</v>
      </c>
      <c r="AI11" s="4055">
        <f t="shared" si="0"/>
        <v>10949.191718307842</v>
      </c>
      <c r="AJ11" s="4055">
        <f t="shared" si="0"/>
        <v>11437.453695274005</v>
      </c>
      <c r="AK11" s="4055">
        <f t="shared" ref="AK11" si="1">IF(SUM(AK12:AK31)=0,"NO",SUM(AK12:AK31))</f>
        <v>11047.190949396583</v>
      </c>
      <c r="AL11" s="4061">
        <f>IF(AK11="NO",IF(E11="NO","NA",-100),IF(E11="NO",100,AK11/E11*100-100))</f>
        <v>825.49375033146828</v>
      </c>
      <c r="AM11" s="19"/>
    </row>
    <row r="12" spans="2:39" ht="18" customHeight="1" x14ac:dyDescent="0.2">
      <c r="B12" s="788" t="s">
        <v>671</v>
      </c>
      <c r="C12" s="2255"/>
      <c r="D12" s="2255"/>
      <c r="E12" s="4056">
        <v>1193.6537599999999</v>
      </c>
      <c r="F12" s="4056">
        <v>1193.6537599999999</v>
      </c>
      <c r="G12" s="4056">
        <v>1116.992</v>
      </c>
      <c r="H12" s="4056">
        <v>1533.136</v>
      </c>
      <c r="I12" s="4056">
        <v>860.26312880181251</v>
      </c>
      <c r="J12" s="4056">
        <v>761.91465832512847</v>
      </c>
      <c r="K12" s="4056">
        <v>0.14915784635119572</v>
      </c>
      <c r="L12" s="4056">
        <v>0.24930767116679534</v>
      </c>
      <c r="M12" s="4056">
        <v>0.35455927483822997</v>
      </c>
      <c r="N12" s="4056">
        <v>0.52856312384360105</v>
      </c>
      <c r="O12" s="4056">
        <v>0.67200385472055513</v>
      </c>
      <c r="P12" s="4056">
        <v>0.90402366920915567</v>
      </c>
      <c r="Q12" s="4056">
        <v>1.133087899385347</v>
      </c>
      <c r="R12" s="4056">
        <v>1.4202069379928994</v>
      </c>
      <c r="S12" s="4056">
        <v>1.708686921296354</v>
      </c>
      <c r="T12" s="4056" t="s">
        <v>199</v>
      </c>
      <c r="U12" s="4056" t="s">
        <v>199</v>
      </c>
      <c r="V12" s="4056">
        <v>423.94819334681</v>
      </c>
      <c r="W12" s="4056">
        <v>477.50485258584433</v>
      </c>
      <c r="X12" s="4056">
        <v>475.68545438258434</v>
      </c>
      <c r="Y12" s="4056">
        <v>467.16196871434829</v>
      </c>
      <c r="Z12" s="4056">
        <v>517.98236288593125</v>
      </c>
      <c r="AA12" s="4056">
        <v>564.129622141396</v>
      </c>
      <c r="AB12" s="4056">
        <v>597.68449685756082</v>
      </c>
      <c r="AC12" s="4056">
        <v>440.8262817019924</v>
      </c>
      <c r="AD12" s="4056">
        <v>467.03155048367813</v>
      </c>
      <c r="AE12" s="4056">
        <v>475.99131790253966</v>
      </c>
      <c r="AF12" s="4056">
        <v>609.25969149957803</v>
      </c>
      <c r="AG12" s="4056">
        <v>607.37572486099123</v>
      </c>
      <c r="AH12" s="4056">
        <v>656.30589143172017</v>
      </c>
      <c r="AI12" s="4056">
        <v>672.31442550261875</v>
      </c>
      <c r="AJ12" s="4056">
        <v>702.29522947282385</v>
      </c>
      <c r="AK12" s="4056">
        <v>678.33188308708679</v>
      </c>
      <c r="AL12" s="4422">
        <f>IF(AK12="NO",IF(E12="NO","NA",-100),IF(E12="NO",100,AK12/E12*100-100))</f>
        <v>-43.171805273994458</v>
      </c>
      <c r="AM12" s="19"/>
    </row>
    <row r="13" spans="2:39" ht="18" customHeight="1" x14ac:dyDescent="0.2">
      <c r="B13" s="788" t="s">
        <v>672</v>
      </c>
      <c r="C13" s="2255"/>
      <c r="D13" s="2255"/>
      <c r="E13" s="4056" t="s">
        <v>199</v>
      </c>
      <c r="F13" s="4056" t="s">
        <v>199</v>
      </c>
      <c r="G13" s="4056" t="s">
        <v>199</v>
      </c>
      <c r="H13" s="4056" t="s">
        <v>199</v>
      </c>
      <c r="I13" s="4056">
        <v>6.219145773520179E-3</v>
      </c>
      <c r="J13" s="4056">
        <v>0.50055401701652236</v>
      </c>
      <c r="K13" s="4056">
        <v>1.2728211894436881</v>
      </c>
      <c r="L13" s="4056">
        <v>2.1274381087858369</v>
      </c>
      <c r="M13" s="4056">
        <v>3.0255904665270714</v>
      </c>
      <c r="N13" s="4056">
        <v>4.5104321391356059</v>
      </c>
      <c r="O13" s="4056">
        <v>5.7344669864851765</v>
      </c>
      <c r="P13" s="4056">
        <v>7.7143811745497253</v>
      </c>
      <c r="Q13" s="4056">
        <v>9.6690742265356278</v>
      </c>
      <c r="R13" s="4056">
        <v>12.119171255772219</v>
      </c>
      <c r="S13" s="4056">
        <v>14.580881748792185</v>
      </c>
      <c r="T13" s="4056">
        <v>14.773242596106497</v>
      </c>
      <c r="U13" s="4056">
        <v>27.887166999665435</v>
      </c>
      <c r="V13" s="4056">
        <v>51.644826147638263</v>
      </c>
      <c r="W13" s="4056">
        <v>60.711045294795056</v>
      </c>
      <c r="X13" s="4056">
        <v>77.51677180766707</v>
      </c>
      <c r="Y13" s="4056">
        <v>100.29260537205079</v>
      </c>
      <c r="Z13" s="4056">
        <v>125.587638948068</v>
      </c>
      <c r="AA13" s="4056">
        <v>137.30632168218619</v>
      </c>
      <c r="AB13" s="4056">
        <v>135.62309814198377</v>
      </c>
      <c r="AC13" s="4056">
        <v>228.14224727734265</v>
      </c>
      <c r="AD13" s="4056">
        <v>245.68479074274549</v>
      </c>
      <c r="AE13" s="4056">
        <v>267.61094642216466</v>
      </c>
      <c r="AF13" s="4056">
        <v>256.6050207585435</v>
      </c>
      <c r="AG13" s="4056">
        <v>255.81154089248992</v>
      </c>
      <c r="AH13" s="4056">
        <v>276.41970943503259</v>
      </c>
      <c r="AI13" s="4056">
        <v>283.16210561664457</v>
      </c>
      <c r="AJ13" s="4056">
        <v>295.78927418280523</v>
      </c>
      <c r="AK13" s="4056">
        <v>285.69650900803833</v>
      </c>
      <c r="AL13" s="4422">
        <f t="shared" ref="AL13:AL51" si="2">IF(AK13="NO",IF(E13="NO","NA",-100),IF(E13="NO",100,AK13/E13*100-100))</f>
        <v>100</v>
      </c>
      <c r="AM13" s="19"/>
    </row>
    <row r="14" spans="2:39" ht="18" customHeight="1" x14ac:dyDescent="0.2">
      <c r="B14" s="788" t="s">
        <v>673</v>
      </c>
      <c r="C14" s="2255"/>
      <c r="D14" s="2255"/>
      <c r="E14" s="4056" t="s">
        <v>199</v>
      </c>
      <c r="F14" s="4056" t="s">
        <v>199</v>
      </c>
      <c r="G14" s="4056" t="s">
        <v>199</v>
      </c>
      <c r="H14" s="4056" t="s">
        <v>199</v>
      </c>
      <c r="I14" s="4056" t="s">
        <v>199</v>
      </c>
      <c r="J14" s="4056" t="s">
        <v>199</v>
      </c>
      <c r="K14" s="4056" t="s">
        <v>199</v>
      </c>
      <c r="L14" s="4056" t="s">
        <v>199</v>
      </c>
      <c r="M14" s="4056" t="s">
        <v>199</v>
      </c>
      <c r="N14" s="4056" t="s">
        <v>199</v>
      </c>
      <c r="O14" s="4056" t="s">
        <v>199</v>
      </c>
      <c r="P14" s="4056" t="s">
        <v>199</v>
      </c>
      <c r="Q14" s="4056" t="s">
        <v>199</v>
      </c>
      <c r="R14" s="4056" t="s">
        <v>199</v>
      </c>
      <c r="S14" s="4056" t="s">
        <v>199</v>
      </c>
      <c r="T14" s="4056" t="s">
        <v>199</v>
      </c>
      <c r="U14" s="4056" t="s">
        <v>199</v>
      </c>
      <c r="V14" s="4056" t="s">
        <v>199</v>
      </c>
      <c r="W14" s="4056" t="s">
        <v>199</v>
      </c>
      <c r="X14" s="4056" t="s">
        <v>199</v>
      </c>
      <c r="Y14" s="4056" t="s">
        <v>199</v>
      </c>
      <c r="Z14" s="4056" t="s">
        <v>199</v>
      </c>
      <c r="AA14" s="4056" t="s">
        <v>199</v>
      </c>
      <c r="AB14" s="4056" t="s">
        <v>199</v>
      </c>
      <c r="AC14" s="4056" t="s">
        <v>199</v>
      </c>
      <c r="AD14" s="4056" t="s">
        <v>199</v>
      </c>
      <c r="AE14" s="4056" t="s">
        <v>199</v>
      </c>
      <c r="AF14" s="4056" t="s">
        <v>199</v>
      </c>
      <c r="AG14" s="4056" t="s">
        <v>199</v>
      </c>
      <c r="AH14" s="4056" t="s">
        <v>199</v>
      </c>
      <c r="AI14" s="4056" t="s">
        <v>199</v>
      </c>
      <c r="AJ14" s="4056" t="s">
        <v>199</v>
      </c>
      <c r="AK14" s="4056" t="s">
        <v>199</v>
      </c>
      <c r="AL14" s="4422" t="str">
        <f t="shared" si="2"/>
        <v>NA</v>
      </c>
      <c r="AM14" s="19"/>
    </row>
    <row r="15" spans="2:39" ht="18" customHeight="1" x14ac:dyDescent="0.2">
      <c r="B15" s="788" t="s">
        <v>674</v>
      </c>
      <c r="C15" s="2255"/>
      <c r="D15" s="2255"/>
      <c r="E15" s="4056" t="s">
        <v>199</v>
      </c>
      <c r="F15" s="4056" t="s">
        <v>199</v>
      </c>
      <c r="G15" s="4056" t="s">
        <v>199</v>
      </c>
      <c r="H15" s="4056" t="s">
        <v>199</v>
      </c>
      <c r="I15" s="4056">
        <v>2.2502087056192863E-4</v>
      </c>
      <c r="J15" s="4056">
        <v>1.8111024371209466E-2</v>
      </c>
      <c r="K15" s="4056">
        <v>4.6053162692819914E-2</v>
      </c>
      <c r="L15" s="4056">
        <v>7.6974876090522448E-2</v>
      </c>
      <c r="M15" s="4056">
        <v>0.1094717868876119</v>
      </c>
      <c r="N15" s="4056">
        <v>0.16319626577659646</v>
      </c>
      <c r="O15" s="4056">
        <v>0.20748424309359001</v>
      </c>
      <c r="P15" s="4056">
        <v>0.2791214148950838</v>
      </c>
      <c r="Q15" s="4056">
        <v>0.34984603661274732</v>
      </c>
      <c r="R15" s="4056">
        <v>0.43849534417962099</v>
      </c>
      <c r="S15" s="4056">
        <v>0.52756484960419747</v>
      </c>
      <c r="T15" s="4056" t="s">
        <v>199</v>
      </c>
      <c r="U15" s="4056" t="s">
        <v>199</v>
      </c>
      <c r="V15" s="4056" t="s">
        <v>199</v>
      </c>
      <c r="W15" s="4056" t="s">
        <v>199</v>
      </c>
      <c r="X15" s="4056" t="s">
        <v>199</v>
      </c>
      <c r="Y15" s="4056" t="s">
        <v>199</v>
      </c>
      <c r="Z15" s="4056" t="s">
        <v>199</v>
      </c>
      <c r="AA15" s="4056" t="s">
        <v>199</v>
      </c>
      <c r="AB15" s="4056" t="s">
        <v>199</v>
      </c>
      <c r="AC15" s="4056" t="s">
        <v>199</v>
      </c>
      <c r="AD15" s="4056" t="s">
        <v>199</v>
      </c>
      <c r="AE15" s="4056" t="s">
        <v>199</v>
      </c>
      <c r="AF15" s="4056" t="s">
        <v>199</v>
      </c>
      <c r="AG15" s="4056" t="s">
        <v>199</v>
      </c>
      <c r="AH15" s="4056" t="s">
        <v>199</v>
      </c>
      <c r="AI15" s="4056" t="s">
        <v>199</v>
      </c>
      <c r="AJ15" s="4056" t="s">
        <v>199</v>
      </c>
      <c r="AK15" s="4056" t="s">
        <v>199</v>
      </c>
      <c r="AL15" s="4422" t="str">
        <f t="shared" si="2"/>
        <v>NA</v>
      </c>
      <c r="AM15" s="19"/>
    </row>
    <row r="16" spans="2:39" ht="18" customHeight="1" x14ac:dyDescent="0.2">
      <c r="B16" s="788" t="s">
        <v>675</v>
      </c>
      <c r="C16" s="2255"/>
      <c r="D16" s="2255"/>
      <c r="E16" s="4056" t="s">
        <v>199</v>
      </c>
      <c r="F16" s="4056" t="s">
        <v>199</v>
      </c>
      <c r="G16" s="4056" t="s">
        <v>199</v>
      </c>
      <c r="H16" s="4056" t="s">
        <v>199</v>
      </c>
      <c r="I16" s="4056">
        <v>0.52703168385083365</v>
      </c>
      <c r="J16" s="4056">
        <v>42.418659419394068</v>
      </c>
      <c r="K16" s="4056">
        <v>107.86322095386902</v>
      </c>
      <c r="L16" s="4056">
        <v>180.2863816982364</v>
      </c>
      <c r="M16" s="4056">
        <v>256.3988843944112</v>
      </c>
      <c r="N16" s="4056">
        <v>382.22944625368365</v>
      </c>
      <c r="O16" s="4056">
        <v>485.95834571725072</v>
      </c>
      <c r="P16" s="4056">
        <v>653.74304580560101</v>
      </c>
      <c r="Q16" s="4056">
        <v>819.39042056018013</v>
      </c>
      <c r="R16" s="4056">
        <v>1027.0200227499988</v>
      </c>
      <c r="S16" s="4056">
        <v>1235.6337895817128</v>
      </c>
      <c r="T16" s="4056">
        <v>812.31878139680532</v>
      </c>
      <c r="U16" s="4056">
        <v>905.1818010710964</v>
      </c>
      <c r="V16" s="4056">
        <v>1052.6801861843544</v>
      </c>
      <c r="W16" s="4056">
        <v>1260.008343796781</v>
      </c>
      <c r="X16" s="4056">
        <v>1489.0582283874314</v>
      </c>
      <c r="Y16" s="4056">
        <v>1653.3616568084744</v>
      </c>
      <c r="Z16" s="4056">
        <v>1887.1945099186505</v>
      </c>
      <c r="AA16" s="4056">
        <v>1913.5473271860019</v>
      </c>
      <c r="AB16" s="4056">
        <v>2050.1330268409479</v>
      </c>
      <c r="AC16" s="4056">
        <v>2532.0978316024411</v>
      </c>
      <c r="AD16" s="4056">
        <v>2687.1370093349778</v>
      </c>
      <c r="AE16" s="4056">
        <v>2813.335425045077</v>
      </c>
      <c r="AF16" s="4056">
        <v>2742.3880716372573</v>
      </c>
      <c r="AG16" s="4056">
        <v>2733.9079970334269</v>
      </c>
      <c r="AH16" s="4056">
        <v>2954.151527040342</v>
      </c>
      <c r="AI16" s="4056">
        <v>3026.2088344462786</v>
      </c>
      <c r="AJ16" s="4056">
        <v>3161.1578559113586</v>
      </c>
      <c r="AK16" s="4056">
        <v>3053.2944994450754</v>
      </c>
      <c r="AL16" s="4422">
        <f t="shared" si="2"/>
        <v>100</v>
      </c>
      <c r="AM16" s="19"/>
    </row>
    <row r="17" spans="2:39" ht="18" customHeight="1" x14ac:dyDescent="0.2">
      <c r="B17" s="788" t="s">
        <v>676</v>
      </c>
      <c r="C17" s="2255"/>
      <c r="D17" s="2255"/>
      <c r="E17" s="4056" t="s">
        <v>199</v>
      </c>
      <c r="F17" s="4056" t="s">
        <v>199</v>
      </c>
      <c r="G17" s="4056" t="s">
        <v>199</v>
      </c>
      <c r="H17" s="4056" t="s">
        <v>199</v>
      </c>
      <c r="I17" s="4056">
        <v>2.0847773957222086E-4</v>
      </c>
      <c r="J17" s="4056">
        <v>1.6779534328608056E-2</v>
      </c>
      <c r="K17" s="4056">
        <v>4.2667416735055669E-2</v>
      </c>
      <c r="L17" s="4056">
        <v>7.1315821199738089E-2</v>
      </c>
      <c r="M17" s="4056">
        <v>0.1014236173749945</v>
      </c>
      <c r="N17" s="4056">
        <v>0.15119836889249222</v>
      </c>
      <c r="O17" s="4056">
        <v>0.19223037351595465</v>
      </c>
      <c r="P17" s="4056">
        <v>0.25860090887663811</v>
      </c>
      <c r="Q17" s="4056">
        <v>0.32412598319964858</v>
      </c>
      <c r="R17" s="4056">
        <v>0.40625795260334036</v>
      </c>
      <c r="S17" s="4056">
        <v>0.4887792276715609</v>
      </c>
      <c r="T17" s="4056">
        <v>0.50143339733775916</v>
      </c>
      <c r="U17" s="4056">
        <v>0.68294511004909142</v>
      </c>
      <c r="V17" s="4056">
        <v>0.69175915588827352</v>
      </c>
      <c r="W17" s="4056">
        <v>0.88126388345842921</v>
      </c>
      <c r="X17" s="4056">
        <v>0.94759092118055199</v>
      </c>
      <c r="Y17" s="4056">
        <v>1.4220383205440534</v>
      </c>
      <c r="Z17" s="4056">
        <v>1.6426172028996102</v>
      </c>
      <c r="AA17" s="4056">
        <v>1.8001777846447551</v>
      </c>
      <c r="AB17" s="4056">
        <v>1.9374454901955711</v>
      </c>
      <c r="AC17" s="4056">
        <v>1.908092610482522</v>
      </c>
      <c r="AD17" s="4056">
        <v>2.092492046312076</v>
      </c>
      <c r="AE17" s="4056">
        <v>2.5360904178591279</v>
      </c>
      <c r="AF17" s="4056">
        <v>5.0760608133110443</v>
      </c>
      <c r="AG17" s="4056">
        <v>5.0603645029180528</v>
      </c>
      <c r="AH17" s="4056">
        <v>5.4680272854453804</v>
      </c>
      <c r="AI17" s="4056">
        <v>5.6014027468612451</v>
      </c>
      <c r="AJ17" s="4056">
        <v>5.8511884889807408</v>
      </c>
      <c r="AK17" s="4056">
        <v>5.6515373299732481</v>
      </c>
      <c r="AL17" s="4422">
        <f t="shared" si="2"/>
        <v>100</v>
      </c>
      <c r="AM17" s="19"/>
    </row>
    <row r="18" spans="2:39" ht="18" customHeight="1" x14ac:dyDescent="0.2">
      <c r="B18" s="788" t="s">
        <v>677</v>
      </c>
      <c r="C18" s="2255"/>
      <c r="D18" s="2255"/>
      <c r="E18" s="4056" t="s">
        <v>199</v>
      </c>
      <c r="F18" s="4056" t="s">
        <v>199</v>
      </c>
      <c r="G18" s="4056" t="s">
        <v>199</v>
      </c>
      <c r="H18" s="4056" t="s">
        <v>199</v>
      </c>
      <c r="I18" s="4056">
        <v>0.6180150944693622</v>
      </c>
      <c r="J18" s="4056">
        <v>49.741548016229501</v>
      </c>
      <c r="K18" s="4056">
        <v>126.48404399619021</v>
      </c>
      <c r="L18" s="4056">
        <v>211.40988033711898</v>
      </c>
      <c r="M18" s="4056">
        <v>300.66196324868355</v>
      </c>
      <c r="N18" s="4056">
        <v>448.21511604281642</v>
      </c>
      <c r="O18" s="4056">
        <v>569.85111548174837</v>
      </c>
      <c r="P18" s="4056">
        <v>766.60110310671246</v>
      </c>
      <c r="Q18" s="4056">
        <v>960.84479109441168</v>
      </c>
      <c r="R18" s="4056">
        <v>1204.3182522616817</v>
      </c>
      <c r="S18" s="4056">
        <v>1448.9457780189405</v>
      </c>
      <c r="T18" s="4056">
        <v>1369.2712643163204</v>
      </c>
      <c r="U18" s="4056">
        <v>1586.0976609274944</v>
      </c>
      <c r="V18" s="4056">
        <v>1547.3940906495202</v>
      </c>
      <c r="W18" s="4056">
        <v>1663.0105748655285</v>
      </c>
      <c r="X18" s="4056">
        <v>1889.7394281660718</v>
      </c>
      <c r="Y18" s="4056">
        <v>2108.9059365157755</v>
      </c>
      <c r="Z18" s="4056">
        <v>2465.9686663499924</v>
      </c>
      <c r="AA18" s="4056">
        <v>2434.2781600764383</v>
      </c>
      <c r="AB18" s="4056">
        <v>2329.7188006560455</v>
      </c>
      <c r="AC18" s="4056">
        <v>2744.2244507214327</v>
      </c>
      <c r="AD18" s="4056">
        <v>2994.2318323797381</v>
      </c>
      <c r="AE18" s="4056">
        <v>3225.3359738621216</v>
      </c>
      <c r="AF18" s="4056">
        <v>3230.1994242869337</v>
      </c>
      <c r="AG18" s="4056">
        <v>3220.2109283528598</v>
      </c>
      <c r="AH18" s="4056">
        <v>3479.6310050331535</v>
      </c>
      <c r="AI18" s="4056">
        <v>3564.5057444274798</v>
      </c>
      <c r="AJ18" s="4056">
        <v>3723.4592696243503</v>
      </c>
      <c r="AK18" s="4056">
        <v>3596.4093617128724</v>
      </c>
      <c r="AL18" s="4422">
        <f t="shared" si="2"/>
        <v>100</v>
      </c>
      <c r="AM18" s="19"/>
    </row>
    <row r="19" spans="2:39" ht="18" customHeight="1" x14ac:dyDescent="0.2">
      <c r="B19" s="788" t="s">
        <v>678</v>
      </c>
      <c r="C19" s="2255"/>
      <c r="D19" s="2255"/>
      <c r="E19" s="4056" t="s">
        <v>199</v>
      </c>
      <c r="F19" s="4056" t="s">
        <v>199</v>
      </c>
      <c r="G19" s="4056" t="s">
        <v>199</v>
      </c>
      <c r="H19" s="4056" t="s">
        <v>199</v>
      </c>
      <c r="I19" s="4056" t="s">
        <v>199</v>
      </c>
      <c r="J19" s="4056" t="s">
        <v>199</v>
      </c>
      <c r="K19" s="4056" t="s">
        <v>199</v>
      </c>
      <c r="L19" s="4056" t="s">
        <v>199</v>
      </c>
      <c r="M19" s="4056" t="s">
        <v>199</v>
      </c>
      <c r="N19" s="4056" t="s">
        <v>199</v>
      </c>
      <c r="O19" s="4056" t="s">
        <v>199</v>
      </c>
      <c r="P19" s="4056" t="s">
        <v>199</v>
      </c>
      <c r="Q19" s="4056" t="s">
        <v>199</v>
      </c>
      <c r="R19" s="4056" t="s">
        <v>199</v>
      </c>
      <c r="S19" s="4056" t="s">
        <v>199</v>
      </c>
      <c r="T19" s="4056" t="s">
        <v>199</v>
      </c>
      <c r="U19" s="4056" t="s">
        <v>199</v>
      </c>
      <c r="V19" s="4056" t="s">
        <v>199</v>
      </c>
      <c r="W19" s="4056" t="s">
        <v>199</v>
      </c>
      <c r="X19" s="4056" t="s">
        <v>199</v>
      </c>
      <c r="Y19" s="4056" t="s">
        <v>199</v>
      </c>
      <c r="Z19" s="4056" t="s">
        <v>199</v>
      </c>
      <c r="AA19" s="4056" t="s">
        <v>199</v>
      </c>
      <c r="AB19" s="4056" t="s">
        <v>199</v>
      </c>
      <c r="AC19" s="4056" t="s">
        <v>199</v>
      </c>
      <c r="AD19" s="4056" t="s">
        <v>199</v>
      </c>
      <c r="AE19" s="4056" t="s">
        <v>199</v>
      </c>
      <c r="AF19" s="4056" t="s">
        <v>199</v>
      </c>
      <c r="AG19" s="4056" t="s">
        <v>199</v>
      </c>
      <c r="AH19" s="4056" t="s">
        <v>199</v>
      </c>
      <c r="AI19" s="4056" t="s">
        <v>199</v>
      </c>
      <c r="AJ19" s="4056" t="s">
        <v>199</v>
      </c>
      <c r="AK19" s="4056" t="s">
        <v>199</v>
      </c>
      <c r="AL19" s="4422" t="str">
        <f t="shared" si="2"/>
        <v>NA</v>
      </c>
      <c r="AM19" s="19"/>
    </row>
    <row r="20" spans="2:39" ht="18" customHeight="1" x14ac:dyDescent="0.2">
      <c r="B20" s="788" t="s">
        <v>679</v>
      </c>
      <c r="C20" s="2255"/>
      <c r="D20" s="2255"/>
      <c r="E20" s="4056" t="s">
        <v>199</v>
      </c>
      <c r="F20" s="4056" t="s">
        <v>199</v>
      </c>
      <c r="G20" s="4056" t="s">
        <v>199</v>
      </c>
      <c r="H20" s="4056" t="s">
        <v>199</v>
      </c>
      <c r="I20" s="4056">
        <v>7.6385669257768199E-2</v>
      </c>
      <c r="J20" s="4056">
        <v>6.1479751370788938</v>
      </c>
      <c r="K20" s="4056">
        <v>15.633223909156406</v>
      </c>
      <c r="L20" s="4056">
        <v>26.129920355943813</v>
      </c>
      <c r="M20" s="4056">
        <v>37.16133390370409</v>
      </c>
      <c r="N20" s="4056">
        <v>55.398665690803881</v>
      </c>
      <c r="O20" s="4056">
        <v>70.432679109129751</v>
      </c>
      <c r="P20" s="4056">
        <v>94.750660361828025</v>
      </c>
      <c r="Q20" s="4056">
        <v>118.7588670202385</v>
      </c>
      <c r="R20" s="4056">
        <v>148.85179427104549</v>
      </c>
      <c r="S20" s="4056">
        <v>179.08736204449011</v>
      </c>
      <c r="T20" s="4056">
        <v>1317.615309130897</v>
      </c>
      <c r="U20" s="4056">
        <v>1468.6136899700532</v>
      </c>
      <c r="V20" s="4056">
        <v>1509.7337173247049</v>
      </c>
      <c r="W20" s="4056">
        <v>1678.5459476322731</v>
      </c>
      <c r="X20" s="4056">
        <v>2019.0846843791464</v>
      </c>
      <c r="Y20" s="4056">
        <v>2164.5195883235751</v>
      </c>
      <c r="Z20" s="4056">
        <v>2165.0325239219169</v>
      </c>
      <c r="AA20" s="4056">
        <v>2540.6801933513448</v>
      </c>
      <c r="AB20" s="4056">
        <v>2788.7189483509346</v>
      </c>
      <c r="AC20" s="4056">
        <v>2623.2305734584597</v>
      </c>
      <c r="AD20" s="4056">
        <v>2660.4211737169958</v>
      </c>
      <c r="AE20" s="4056">
        <v>2645.8366557643312</v>
      </c>
      <c r="AF20" s="4056">
        <v>2779.5718644450799</v>
      </c>
      <c r="AG20" s="4056">
        <v>2770.9768092736467</v>
      </c>
      <c r="AH20" s="4056">
        <v>2994.2066014626862</v>
      </c>
      <c r="AI20" s="4056">
        <v>3067.2409274082611</v>
      </c>
      <c r="AJ20" s="4056">
        <v>3204.0197104981362</v>
      </c>
      <c r="AK20" s="4056">
        <v>3094.6938444986918</v>
      </c>
      <c r="AL20" s="4422">
        <f t="shared" si="2"/>
        <v>100</v>
      </c>
      <c r="AM20" s="19"/>
    </row>
    <row r="21" spans="2:39" ht="18" customHeight="1" x14ac:dyDescent="0.2">
      <c r="B21" s="788" t="s">
        <v>680</v>
      </c>
      <c r="C21" s="2255"/>
      <c r="D21" s="2255"/>
      <c r="E21" s="4056" t="s">
        <v>199</v>
      </c>
      <c r="F21" s="4056" t="s">
        <v>199</v>
      </c>
      <c r="G21" s="4056" t="s">
        <v>199</v>
      </c>
      <c r="H21" s="4056" t="s">
        <v>199</v>
      </c>
      <c r="I21" s="4056" t="s">
        <v>199</v>
      </c>
      <c r="J21" s="4056" t="s">
        <v>199</v>
      </c>
      <c r="K21" s="4056" t="s">
        <v>199</v>
      </c>
      <c r="L21" s="4056" t="s">
        <v>199</v>
      </c>
      <c r="M21" s="4056" t="s">
        <v>199</v>
      </c>
      <c r="N21" s="4056" t="s">
        <v>199</v>
      </c>
      <c r="O21" s="4056" t="s">
        <v>199</v>
      </c>
      <c r="P21" s="4056" t="s">
        <v>199</v>
      </c>
      <c r="Q21" s="4056" t="s">
        <v>199</v>
      </c>
      <c r="R21" s="4056" t="s">
        <v>199</v>
      </c>
      <c r="S21" s="4056" t="s">
        <v>199</v>
      </c>
      <c r="T21" s="4056" t="s">
        <v>199</v>
      </c>
      <c r="U21" s="4056" t="s">
        <v>199</v>
      </c>
      <c r="V21" s="4056" t="s">
        <v>199</v>
      </c>
      <c r="W21" s="4056" t="s">
        <v>199</v>
      </c>
      <c r="X21" s="4056" t="s">
        <v>199</v>
      </c>
      <c r="Y21" s="4056" t="s">
        <v>199</v>
      </c>
      <c r="Z21" s="4056" t="s">
        <v>199</v>
      </c>
      <c r="AA21" s="4056" t="s">
        <v>199</v>
      </c>
      <c r="AB21" s="4056" t="s">
        <v>199</v>
      </c>
      <c r="AC21" s="4056" t="s">
        <v>199</v>
      </c>
      <c r="AD21" s="4056" t="s">
        <v>199</v>
      </c>
      <c r="AE21" s="4056" t="s">
        <v>199</v>
      </c>
      <c r="AF21" s="4056" t="s">
        <v>199</v>
      </c>
      <c r="AG21" s="4056" t="s">
        <v>199</v>
      </c>
      <c r="AH21" s="4056" t="s">
        <v>199</v>
      </c>
      <c r="AI21" s="4056" t="s">
        <v>199</v>
      </c>
      <c r="AJ21" s="4056" t="s">
        <v>199</v>
      </c>
      <c r="AK21" s="4056" t="s">
        <v>199</v>
      </c>
      <c r="AL21" s="4422" t="str">
        <f t="shared" si="2"/>
        <v>NA</v>
      </c>
      <c r="AM21" s="19"/>
    </row>
    <row r="22" spans="2:39" ht="18" customHeight="1" x14ac:dyDescent="0.2">
      <c r="B22" s="788" t="s">
        <v>681</v>
      </c>
      <c r="C22" s="2255"/>
      <c r="D22" s="2255"/>
      <c r="E22" s="4056" t="s">
        <v>199</v>
      </c>
      <c r="F22" s="4056" t="s">
        <v>199</v>
      </c>
      <c r="G22" s="4056" t="s">
        <v>199</v>
      </c>
      <c r="H22" s="4056" t="s">
        <v>199</v>
      </c>
      <c r="I22" s="4056" t="s">
        <v>199</v>
      </c>
      <c r="J22" s="4056" t="s">
        <v>199</v>
      </c>
      <c r="K22" s="4056" t="s">
        <v>199</v>
      </c>
      <c r="L22" s="4056" t="s">
        <v>199</v>
      </c>
      <c r="M22" s="4056" t="s">
        <v>199</v>
      </c>
      <c r="N22" s="4056" t="s">
        <v>199</v>
      </c>
      <c r="O22" s="4056" t="s">
        <v>199</v>
      </c>
      <c r="P22" s="4056" t="s">
        <v>199</v>
      </c>
      <c r="Q22" s="4056" t="s">
        <v>199</v>
      </c>
      <c r="R22" s="4056" t="s">
        <v>199</v>
      </c>
      <c r="S22" s="4056" t="s">
        <v>199</v>
      </c>
      <c r="T22" s="4056">
        <v>2.7656219964601858</v>
      </c>
      <c r="U22" s="4056">
        <v>3.6555826052440592</v>
      </c>
      <c r="V22" s="4056">
        <v>4.6150792970217793</v>
      </c>
      <c r="W22" s="4056">
        <v>4.6593125146521057</v>
      </c>
      <c r="X22" s="4056">
        <v>4.7770487540206057</v>
      </c>
      <c r="Y22" s="4056">
        <v>6.1609998103255315</v>
      </c>
      <c r="Z22" s="4056">
        <v>6.9731132420838433</v>
      </c>
      <c r="AA22" s="4056">
        <v>10.594258844392975</v>
      </c>
      <c r="AB22" s="4056">
        <v>10.453063321342981</v>
      </c>
      <c r="AC22" s="4056">
        <v>10.883320190216308</v>
      </c>
      <c r="AD22" s="4056">
        <v>11.492660130285156</v>
      </c>
      <c r="AE22" s="4056">
        <v>12.512003212490706</v>
      </c>
      <c r="AF22" s="4056">
        <v>14.529580200508372</v>
      </c>
      <c r="AG22" s="4056">
        <v>14.484651503021338</v>
      </c>
      <c r="AH22" s="4056">
        <v>15.651534507645863</v>
      </c>
      <c r="AI22" s="4056">
        <v>16.033304847815909</v>
      </c>
      <c r="AJ22" s="4056">
        <v>16.748284850331167</v>
      </c>
      <c r="AK22" s="4056">
        <v>16.176808732606794</v>
      </c>
      <c r="AL22" s="4422">
        <f t="shared" si="2"/>
        <v>100</v>
      </c>
      <c r="AM22" s="19"/>
    </row>
    <row r="23" spans="2:39" ht="18" customHeight="1" x14ac:dyDescent="0.2">
      <c r="B23" s="788" t="s">
        <v>682</v>
      </c>
      <c r="C23" s="2255"/>
      <c r="D23" s="2255"/>
      <c r="E23" s="4056" t="s">
        <v>199</v>
      </c>
      <c r="F23" s="4056" t="s">
        <v>199</v>
      </c>
      <c r="G23" s="4056" t="s">
        <v>199</v>
      </c>
      <c r="H23" s="4056" t="s">
        <v>199</v>
      </c>
      <c r="I23" s="4056" t="s">
        <v>199</v>
      </c>
      <c r="J23" s="4056" t="s">
        <v>199</v>
      </c>
      <c r="K23" s="4056" t="s">
        <v>199</v>
      </c>
      <c r="L23" s="4056" t="s">
        <v>199</v>
      </c>
      <c r="M23" s="4056" t="s">
        <v>199</v>
      </c>
      <c r="N23" s="4056" t="s">
        <v>199</v>
      </c>
      <c r="O23" s="4056" t="s">
        <v>199</v>
      </c>
      <c r="P23" s="4056" t="s">
        <v>199</v>
      </c>
      <c r="Q23" s="4056" t="s">
        <v>199</v>
      </c>
      <c r="R23" s="4056" t="s">
        <v>199</v>
      </c>
      <c r="S23" s="4056" t="s">
        <v>199</v>
      </c>
      <c r="T23" s="4056" t="s">
        <v>199</v>
      </c>
      <c r="U23" s="4056" t="s">
        <v>199</v>
      </c>
      <c r="V23" s="4056" t="s">
        <v>199</v>
      </c>
      <c r="W23" s="4056" t="s">
        <v>199</v>
      </c>
      <c r="X23" s="4056" t="s">
        <v>199</v>
      </c>
      <c r="Y23" s="4056" t="s">
        <v>199</v>
      </c>
      <c r="Z23" s="4056" t="s">
        <v>199</v>
      </c>
      <c r="AA23" s="4056" t="s">
        <v>199</v>
      </c>
      <c r="AB23" s="4056" t="s">
        <v>199</v>
      </c>
      <c r="AC23" s="4056" t="s">
        <v>199</v>
      </c>
      <c r="AD23" s="4056" t="s">
        <v>199</v>
      </c>
      <c r="AE23" s="4056" t="s">
        <v>199</v>
      </c>
      <c r="AF23" s="4056" t="s">
        <v>199</v>
      </c>
      <c r="AG23" s="4056" t="s">
        <v>199</v>
      </c>
      <c r="AH23" s="4056" t="s">
        <v>199</v>
      </c>
      <c r="AI23" s="4056" t="s">
        <v>199</v>
      </c>
      <c r="AJ23" s="4056" t="s">
        <v>199</v>
      </c>
      <c r="AK23" s="4056" t="s">
        <v>199</v>
      </c>
      <c r="AL23" s="4422" t="str">
        <f t="shared" si="2"/>
        <v>NA</v>
      </c>
      <c r="AM23" s="19"/>
    </row>
    <row r="24" spans="2:39" ht="18" customHeight="1" x14ac:dyDescent="0.2">
      <c r="B24" s="788" t="s">
        <v>683</v>
      </c>
      <c r="C24" s="2255"/>
      <c r="D24" s="2255"/>
      <c r="E24" s="4056" t="s">
        <v>199</v>
      </c>
      <c r="F24" s="4056" t="s">
        <v>199</v>
      </c>
      <c r="G24" s="4056" t="s">
        <v>199</v>
      </c>
      <c r="H24" s="4056" t="s">
        <v>199</v>
      </c>
      <c r="I24" s="4056">
        <v>1.8914099925244492E-2</v>
      </c>
      <c r="J24" s="4056">
        <v>1.5223197912716231</v>
      </c>
      <c r="K24" s="4056">
        <v>3.8709925833560073</v>
      </c>
      <c r="L24" s="4056">
        <v>6.4701131698304817</v>
      </c>
      <c r="M24" s="4056">
        <v>9.2016367682548648</v>
      </c>
      <c r="N24" s="4056">
        <v>13.717440833897239</v>
      </c>
      <c r="O24" s="4056">
        <v>17.440060990724156</v>
      </c>
      <c r="P24" s="4056">
        <v>23.461514122745797</v>
      </c>
      <c r="Q24" s="4056">
        <v>29.406262976496471</v>
      </c>
      <c r="R24" s="4056">
        <v>36.857668961356559</v>
      </c>
      <c r="S24" s="4056">
        <v>44.344394622338783</v>
      </c>
      <c r="T24" s="4056">
        <v>36.072141718029293</v>
      </c>
      <c r="U24" s="4056">
        <v>37.286907640381571</v>
      </c>
      <c r="V24" s="4056">
        <v>42.980577505418005</v>
      </c>
      <c r="W24" s="4056">
        <v>57.309552969016799</v>
      </c>
      <c r="X24" s="4056">
        <v>90.591372407670463</v>
      </c>
      <c r="Y24" s="4056">
        <v>101.86541654238039</v>
      </c>
      <c r="Z24" s="4056">
        <v>92.370983329952068</v>
      </c>
      <c r="AA24" s="4056">
        <v>66.972750440798904</v>
      </c>
      <c r="AB24" s="4056">
        <v>138.81939317597994</v>
      </c>
      <c r="AC24" s="4056">
        <v>110.16030581565153</v>
      </c>
      <c r="AD24" s="4056">
        <v>115.23567478166248</v>
      </c>
      <c r="AE24" s="4056">
        <v>88.63633751369882</v>
      </c>
      <c r="AF24" s="4056">
        <v>105.81324711239793</v>
      </c>
      <c r="AG24" s="4056">
        <v>105.48604898939452</v>
      </c>
      <c r="AH24" s="4056">
        <v>113.98400130568184</v>
      </c>
      <c r="AI24" s="4056">
        <v>116.76428530474632</v>
      </c>
      <c r="AJ24" s="4056">
        <v>121.97120488828131</v>
      </c>
      <c r="AK24" s="4056">
        <v>117.80936794398426</v>
      </c>
      <c r="AL24" s="4422">
        <f t="shared" si="2"/>
        <v>100</v>
      </c>
      <c r="AM24" s="19"/>
    </row>
    <row r="25" spans="2:39" ht="18" customHeight="1" x14ac:dyDescent="0.2">
      <c r="B25" s="788" t="s">
        <v>684</v>
      </c>
      <c r="C25" s="2255"/>
      <c r="D25" s="2255"/>
      <c r="E25" s="4056" t="s">
        <v>199</v>
      </c>
      <c r="F25" s="4056" t="s">
        <v>199</v>
      </c>
      <c r="G25" s="4056" t="s">
        <v>199</v>
      </c>
      <c r="H25" s="4056" t="s">
        <v>199</v>
      </c>
      <c r="I25" s="4056" t="s">
        <v>199</v>
      </c>
      <c r="J25" s="4056" t="s">
        <v>199</v>
      </c>
      <c r="K25" s="4056" t="s">
        <v>199</v>
      </c>
      <c r="L25" s="4056" t="s">
        <v>199</v>
      </c>
      <c r="M25" s="4056" t="s">
        <v>199</v>
      </c>
      <c r="N25" s="4056" t="s">
        <v>199</v>
      </c>
      <c r="O25" s="4056" t="s">
        <v>199</v>
      </c>
      <c r="P25" s="4056" t="s">
        <v>199</v>
      </c>
      <c r="Q25" s="4056" t="s">
        <v>199</v>
      </c>
      <c r="R25" s="4056" t="s">
        <v>199</v>
      </c>
      <c r="S25" s="4056" t="s">
        <v>199</v>
      </c>
      <c r="T25" s="4056" t="s">
        <v>199</v>
      </c>
      <c r="U25" s="4056" t="s">
        <v>199</v>
      </c>
      <c r="V25" s="4056" t="s">
        <v>199</v>
      </c>
      <c r="W25" s="4056" t="s">
        <v>199</v>
      </c>
      <c r="X25" s="4056" t="s">
        <v>199</v>
      </c>
      <c r="Y25" s="4056" t="s">
        <v>199</v>
      </c>
      <c r="Z25" s="4056" t="s">
        <v>199</v>
      </c>
      <c r="AA25" s="4056" t="s">
        <v>199</v>
      </c>
      <c r="AB25" s="4056" t="s">
        <v>199</v>
      </c>
      <c r="AC25" s="4056" t="s">
        <v>199</v>
      </c>
      <c r="AD25" s="4056" t="s">
        <v>199</v>
      </c>
      <c r="AE25" s="4056" t="s">
        <v>199</v>
      </c>
      <c r="AF25" s="4056" t="s">
        <v>199</v>
      </c>
      <c r="AG25" s="4056" t="s">
        <v>199</v>
      </c>
      <c r="AH25" s="4056" t="s">
        <v>199</v>
      </c>
      <c r="AI25" s="4056" t="s">
        <v>199</v>
      </c>
      <c r="AJ25" s="4056" t="s">
        <v>199</v>
      </c>
      <c r="AK25" s="4056" t="s">
        <v>199</v>
      </c>
      <c r="AL25" s="4422" t="str">
        <f t="shared" si="2"/>
        <v>NA</v>
      </c>
      <c r="AM25" s="19"/>
    </row>
    <row r="26" spans="2:39" ht="18" customHeight="1" x14ac:dyDescent="0.2">
      <c r="B26" s="788" t="s">
        <v>685</v>
      </c>
      <c r="C26" s="2255"/>
      <c r="D26" s="2255"/>
      <c r="E26" s="4056" t="s">
        <v>199</v>
      </c>
      <c r="F26" s="4056" t="s">
        <v>199</v>
      </c>
      <c r="G26" s="4056" t="s">
        <v>199</v>
      </c>
      <c r="H26" s="4056" t="s">
        <v>199</v>
      </c>
      <c r="I26" s="4056" t="s">
        <v>199</v>
      </c>
      <c r="J26" s="4056" t="s">
        <v>199</v>
      </c>
      <c r="K26" s="4056" t="s">
        <v>199</v>
      </c>
      <c r="L26" s="4056" t="s">
        <v>199</v>
      </c>
      <c r="M26" s="4056" t="s">
        <v>199</v>
      </c>
      <c r="N26" s="4056" t="s">
        <v>199</v>
      </c>
      <c r="O26" s="4056" t="s">
        <v>199</v>
      </c>
      <c r="P26" s="4056" t="s">
        <v>199</v>
      </c>
      <c r="Q26" s="4056" t="s">
        <v>199</v>
      </c>
      <c r="R26" s="4056" t="s">
        <v>199</v>
      </c>
      <c r="S26" s="4056" t="s">
        <v>199</v>
      </c>
      <c r="T26" s="4056" t="s">
        <v>199</v>
      </c>
      <c r="U26" s="4056" t="s">
        <v>199</v>
      </c>
      <c r="V26" s="4056" t="s">
        <v>199</v>
      </c>
      <c r="W26" s="4056" t="s">
        <v>199</v>
      </c>
      <c r="X26" s="4056" t="s">
        <v>199</v>
      </c>
      <c r="Y26" s="4056" t="s">
        <v>199</v>
      </c>
      <c r="Z26" s="4056" t="s">
        <v>199</v>
      </c>
      <c r="AA26" s="4056" t="s">
        <v>199</v>
      </c>
      <c r="AB26" s="4056" t="s">
        <v>199</v>
      </c>
      <c r="AC26" s="4056" t="s">
        <v>199</v>
      </c>
      <c r="AD26" s="4056" t="s">
        <v>199</v>
      </c>
      <c r="AE26" s="4056" t="s">
        <v>199</v>
      </c>
      <c r="AF26" s="4056" t="s">
        <v>199</v>
      </c>
      <c r="AG26" s="4056" t="s">
        <v>199</v>
      </c>
      <c r="AH26" s="4056" t="s">
        <v>199</v>
      </c>
      <c r="AI26" s="4056" t="s">
        <v>199</v>
      </c>
      <c r="AJ26" s="4056" t="s">
        <v>199</v>
      </c>
      <c r="AK26" s="4056" t="s">
        <v>199</v>
      </c>
      <c r="AL26" s="4422" t="str">
        <f t="shared" si="2"/>
        <v>NA</v>
      </c>
      <c r="AM26" s="19"/>
    </row>
    <row r="27" spans="2:39" ht="18" customHeight="1" x14ac:dyDescent="0.2">
      <c r="B27" s="788" t="s">
        <v>686</v>
      </c>
      <c r="C27" s="2255"/>
      <c r="D27" s="2255"/>
      <c r="E27" s="4056" t="s">
        <v>199</v>
      </c>
      <c r="F27" s="4056" t="s">
        <v>199</v>
      </c>
      <c r="G27" s="4056" t="s">
        <v>199</v>
      </c>
      <c r="H27" s="4056" t="s">
        <v>199</v>
      </c>
      <c r="I27" s="4056">
        <v>4.8742532864339682E-6</v>
      </c>
      <c r="J27" s="4056">
        <v>3.9230903267596353E-4</v>
      </c>
      <c r="K27" s="4056">
        <v>9.975731541949453E-4</v>
      </c>
      <c r="L27" s="4056">
        <v>1.6673788605480397E-3</v>
      </c>
      <c r="M27" s="4056">
        <v>2.3713054512509743E-3</v>
      </c>
      <c r="N27" s="4056">
        <v>3.5350495836625334E-3</v>
      </c>
      <c r="O27" s="4056">
        <v>4.4943864596055953E-3</v>
      </c>
      <c r="P27" s="4056">
        <v>6.0461434997960868E-3</v>
      </c>
      <c r="Q27" s="4056">
        <v>7.5781334835618198E-3</v>
      </c>
      <c r="R27" s="4056">
        <v>9.4983961581700874E-3</v>
      </c>
      <c r="S27" s="4056">
        <v>1.1427760880885028E-2</v>
      </c>
      <c r="T27" s="4056">
        <v>121.28095184884704</v>
      </c>
      <c r="U27" s="4056">
        <v>37.91165496522494</v>
      </c>
      <c r="V27" s="4056">
        <v>33.005457074316439</v>
      </c>
      <c r="W27" s="4056">
        <v>34.910579852715266</v>
      </c>
      <c r="X27" s="4056">
        <v>37.305672344389208</v>
      </c>
      <c r="Y27" s="4056">
        <v>49.712098146741532</v>
      </c>
      <c r="Z27" s="4056">
        <v>46.727164718306945</v>
      </c>
      <c r="AA27" s="4056">
        <v>42.437660581763275</v>
      </c>
      <c r="AB27" s="4056">
        <v>30.179409736381039</v>
      </c>
      <c r="AC27" s="4056">
        <v>21.807687461625385</v>
      </c>
      <c r="AD27" s="4056">
        <v>22.861293000130189</v>
      </c>
      <c r="AE27" s="4056">
        <v>30.32979225083178</v>
      </c>
      <c r="AF27" s="4056">
        <v>42.430585658006329</v>
      </c>
      <c r="AG27" s="4056">
        <v>42.299380838533324</v>
      </c>
      <c r="AH27" s="4056">
        <v>45.707017438994811</v>
      </c>
      <c r="AI27" s="4056">
        <v>46.821897490360968</v>
      </c>
      <c r="AJ27" s="4056">
        <v>48.909846338285945</v>
      </c>
      <c r="AK27" s="4056">
        <v>47.240970429279265</v>
      </c>
      <c r="AL27" s="4422">
        <f t="shared" si="2"/>
        <v>100</v>
      </c>
      <c r="AM27" s="19"/>
    </row>
    <row r="28" spans="2:39" ht="18" customHeight="1" x14ac:dyDescent="0.2">
      <c r="B28" s="788" t="s">
        <v>687</v>
      </c>
      <c r="C28" s="2255"/>
      <c r="D28" s="2255"/>
      <c r="E28" s="4056" t="s">
        <v>199</v>
      </c>
      <c r="F28" s="4056" t="s">
        <v>199</v>
      </c>
      <c r="G28" s="4056" t="s">
        <v>199</v>
      </c>
      <c r="H28" s="4056" t="s">
        <v>199</v>
      </c>
      <c r="I28" s="4056" t="s">
        <v>199</v>
      </c>
      <c r="J28" s="4056" t="s">
        <v>199</v>
      </c>
      <c r="K28" s="4056" t="s">
        <v>199</v>
      </c>
      <c r="L28" s="4056" t="s">
        <v>199</v>
      </c>
      <c r="M28" s="4056" t="s">
        <v>199</v>
      </c>
      <c r="N28" s="4056" t="s">
        <v>199</v>
      </c>
      <c r="O28" s="4056" t="s">
        <v>199</v>
      </c>
      <c r="P28" s="4056" t="s">
        <v>199</v>
      </c>
      <c r="Q28" s="4056" t="s">
        <v>199</v>
      </c>
      <c r="R28" s="4056" t="s">
        <v>199</v>
      </c>
      <c r="S28" s="4056" t="s">
        <v>199</v>
      </c>
      <c r="T28" s="4056" t="s">
        <v>199</v>
      </c>
      <c r="U28" s="4056" t="s">
        <v>199</v>
      </c>
      <c r="V28" s="4056" t="s">
        <v>199</v>
      </c>
      <c r="W28" s="4056" t="s">
        <v>199</v>
      </c>
      <c r="X28" s="4056" t="s">
        <v>199</v>
      </c>
      <c r="Y28" s="4056" t="s">
        <v>199</v>
      </c>
      <c r="Z28" s="4056" t="s">
        <v>199</v>
      </c>
      <c r="AA28" s="4056" t="s">
        <v>199</v>
      </c>
      <c r="AB28" s="4056" t="s">
        <v>199</v>
      </c>
      <c r="AC28" s="4056" t="s">
        <v>199</v>
      </c>
      <c r="AD28" s="4056" t="s">
        <v>199</v>
      </c>
      <c r="AE28" s="4056" t="s">
        <v>199</v>
      </c>
      <c r="AF28" s="4056" t="s">
        <v>199</v>
      </c>
      <c r="AG28" s="4056" t="s">
        <v>199</v>
      </c>
      <c r="AH28" s="4056" t="s">
        <v>199</v>
      </c>
      <c r="AI28" s="4056" t="s">
        <v>199</v>
      </c>
      <c r="AJ28" s="4056" t="s">
        <v>199</v>
      </c>
      <c r="AK28" s="4056" t="s">
        <v>199</v>
      </c>
      <c r="AL28" s="4422" t="str">
        <f t="shared" si="2"/>
        <v>NA</v>
      </c>
      <c r="AM28" s="19"/>
    </row>
    <row r="29" spans="2:39" ht="18" customHeight="1" x14ac:dyDescent="0.2">
      <c r="B29" s="788" t="s">
        <v>688</v>
      </c>
      <c r="C29" s="2255"/>
      <c r="D29" s="2255"/>
      <c r="E29" s="4056" t="s">
        <v>199</v>
      </c>
      <c r="F29" s="4056" t="s">
        <v>199</v>
      </c>
      <c r="G29" s="4056" t="s">
        <v>199</v>
      </c>
      <c r="H29" s="4056" t="s">
        <v>199</v>
      </c>
      <c r="I29" s="4056" t="s">
        <v>199</v>
      </c>
      <c r="J29" s="4056" t="s">
        <v>199</v>
      </c>
      <c r="K29" s="4056" t="s">
        <v>199</v>
      </c>
      <c r="L29" s="4056" t="s">
        <v>199</v>
      </c>
      <c r="M29" s="4056" t="s">
        <v>199</v>
      </c>
      <c r="N29" s="4056" t="s">
        <v>199</v>
      </c>
      <c r="O29" s="4056" t="s">
        <v>199</v>
      </c>
      <c r="P29" s="4056" t="s">
        <v>199</v>
      </c>
      <c r="Q29" s="4056" t="s">
        <v>199</v>
      </c>
      <c r="R29" s="4056" t="s">
        <v>199</v>
      </c>
      <c r="S29" s="4056" t="s">
        <v>199</v>
      </c>
      <c r="T29" s="4056">
        <v>20.199210056616344</v>
      </c>
      <c r="U29" s="4056">
        <v>24.931258750070654</v>
      </c>
      <c r="V29" s="4056">
        <v>21.648261514850795</v>
      </c>
      <c r="W29" s="4056">
        <v>18.673962434623061</v>
      </c>
      <c r="X29" s="4056">
        <v>19.968882496529332</v>
      </c>
      <c r="Y29" s="4056">
        <v>28.890096531709894</v>
      </c>
      <c r="Z29" s="4056">
        <v>44.243470101254665</v>
      </c>
      <c r="AA29" s="4056">
        <v>48.160132019576565</v>
      </c>
      <c r="AB29" s="4056">
        <v>51.33153587306289</v>
      </c>
      <c r="AC29" s="4056">
        <v>72.964919256791333</v>
      </c>
      <c r="AD29" s="4056">
        <v>83.031439673601867</v>
      </c>
      <c r="AE29" s="4056">
        <v>88.528102476091931</v>
      </c>
      <c r="AF29" s="4056">
        <v>82.808078461593013</v>
      </c>
      <c r="AG29" s="4056">
        <v>82.552017442944077</v>
      </c>
      <c r="AH29" s="4056">
        <v>89.202405001909227</v>
      </c>
      <c r="AI29" s="4056">
        <v>91.378219295704454</v>
      </c>
      <c r="AJ29" s="4056">
        <v>95.453087208590304</v>
      </c>
      <c r="AK29" s="4056">
        <v>92.196087450690214</v>
      </c>
      <c r="AL29" s="4422">
        <f t="shared" si="2"/>
        <v>100</v>
      </c>
      <c r="AM29" s="19"/>
    </row>
    <row r="30" spans="2:39" ht="18" customHeight="1" x14ac:dyDescent="0.2">
      <c r="B30" s="788" t="s">
        <v>689</v>
      </c>
      <c r="C30" s="2255"/>
      <c r="D30" s="2255"/>
      <c r="E30" s="4056" t="s">
        <v>199</v>
      </c>
      <c r="F30" s="4056" t="s">
        <v>199</v>
      </c>
      <c r="G30" s="4056" t="s">
        <v>199</v>
      </c>
      <c r="H30" s="4056" t="s">
        <v>199</v>
      </c>
      <c r="I30" s="4056" t="s">
        <v>199</v>
      </c>
      <c r="J30" s="4056" t="s">
        <v>199</v>
      </c>
      <c r="K30" s="4056" t="s">
        <v>199</v>
      </c>
      <c r="L30" s="4056" t="s">
        <v>199</v>
      </c>
      <c r="M30" s="4056" t="s">
        <v>199</v>
      </c>
      <c r="N30" s="4056" t="s">
        <v>199</v>
      </c>
      <c r="O30" s="4056" t="s">
        <v>199</v>
      </c>
      <c r="P30" s="4056" t="s">
        <v>199</v>
      </c>
      <c r="Q30" s="4056" t="s">
        <v>199</v>
      </c>
      <c r="R30" s="4056" t="s">
        <v>199</v>
      </c>
      <c r="S30" s="4056" t="s">
        <v>199</v>
      </c>
      <c r="T30" s="4056">
        <v>4.716208199804921</v>
      </c>
      <c r="U30" s="4056">
        <v>16.466068633499777</v>
      </c>
      <c r="V30" s="4056">
        <v>18.034370750819896</v>
      </c>
      <c r="W30" s="4056">
        <v>30.101317591636082</v>
      </c>
      <c r="X30" s="4056">
        <v>36.8710876175005</v>
      </c>
      <c r="Y30" s="4056">
        <v>53.039854489351725</v>
      </c>
      <c r="Z30" s="4056">
        <v>56.105628750992331</v>
      </c>
      <c r="AA30" s="4056">
        <v>56.512058762264076</v>
      </c>
      <c r="AB30" s="4056">
        <v>52.659614296984863</v>
      </c>
      <c r="AC30" s="4056">
        <v>51.125958679369035</v>
      </c>
      <c r="AD30" s="4056">
        <v>54.243113043390579</v>
      </c>
      <c r="AE30" s="4056">
        <v>54.590768041399272</v>
      </c>
      <c r="AF30" s="4056">
        <v>53.612045203614947</v>
      </c>
      <c r="AG30" s="4056">
        <v>53.446264821293227</v>
      </c>
      <c r="AH30" s="4056">
        <v>57.751893994878806</v>
      </c>
      <c r="AI30" s="4056">
        <v>59.160571221071464</v>
      </c>
      <c r="AJ30" s="4056">
        <v>61.798743810062533</v>
      </c>
      <c r="AK30" s="4056">
        <v>59.69007975828535</v>
      </c>
      <c r="AL30" s="4422">
        <f t="shared" si="2"/>
        <v>100</v>
      </c>
      <c r="AM30" s="19"/>
    </row>
    <row r="31" spans="2:39" ht="18" customHeight="1" thickBot="1" x14ac:dyDescent="0.25">
      <c r="B31" s="2559" t="s">
        <v>2416</v>
      </c>
      <c r="C31" s="2560"/>
      <c r="D31" s="2560"/>
      <c r="E31" s="4057" t="s">
        <v>199</v>
      </c>
      <c r="F31" s="4057" t="s">
        <v>199</v>
      </c>
      <c r="G31" s="4057" t="s">
        <v>199</v>
      </c>
      <c r="H31" s="4057" t="s">
        <v>199</v>
      </c>
      <c r="I31" s="4057" t="s">
        <v>199</v>
      </c>
      <c r="J31" s="4057" t="s">
        <v>199</v>
      </c>
      <c r="K31" s="4057" t="s">
        <v>199</v>
      </c>
      <c r="L31" s="4057" t="s">
        <v>199</v>
      </c>
      <c r="M31" s="4057" t="s">
        <v>199</v>
      </c>
      <c r="N31" s="4057" t="s">
        <v>199</v>
      </c>
      <c r="O31" s="4057" t="s">
        <v>199</v>
      </c>
      <c r="P31" s="4057" t="s">
        <v>199</v>
      </c>
      <c r="Q31" s="4057" t="s">
        <v>199</v>
      </c>
      <c r="R31" s="4057" t="s">
        <v>199</v>
      </c>
      <c r="S31" s="4057" t="s">
        <v>199</v>
      </c>
      <c r="T31" s="4057" t="s">
        <v>199</v>
      </c>
      <c r="U31" s="4057" t="s">
        <v>199</v>
      </c>
      <c r="V31" s="4057" t="s">
        <v>199</v>
      </c>
      <c r="W31" s="4057" t="s">
        <v>199</v>
      </c>
      <c r="X31" s="4057" t="s">
        <v>199</v>
      </c>
      <c r="Y31" s="4057" t="s">
        <v>199</v>
      </c>
      <c r="Z31" s="4057" t="s">
        <v>199</v>
      </c>
      <c r="AA31" s="4057" t="s">
        <v>199</v>
      </c>
      <c r="AB31" s="4057" t="s">
        <v>199</v>
      </c>
      <c r="AC31" s="4057" t="s">
        <v>199</v>
      </c>
      <c r="AD31" s="4057" t="s">
        <v>199</v>
      </c>
      <c r="AE31" s="4057" t="s">
        <v>199</v>
      </c>
      <c r="AF31" s="4057" t="s">
        <v>199</v>
      </c>
      <c r="AG31" s="4057" t="s">
        <v>199</v>
      </c>
      <c r="AH31" s="4057" t="s">
        <v>199</v>
      </c>
      <c r="AI31" s="4057" t="s">
        <v>199</v>
      </c>
      <c r="AJ31" s="4057" t="s">
        <v>199</v>
      </c>
      <c r="AK31" s="4057" t="s">
        <v>199</v>
      </c>
      <c r="AL31" s="4063" t="str">
        <f t="shared" si="2"/>
        <v>NA</v>
      </c>
      <c r="AM31" s="19"/>
    </row>
    <row r="32" spans="2:39" ht="18" customHeight="1" thickBot="1" x14ac:dyDescent="0.25">
      <c r="B32" s="2016"/>
      <c r="C32" s="304"/>
      <c r="D32" s="304"/>
      <c r="E32" s="4052"/>
      <c r="F32" s="4052"/>
      <c r="G32" s="4052"/>
      <c r="H32" s="4052"/>
      <c r="I32" s="4052"/>
      <c r="J32" s="4052"/>
      <c r="K32" s="4052"/>
      <c r="L32" s="4052"/>
      <c r="M32" s="4052"/>
      <c r="N32" s="4052"/>
      <c r="O32" s="4052"/>
      <c r="P32" s="4052"/>
      <c r="Q32" s="4052"/>
      <c r="R32" s="4052"/>
      <c r="S32" s="4052"/>
      <c r="T32" s="4052"/>
      <c r="U32" s="4052"/>
      <c r="V32" s="4052"/>
      <c r="W32" s="4052"/>
      <c r="X32" s="4052"/>
      <c r="Y32" s="4052"/>
      <c r="Z32" s="4052"/>
      <c r="AA32" s="4052"/>
      <c r="AB32" s="4052"/>
      <c r="AC32" s="4052"/>
      <c r="AD32" s="4052"/>
      <c r="AE32" s="4052"/>
      <c r="AF32" s="4052"/>
      <c r="AG32" s="4052"/>
      <c r="AH32" s="4052"/>
      <c r="AI32" s="4052"/>
      <c r="AJ32" s="4052"/>
      <c r="AK32" s="4052"/>
      <c r="AL32" s="4423"/>
      <c r="AM32" s="19"/>
    </row>
    <row r="33" spans="2:39" ht="18" customHeight="1" x14ac:dyDescent="0.2">
      <c r="B33" s="2017" t="s">
        <v>2417</v>
      </c>
      <c r="C33" s="789"/>
      <c r="D33" s="790"/>
      <c r="E33" s="4053">
        <f>SUM(E34:E43)</f>
        <v>4143.5315389337156</v>
      </c>
      <c r="F33" s="4053">
        <f t="shared" ref="F33:AJ33" si="3">SUM(F34:F43)</f>
        <v>4146.8866252000589</v>
      </c>
      <c r="G33" s="4053">
        <f t="shared" si="3"/>
        <v>4140.1764526673724</v>
      </c>
      <c r="H33" s="4053">
        <f t="shared" si="3"/>
        <v>2981.9747926792879</v>
      </c>
      <c r="I33" s="4053">
        <f t="shared" si="3"/>
        <v>1946.6797558087924</v>
      </c>
      <c r="J33" s="4053">
        <f t="shared" si="3"/>
        <v>1376.8283202008465</v>
      </c>
      <c r="K33" s="4053">
        <f t="shared" si="3"/>
        <v>1268.5044539263497</v>
      </c>
      <c r="L33" s="4053">
        <f t="shared" si="3"/>
        <v>1104.5946842688732</v>
      </c>
      <c r="M33" s="4053">
        <f t="shared" si="3"/>
        <v>1493.4649028585516</v>
      </c>
      <c r="N33" s="4053">
        <f t="shared" si="3"/>
        <v>1024.4655200863301</v>
      </c>
      <c r="O33" s="4053">
        <f t="shared" si="3"/>
        <v>1157.5789362287294</v>
      </c>
      <c r="P33" s="4053">
        <f t="shared" si="3"/>
        <v>1620.6064364210431</v>
      </c>
      <c r="Q33" s="4053">
        <f t="shared" si="3"/>
        <v>1553.8183084811451</v>
      </c>
      <c r="R33" s="4053">
        <f t="shared" si="3"/>
        <v>1514.5701018444399</v>
      </c>
      <c r="S33" s="4053">
        <f t="shared" si="3"/>
        <v>1541.4296180492076</v>
      </c>
      <c r="T33" s="4053">
        <f t="shared" si="3"/>
        <v>1611.4498110358577</v>
      </c>
      <c r="U33" s="4053">
        <f t="shared" si="3"/>
        <v>617.93925336459711</v>
      </c>
      <c r="V33" s="4053">
        <f t="shared" si="3"/>
        <v>524.05752254650565</v>
      </c>
      <c r="W33" s="4053">
        <f t="shared" si="3"/>
        <v>399.79678192568076</v>
      </c>
      <c r="X33" s="4053">
        <f t="shared" si="3"/>
        <v>322.43408328130437</v>
      </c>
      <c r="Y33" s="4053">
        <f t="shared" si="3"/>
        <v>254.72735698266908</v>
      </c>
      <c r="Z33" s="4053">
        <f t="shared" si="3"/>
        <v>270.90088273132159</v>
      </c>
      <c r="AA33" s="4053">
        <f t="shared" si="3"/>
        <v>265.12979067717396</v>
      </c>
      <c r="AB33" s="4053">
        <f t="shared" si="3"/>
        <v>172.62441408027018</v>
      </c>
      <c r="AC33" s="4053">
        <f t="shared" si="3"/>
        <v>173.10697875319798</v>
      </c>
      <c r="AD33" s="4053">
        <f t="shared" si="3"/>
        <v>154.06023702200315</v>
      </c>
      <c r="AE33" s="4053">
        <f t="shared" si="3"/>
        <v>202.24755821344587</v>
      </c>
      <c r="AF33" s="4053">
        <f t="shared" si="3"/>
        <v>182.65052301395372</v>
      </c>
      <c r="AG33" s="4053">
        <f t="shared" si="3"/>
        <v>212.24369299342175</v>
      </c>
      <c r="AH33" s="4053">
        <f t="shared" si="3"/>
        <v>273.50220639665872</v>
      </c>
      <c r="AI33" s="4053">
        <f t="shared" si="3"/>
        <v>243.11647207633368</v>
      </c>
      <c r="AJ33" s="4053">
        <f t="shared" si="3"/>
        <v>291.483</v>
      </c>
      <c r="AK33" s="4053">
        <f t="shared" ref="AK33" si="4">SUM(AK34:AK43)</f>
        <v>246.59820556395621</v>
      </c>
      <c r="AL33" s="4422">
        <f t="shared" si="2"/>
        <v>-94.048598321338829</v>
      </c>
      <c r="AM33" s="19"/>
    </row>
    <row r="34" spans="2:39" ht="18" customHeight="1" x14ac:dyDescent="0.2">
      <c r="B34" s="788" t="s">
        <v>859</v>
      </c>
      <c r="C34" s="2255"/>
      <c r="D34" s="2255"/>
      <c r="E34" s="4056">
        <v>3403.5080464399107</v>
      </c>
      <c r="F34" s="4056">
        <v>3406.263923400591</v>
      </c>
      <c r="G34" s="4056">
        <v>3400.7521694792308</v>
      </c>
      <c r="H34" s="4056">
        <v>2449.4021840507198</v>
      </c>
      <c r="I34" s="4056">
        <v>1599.0080322740705</v>
      </c>
      <c r="J34" s="4056">
        <v>1130.9305171975745</v>
      </c>
      <c r="K34" s="4056">
        <v>1041.9529995843798</v>
      </c>
      <c r="L34" s="4056">
        <v>907.31707015008124</v>
      </c>
      <c r="M34" s="4056">
        <v>1226.7361226026724</v>
      </c>
      <c r="N34" s="4056">
        <v>841.49875732367218</v>
      </c>
      <c r="O34" s="4056">
        <v>950.83847843779222</v>
      </c>
      <c r="P34" s="4056">
        <v>1331.1705231749947</v>
      </c>
      <c r="Q34" s="4056">
        <v>1276.3105737075391</v>
      </c>
      <c r="R34" s="4056">
        <v>1244.0719902954249</v>
      </c>
      <c r="S34" s="4056">
        <v>1266.1344697679301</v>
      </c>
      <c r="T34" s="4056">
        <v>1323.6492462423046</v>
      </c>
      <c r="U34" s="4056">
        <v>507.57697902963474</v>
      </c>
      <c r="V34" s="4056">
        <v>430.46227065800161</v>
      </c>
      <c r="W34" s="4056">
        <v>328.39416122166864</v>
      </c>
      <c r="X34" s="4056">
        <v>268.16508172695654</v>
      </c>
      <c r="Y34" s="4056">
        <v>215.34651363347996</v>
      </c>
      <c r="Z34" s="4056">
        <v>229.07983776479981</v>
      </c>
      <c r="AA34" s="4056">
        <v>224.00040990000002</v>
      </c>
      <c r="AB34" s="4056">
        <v>146.14925209688769</v>
      </c>
      <c r="AC34" s="4056">
        <v>146.43050980084027</v>
      </c>
      <c r="AD34" s="4056">
        <v>128.52630189546048</v>
      </c>
      <c r="AE34" s="4056">
        <v>169.59386864494587</v>
      </c>
      <c r="AF34" s="4056">
        <v>120.69196534083896</v>
      </c>
      <c r="AG34" s="4056">
        <v>175.5062444293234</v>
      </c>
      <c r="AH34" s="4056">
        <v>163.28184553083901</v>
      </c>
      <c r="AI34" s="4056">
        <v>199.95968418625171</v>
      </c>
      <c r="AJ34" s="4056">
        <v>177.28500000000003</v>
      </c>
      <c r="AK34" s="4056">
        <v>191.97588922</v>
      </c>
      <c r="AL34" s="4422">
        <f t="shared" si="2"/>
        <v>-94.359470093781383</v>
      </c>
      <c r="AM34" s="19"/>
    </row>
    <row r="35" spans="2:39" ht="18" customHeight="1" x14ac:dyDescent="0.2">
      <c r="B35" s="788" t="s">
        <v>861</v>
      </c>
      <c r="C35" s="2255"/>
      <c r="D35" s="2255"/>
      <c r="E35" s="4056">
        <v>740.02349249380495</v>
      </c>
      <c r="F35" s="4056">
        <v>740.62270179946779</v>
      </c>
      <c r="G35" s="4056">
        <v>739.424283188142</v>
      </c>
      <c r="H35" s="4056">
        <v>532.5726086285681</v>
      </c>
      <c r="I35" s="4056">
        <v>347.67172353472199</v>
      </c>
      <c r="J35" s="4056">
        <v>245.897803003272</v>
      </c>
      <c r="K35" s="4056">
        <v>226.5514543419699</v>
      </c>
      <c r="L35" s="4056">
        <v>197.27761411879197</v>
      </c>
      <c r="M35" s="4056">
        <v>266.72878025587914</v>
      </c>
      <c r="N35" s="4056">
        <v>182.96676276265802</v>
      </c>
      <c r="O35" s="4056">
        <v>206.74045779093714</v>
      </c>
      <c r="P35" s="4056">
        <v>289.43591324604836</v>
      </c>
      <c r="Q35" s="4056">
        <v>277.50773477360605</v>
      </c>
      <c r="R35" s="4056">
        <v>270.49811154901494</v>
      </c>
      <c r="S35" s="4056">
        <v>275.29514828127748</v>
      </c>
      <c r="T35" s="4056">
        <v>287.80056479355301</v>
      </c>
      <c r="U35" s="4056">
        <v>110.36227433496241</v>
      </c>
      <c r="V35" s="4056">
        <v>93.595251888503981</v>
      </c>
      <c r="W35" s="4056">
        <v>71.402620704012094</v>
      </c>
      <c r="X35" s="4056">
        <v>54.269001554347817</v>
      </c>
      <c r="Y35" s="4056">
        <v>39.380843349189128</v>
      </c>
      <c r="Z35" s="4056">
        <v>41.821044966521768</v>
      </c>
      <c r="AA35" s="4056">
        <v>41.129380777173921</v>
      </c>
      <c r="AB35" s="4056">
        <v>26.475161983382502</v>
      </c>
      <c r="AC35" s="4056">
        <v>26.676468952357698</v>
      </c>
      <c r="AD35" s="4056">
        <v>25.533935126542687</v>
      </c>
      <c r="AE35" s="4056">
        <v>32.653689568500006</v>
      </c>
      <c r="AF35" s="4056">
        <v>61.958557673114747</v>
      </c>
      <c r="AG35" s="4056">
        <v>36.737448564098358</v>
      </c>
      <c r="AH35" s="4056">
        <v>110.22036086581969</v>
      </c>
      <c r="AI35" s="4056">
        <v>43.156787890081972</v>
      </c>
      <c r="AJ35" s="4056">
        <v>114.19799999999998</v>
      </c>
      <c r="AK35" s="4056">
        <v>54.622316343956207</v>
      </c>
      <c r="AL35" s="4422">
        <f t="shared" si="2"/>
        <v>-92.618840226290047</v>
      </c>
      <c r="AM35" s="19"/>
    </row>
    <row r="36" spans="2:39" ht="18" customHeight="1" x14ac:dyDescent="0.2">
      <c r="B36" s="788" t="s">
        <v>2418</v>
      </c>
      <c r="C36" s="2255"/>
      <c r="D36" s="2255"/>
      <c r="E36" s="4056" t="s">
        <v>199</v>
      </c>
      <c r="F36" s="4056" t="s">
        <v>199</v>
      </c>
      <c r="G36" s="4056" t="s">
        <v>199</v>
      </c>
      <c r="H36" s="4056" t="s">
        <v>199</v>
      </c>
      <c r="I36" s="4056" t="s">
        <v>199</v>
      </c>
      <c r="J36" s="4056" t="s">
        <v>199</v>
      </c>
      <c r="K36" s="4056" t="s">
        <v>199</v>
      </c>
      <c r="L36" s="4056" t="s">
        <v>199</v>
      </c>
      <c r="M36" s="4056" t="s">
        <v>199</v>
      </c>
      <c r="N36" s="4056" t="s">
        <v>199</v>
      </c>
      <c r="O36" s="4056" t="s">
        <v>199</v>
      </c>
      <c r="P36" s="4056" t="s">
        <v>199</v>
      </c>
      <c r="Q36" s="4056" t="s">
        <v>199</v>
      </c>
      <c r="R36" s="4056" t="s">
        <v>199</v>
      </c>
      <c r="S36" s="4056" t="s">
        <v>199</v>
      </c>
      <c r="T36" s="4056" t="s">
        <v>199</v>
      </c>
      <c r="U36" s="4056" t="s">
        <v>199</v>
      </c>
      <c r="V36" s="4056" t="s">
        <v>199</v>
      </c>
      <c r="W36" s="4056" t="s">
        <v>199</v>
      </c>
      <c r="X36" s="4056" t="s">
        <v>199</v>
      </c>
      <c r="Y36" s="4056" t="s">
        <v>199</v>
      </c>
      <c r="Z36" s="4056" t="s">
        <v>199</v>
      </c>
      <c r="AA36" s="4056" t="s">
        <v>199</v>
      </c>
      <c r="AB36" s="4056" t="s">
        <v>199</v>
      </c>
      <c r="AC36" s="4056" t="s">
        <v>199</v>
      </c>
      <c r="AD36" s="4056" t="s">
        <v>199</v>
      </c>
      <c r="AE36" s="4056" t="s">
        <v>199</v>
      </c>
      <c r="AF36" s="4056" t="s">
        <v>199</v>
      </c>
      <c r="AG36" s="4056" t="s">
        <v>199</v>
      </c>
      <c r="AH36" s="4056" t="s">
        <v>199</v>
      </c>
      <c r="AI36" s="4056" t="s">
        <v>199</v>
      </c>
      <c r="AJ36" s="4056" t="s">
        <v>199</v>
      </c>
      <c r="AK36" s="4056" t="s">
        <v>199</v>
      </c>
      <c r="AL36" s="4422" t="str">
        <f t="shared" si="2"/>
        <v>NA</v>
      </c>
      <c r="AM36" s="19"/>
    </row>
    <row r="37" spans="2:39" ht="18" customHeight="1" x14ac:dyDescent="0.2">
      <c r="B37" s="788" t="s">
        <v>2419</v>
      </c>
      <c r="C37" s="2255"/>
      <c r="D37" s="2255"/>
      <c r="E37" s="4056" t="s">
        <v>199</v>
      </c>
      <c r="F37" s="4056" t="s">
        <v>199</v>
      </c>
      <c r="G37" s="4056" t="s">
        <v>199</v>
      </c>
      <c r="H37" s="4056" t="s">
        <v>199</v>
      </c>
      <c r="I37" s="4056" t="s">
        <v>199</v>
      </c>
      <c r="J37" s="4056" t="s">
        <v>199</v>
      </c>
      <c r="K37" s="4056" t="s">
        <v>199</v>
      </c>
      <c r="L37" s="4056" t="s">
        <v>199</v>
      </c>
      <c r="M37" s="4056" t="s">
        <v>199</v>
      </c>
      <c r="N37" s="4056" t="s">
        <v>199</v>
      </c>
      <c r="O37" s="4056" t="s">
        <v>199</v>
      </c>
      <c r="P37" s="4056" t="s">
        <v>199</v>
      </c>
      <c r="Q37" s="4056" t="s">
        <v>199</v>
      </c>
      <c r="R37" s="4056" t="s">
        <v>199</v>
      </c>
      <c r="S37" s="4056" t="s">
        <v>199</v>
      </c>
      <c r="T37" s="4056" t="s">
        <v>199</v>
      </c>
      <c r="U37" s="4056" t="s">
        <v>199</v>
      </c>
      <c r="V37" s="4056" t="s">
        <v>199</v>
      </c>
      <c r="W37" s="4056" t="s">
        <v>199</v>
      </c>
      <c r="X37" s="4056" t="s">
        <v>199</v>
      </c>
      <c r="Y37" s="4056" t="s">
        <v>199</v>
      </c>
      <c r="Z37" s="4056" t="s">
        <v>199</v>
      </c>
      <c r="AA37" s="4056" t="s">
        <v>199</v>
      </c>
      <c r="AB37" s="4056" t="s">
        <v>199</v>
      </c>
      <c r="AC37" s="4056" t="s">
        <v>199</v>
      </c>
      <c r="AD37" s="4056" t="s">
        <v>199</v>
      </c>
      <c r="AE37" s="4056" t="s">
        <v>199</v>
      </c>
      <c r="AF37" s="4056" t="s">
        <v>199</v>
      </c>
      <c r="AG37" s="4056" t="s">
        <v>199</v>
      </c>
      <c r="AH37" s="4056" t="s">
        <v>199</v>
      </c>
      <c r="AI37" s="4056" t="s">
        <v>199</v>
      </c>
      <c r="AJ37" s="4056" t="s">
        <v>199</v>
      </c>
      <c r="AK37" s="4056" t="s">
        <v>199</v>
      </c>
      <c r="AL37" s="4422" t="str">
        <f t="shared" si="2"/>
        <v>NA</v>
      </c>
      <c r="AM37" s="19"/>
    </row>
    <row r="38" spans="2:39" ht="18" customHeight="1" x14ac:dyDescent="0.2">
      <c r="B38" s="788" t="s">
        <v>2420</v>
      </c>
      <c r="C38" s="2255"/>
      <c r="D38" s="2255"/>
      <c r="E38" s="4056" t="s">
        <v>199</v>
      </c>
      <c r="F38" s="4056" t="s">
        <v>199</v>
      </c>
      <c r="G38" s="4056" t="s">
        <v>199</v>
      </c>
      <c r="H38" s="4056" t="s">
        <v>199</v>
      </c>
      <c r="I38" s="4056" t="s">
        <v>199</v>
      </c>
      <c r="J38" s="4056" t="s">
        <v>199</v>
      </c>
      <c r="K38" s="4056" t="s">
        <v>199</v>
      </c>
      <c r="L38" s="4056" t="s">
        <v>199</v>
      </c>
      <c r="M38" s="4056" t="s">
        <v>199</v>
      </c>
      <c r="N38" s="4056" t="s">
        <v>199</v>
      </c>
      <c r="O38" s="4056" t="s">
        <v>199</v>
      </c>
      <c r="P38" s="4056" t="s">
        <v>199</v>
      </c>
      <c r="Q38" s="4056" t="s">
        <v>199</v>
      </c>
      <c r="R38" s="4056" t="s">
        <v>199</v>
      </c>
      <c r="S38" s="4056" t="s">
        <v>199</v>
      </c>
      <c r="T38" s="4056" t="s">
        <v>199</v>
      </c>
      <c r="U38" s="4056" t="s">
        <v>199</v>
      </c>
      <c r="V38" s="4056" t="s">
        <v>199</v>
      </c>
      <c r="W38" s="4056" t="s">
        <v>199</v>
      </c>
      <c r="X38" s="4056" t="s">
        <v>199</v>
      </c>
      <c r="Y38" s="4056" t="s">
        <v>199</v>
      </c>
      <c r="Z38" s="4056" t="s">
        <v>199</v>
      </c>
      <c r="AA38" s="4056" t="s">
        <v>199</v>
      </c>
      <c r="AB38" s="4056" t="s">
        <v>199</v>
      </c>
      <c r="AC38" s="4056" t="s">
        <v>199</v>
      </c>
      <c r="AD38" s="4056" t="s">
        <v>199</v>
      </c>
      <c r="AE38" s="4056" t="s">
        <v>199</v>
      </c>
      <c r="AF38" s="4056" t="s">
        <v>199</v>
      </c>
      <c r="AG38" s="4056" t="s">
        <v>199</v>
      </c>
      <c r="AH38" s="4056" t="s">
        <v>199</v>
      </c>
      <c r="AI38" s="4056" t="s">
        <v>199</v>
      </c>
      <c r="AJ38" s="4056" t="s">
        <v>199</v>
      </c>
      <c r="AK38" s="4056" t="s">
        <v>199</v>
      </c>
      <c r="AL38" s="4422" t="str">
        <f t="shared" si="2"/>
        <v>NA</v>
      </c>
      <c r="AM38" s="19"/>
    </row>
    <row r="39" spans="2:39" ht="18" customHeight="1" x14ac:dyDescent="0.2">
      <c r="B39" s="788" t="s">
        <v>2421</v>
      </c>
      <c r="C39" s="2255"/>
      <c r="D39" s="2255"/>
      <c r="E39" s="4056" t="s">
        <v>199</v>
      </c>
      <c r="F39" s="4056" t="s">
        <v>199</v>
      </c>
      <c r="G39" s="4056" t="s">
        <v>199</v>
      </c>
      <c r="H39" s="4056" t="s">
        <v>199</v>
      </c>
      <c r="I39" s="4056" t="s">
        <v>199</v>
      </c>
      <c r="J39" s="4056" t="s">
        <v>199</v>
      </c>
      <c r="K39" s="4056" t="s">
        <v>199</v>
      </c>
      <c r="L39" s="4056" t="s">
        <v>199</v>
      </c>
      <c r="M39" s="4056" t="s">
        <v>199</v>
      </c>
      <c r="N39" s="4056" t="s">
        <v>199</v>
      </c>
      <c r="O39" s="4056" t="s">
        <v>199</v>
      </c>
      <c r="P39" s="4056" t="s">
        <v>199</v>
      </c>
      <c r="Q39" s="4056" t="s">
        <v>199</v>
      </c>
      <c r="R39" s="4056" t="s">
        <v>199</v>
      </c>
      <c r="S39" s="4056" t="s">
        <v>199</v>
      </c>
      <c r="T39" s="4056" t="s">
        <v>199</v>
      </c>
      <c r="U39" s="4056" t="s">
        <v>199</v>
      </c>
      <c r="V39" s="4056" t="s">
        <v>199</v>
      </c>
      <c r="W39" s="4056" t="s">
        <v>199</v>
      </c>
      <c r="X39" s="4056" t="s">
        <v>199</v>
      </c>
      <c r="Y39" s="4056" t="s">
        <v>199</v>
      </c>
      <c r="Z39" s="4056" t="s">
        <v>199</v>
      </c>
      <c r="AA39" s="4056" t="s">
        <v>199</v>
      </c>
      <c r="AB39" s="4056" t="s">
        <v>199</v>
      </c>
      <c r="AC39" s="4056" t="s">
        <v>199</v>
      </c>
      <c r="AD39" s="4056" t="s">
        <v>199</v>
      </c>
      <c r="AE39" s="4056" t="s">
        <v>199</v>
      </c>
      <c r="AF39" s="4056" t="s">
        <v>199</v>
      </c>
      <c r="AG39" s="4056" t="s">
        <v>199</v>
      </c>
      <c r="AH39" s="4056" t="s">
        <v>199</v>
      </c>
      <c r="AI39" s="4056" t="s">
        <v>199</v>
      </c>
      <c r="AJ39" s="4056" t="s">
        <v>199</v>
      </c>
      <c r="AK39" s="4056" t="s">
        <v>199</v>
      </c>
      <c r="AL39" s="4422" t="str">
        <f t="shared" si="2"/>
        <v>NA</v>
      </c>
      <c r="AM39" s="19"/>
    </row>
    <row r="40" spans="2:39" ht="18" customHeight="1" x14ac:dyDescent="0.2">
      <c r="B40" s="788" t="s">
        <v>2422</v>
      </c>
      <c r="C40" s="2255"/>
      <c r="D40" s="2255"/>
      <c r="E40" s="4056" t="s">
        <v>199</v>
      </c>
      <c r="F40" s="4056" t="s">
        <v>199</v>
      </c>
      <c r="G40" s="4056" t="s">
        <v>199</v>
      </c>
      <c r="H40" s="4056" t="s">
        <v>199</v>
      </c>
      <c r="I40" s="4056" t="s">
        <v>199</v>
      </c>
      <c r="J40" s="4056" t="s">
        <v>199</v>
      </c>
      <c r="K40" s="4056" t="s">
        <v>199</v>
      </c>
      <c r="L40" s="4056" t="s">
        <v>199</v>
      </c>
      <c r="M40" s="4056" t="s">
        <v>199</v>
      </c>
      <c r="N40" s="4056" t="s">
        <v>199</v>
      </c>
      <c r="O40" s="4056" t="s">
        <v>199</v>
      </c>
      <c r="P40" s="4056" t="s">
        <v>199</v>
      </c>
      <c r="Q40" s="4056" t="s">
        <v>199</v>
      </c>
      <c r="R40" s="4056" t="s">
        <v>199</v>
      </c>
      <c r="S40" s="4056" t="s">
        <v>199</v>
      </c>
      <c r="T40" s="4056" t="s">
        <v>199</v>
      </c>
      <c r="U40" s="4056" t="s">
        <v>199</v>
      </c>
      <c r="V40" s="4056" t="s">
        <v>199</v>
      </c>
      <c r="W40" s="4056" t="s">
        <v>199</v>
      </c>
      <c r="X40" s="4056" t="s">
        <v>199</v>
      </c>
      <c r="Y40" s="4056" t="s">
        <v>199</v>
      </c>
      <c r="Z40" s="4056" t="s">
        <v>199</v>
      </c>
      <c r="AA40" s="4056" t="s">
        <v>199</v>
      </c>
      <c r="AB40" s="4056" t="s">
        <v>199</v>
      </c>
      <c r="AC40" s="4056" t="s">
        <v>199</v>
      </c>
      <c r="AD40" s="4056" t="s">
        <v>199</v>
      </c>
      <c r="AE40" s="4056" t="s">
        <v>199</v>
      </c>
      <c r="AF40" s="4056" t="s">
        <v>199</v>
      </c>
      <c r="AG40" s="4056" t="s">
        <v>199</v>
      </c>
      <c r="AH40" s="4056" t="s">
        <v>199</v>
      </c>
      <c r="AI40" s="4056" t="s">
        <v>199</v>
      </c>
      <c r="AJ40" s="4056" t="s">
        <v>199</v>
      </c>
      <c r="AK40" s="4056" t="s">
        <v>199</v>
      </c>
      <c r="AL40" s="4422" t="str">
        <f t="shared" si="2"/>
        <v>NA</v>
      </c>
      <c r="AM40" s="19"/>
    </row>
    <row r="41" spans="2:39" ht="18" customHeight="1" x14ac:dyDescent="0.2">
      <c r="B41" s="788" t="s">
        <v>2423</v>
      </c>
      <c r="C41" s="2255"/>
      <c r="D41" s="2255"/>
      <c r="E41" s="4056" t="s">
        <v>199</v>
      </c>
      <c r="F41" s="4056" t="s">
        <v>199</v>
      </c>
      <c r="G41" s="4056" t="s">
        <v>199</v>
      </c>
      <c r="H41" s="4056" t="s">
        <v>199</v>
      </c>
      <c r="I41" s="4056" t="s">
        <v>199</v>
      </c>
      <c r="J41" s="4056" t="s">
        <v>199</v>
      </c>
      <c r="K41" s="4056" t="s">
        <v>199</v>
      </c>
      <c r="L41" s="4056" t="s">
        <v>199</v>
      </c>
      <c r="M41" s="4056" t="s">
        <v>199</v>
      </c>
      <c r="N41" s="4056" t="s">
        <v>199</v>
      </c>
      <c r="O41" s="4056" t="s">
        <v>199</v>
      </c>
      <c r="P41" s="4056" t="s">
        <v>199</v>
      </c>
      <c r="Q41" s="4056" t="s">
        <v>199</v>
      </c>
      <c r="R41" s="4056" t="s">
        <v>199</v>
      </c>
      <c r="S41" s="4056" t="s">
        <v>199</v>
      </c>
      <c r="T41" s="4056" t="s">
        <v>199</v>
      </c>
      <c r="U41" s="4056" t="s">
        <v>199</v>
      </c>
      <c r="V41" s="4056" t="s">
        <v>199</v>
      </c>
      <c r="W41" s="4056" t="s">
        <v>199</v>
      </c>
      <c r="X41" s="4056" t="s">
        <v>199</v>
      </c>
      <c r="Y41" s="4056" t="s">
        <v>199</v>
      </c>
      <c r="Z41" s="4056" t="s">
        <v>199</v>
      </c>
      <c r="AA41" s="4056" t="s">
        <v>199</v>
      </c>
      <c r="AB41" s="4056" t="s">
        <v>199</v>
      </c>
      <c r="AC41" s="4056" t="s">
        <v>199</v>
      </c>
      <c r="AD41" s="4056" t="s">
        <v>199</v>
      </c>
      <c r="AE41" s="4056" t="s">
        <v>199</v>
      </c>
      <c r="AF41" s="4056" t="s">
        <v>199</v>
      </c>
      <c r="AG41" s="4056" t="s">
        <v>199</v>
      </c>
      <c r="AH41" s="4056" t="s">
        <v>199</v>
      </c>
      <c r="AI41" s="4056" t="s">
        <v>199</v>
      </c>
      <c r="AJ41" s="4056" t="s">
        <v>199</v>
      </c>
      <c r="AK41" s="4056" t="s">
        <v>199</v>
      </c>
      <c r="AL41" s="4422" t="str">
        <f t="shared" si="2"/>
        <v>NA</v>
      </c>
      <c r="AM41" s="19"/>
    </row>
    <row r="42" spans="2:39" ht="18" customHeight="1" x14ac:dyDescent="0.2">
      <c r="B42" s="788" t="s">
        <v>2424</v>
      </c>
      <c r="C42" s="2255"/>
      <c r="D42" s="2255"/>
      <c r="E42" s="4056" t="s">
        <v>199</v>
      </c>
      <c r="F42" s="4056" t="s">
        <v>199</v>
      </c>
      <c r="G42" s="4056" t="s">
        <v>199</v>
      </c>
      <c r="H42" s="4056" t="s">
        <v>199</v>
      </c>
      <c r="I42" s="4056" t="s">
        <v>199</v>
      </c>
      <c r="J42" s="4056" t="s">
        <v>199</v>
      </c>
      <c r="K42" s="4056" t="s">
        <v>199</v>
      </c>
      <c r="L42" s="4056" t="s">
        <v>199</v>
      </c>
      <c r="M42" s="4056" t="s">
        <v>199</v>
      </c>
      <c r="N42" s="4056" t="s">
        <v>199</v>
      </c>
      <c r="O42" s="4056" t="s">
        <v>199</v>
      </c>
      <c r="P42" s="4056" t="s">
        <v>199</v>
      </c>
      <c r="Q42" s="4056" t="s">
        <v>199</v>
      </c>
      <c r="R42" s="4056" t="s">
        <v>199</v>
      </c>
      <c r="S42" s="4056" t="s">
        <v>199</v>
      </c>
      <c r="T42" s="4056" t="s">
        <v>199</v>
      </c>
      <c r="U42" s="4056" t="s">
        <v>199</v>
      </c>
      <c r="V42" s="4056" t="s">
        <v>199</v>
      </c>
      <c r="W42" s="4056" t="s">
        <v>199</v>
      </c>
      <c r="X42" s="4056" t="s">
        <v>199</v>
      </c>
      <c r="Y42" s="4056" t="s">
        <v>199</v>
      </c>
      <c r="Z42" s="4056" t="s">
        <v>199</v>
      </c>
      <c r="AA42" s="4056" t="s">
        <v>199</v>
      </c>
      <c r="AB42" s="4056" t="s">
        <v>199</v>
      </c>
      <c r="AC42" s="4056" t="s">
        <v>199</v>
      </c>
      <c r="AD42" s="4056" t="s">
        <v>199</v>
      </c>
      <c r="AE42" s="4056" t="s">
        <v>199</v>
      </c>
      <c r="AF42" s="4056" t="s">
        <v>199</v>
      </c>
      <c r="AG42" s="4056" t="s">
        <v>199</v>
      </c>
      <c r="AH42" s="4056" t="s">
        <v>199</v>
      </c>
      <c r="AI42" s="4056" t="s">
        <v>199</v>
      </c>
      <c r="AJ42" s="4056" t="s">
        <v>199</v>
      </c>
      <c r="AK42" s="4056" t="s">
        <v>199</v>
      </c>
      <c r="AL42" s="4422" t="str">
        <f t="shared" si="2"/>
        <v>NA</v>
      </c>
      <c r="AM42" s="19"/>
    </row>
    <row r="43" spans="2:39" ht="18" customHeight="1" thickBot="1" x14ac:dyDescent="0.25">
      <c r="B43" s="2559" t="s">
        <v>2425</v>
      </c>
      <c r="C43" s="2560"/>
      <c r="D43" s="2560"/>
      <c r="E43" s="4057" t="s">
        <v>199</v>
      </c>
      <c r="F43" s="4057" t="s">
        <v>199</v>
      </c>
      <c r="G43" s="4057" t="s">
        <v>199</v>
      </c>
      <c r="H43" s="4057" t="s">
        <v>199</v>
      </c>
      <c r="I43" s="4057" t="s">
        <v>199</v>
      </c>
      <c r="J43" s="4057" t="s">
        <v>199</v>
      </c>
      <c r="K43" s="4057" t="s">
        <v>199</v>
      </c>
      <c r="L43" s="4057" t="s">
        <v>199</v>
      </c>
      <c r="M43" s="4057" t="s">
        <v>199</v>
      </c>
      <c r="N43" s="4057" t="s">
        <v>199</v>
      </c>
      <c r="O43" s="4057" t="s">
        <v>199</v>
      </c>
      <c r="P43" s="4057" t="s">
        <v>199</v>
      </c>
      <c r="Q43" s="4057" t="s">
        <v>199</v>
      </c>
      <c r="R43" s="4057" t="s">
        <v>199</v>
      </c>
      <c r="S43" s="4057" t="s">
        <v>199</v>
      </c>
      <c r="T43" s="4057" t="s">
        <v>199</v>
      </c>
      <c r="U43" s="4057" t="s">
        <v>199</v>
      </c>
      <c r="V43" s="4057" t="s">
        <v>199</v>
      </c>
      <c r="W43" s="4057" t="s">
        <v>199</v>
      </c>
      <c r="X43" s="4057" t="s">
        <v>199</v>
      </c>
      <c r="Y43" s="4057" t="s">
        <v>199</v>
      </c>
      <c r="Z43" s="4057" t="s">
        <v>199</v>
      </c>
      <c r="AA43" s="4057" t="s">
        <v>199</v>
      </c>
      <c r="AB43" s="4057" t="s">
        <v>199</v>
      </c>
      <c r="AC43" s="4057" t="s">
        <v>199</v>
      </c>
      <c r="AD43" s="4057" t="s">
        <v>199</v>
      </c>
      <c r="AE43" s="4057" t="s">
        <v>199</v>
      </c>
      <c r="AF43" s="4057" t="s">
        <v>199</v>
      </c>
      <c r="AG43" s="4057" t="s">
        <v>199</v>
      </c>
      <c r="AH43" s="4057" t="s">
        <v>199</v>
      </c>
      <c r="AI43" s="4057" t="s">
        <v>199</v>
      </c>
      <c r="AJ43" s="4057" t="s">
        <v>199</v>
      </c>
      <c r="AK43" s="4057" t="s">
        <v>199</v>
      </c>
      <c r="AL43" s="4063" t="str">
        <f t="shared" si="2"/>
        <v>NA</v>
      </c>
      <c r="AM43" s="19"/>
    </row>
    <row r="44" spans="2:39" ht="18" customHeight="1" thickBot="1" x14ac:dyDescent="0.25">
      <c r="B44" s="2018"/>
      <c r="C44" s="304"/>
      <c r="D44" s="304"/>
      <c r="E44" s="4052"/>
      <c r="F44" s="4052"/>
      <c r="G44" s="4052"/>
      <c r="H44" s="4052"/>
      <c r="I44" s="4052"/>
      <c r="J44" s="4052"/>
      <c r="K44" s="4052"/>
      <c r="L44" s="4052"/>
      <c r="M44" s="4052"/>
      <c r="N44" s="4052"/>
      <c r="O44" s="4052"/>
      <c r="P44" s="4052"/>
      <c r="Q44" s="4052"/>
      <c r="R44" s="4052"/>
      <c r="S44" s="4052"/>
      <c r="T44" s="4052"/>
      <c r="U44" s="4052"/>
      <c r="V44" s="4052"/>
      <c r="W44" s="4052"/>
      <c r="X44" s="4052"/>
      <c r="Y44" s="4052"/>
      <c r="Z44" s="4052"/>
      <c r="AA44" s="4052"/>
      <c r="AB44" s="4052"/>
      <c r="AC44" s="4052"/>
      <c r="AD44" s="4052"/>
      <c r="AE44" s="4052"/>
      <c r="AF44" s="4052"/>
      <c r="AG44" s="4052"/>
      <c r="AH44" s="4052"/>
      <c r="AI44" s="4052"/>
      <c r="AJ44" s="4052"/>
      <c r="AK44" s="4052"/>
      <c r="AL44" s="4424"/>
      <c r="AM44" s="19"/>
    </row>
    <row r="45" spans="2:39" ht="18" customHeight="1" thickBot="1" x14ac:dyDescent="0.25">
      <c r="B45" s="2554" t="s">
        <v>2426</v>
      </c>
      <c r="C45" s="2555"/>
      <c r="D45" s="2555"/>
      <c r="E45" s="4059" t="s">
        <v>199</v>
      </c>
      <c r="F45" s="4059" t="s">
        <v>199</v>
      </c>
      <c r="G45" s="4059" t="s">
        <v>199</v>
      </c>
      <c r="H45" s="4059" t="s">
        <v>199</v>
      </c>
      <c r="I45" s="4059" t="s">
        <v>199</v>
      </c>
      <c r="J45" s="4059" t="s">
        <v>199</v>
      </c>
      <c r="K45" s="4059" t="s">
        <v>199</v>
      </c>
      <c r="L45" s="4059" t="s">
        <v>199</v>
      </c>
      <c r="M45" s="4059" t="s">
        <v>199</v>
      </c>
      <c r="N45" s="4059" t="s">
        <v>199</v>
      </c>
      <c r="O45" s="4059" t="s">
        <v>199</v>
      </c>
      <c r="P45" s="4059" t="s">
        <v>199</v>
      </c>
      <c r="Q45" s="4059" t="s">
        <v>199</v>
      </c>
      <c r="R45" s="4059" t="s">
        <v>199</v>
      </c>
      <c r="S45" s="4059" t="s">
        <v>199</v>
      </c>
      <c r="T45" s="4059" t="s">
        <v>199</v>
      </c>
      <c r="U45" s="4059" t="s">
        <v>199</v>
      </c>
      <c r="V45" s="4059" t="s">
        <v>199</v>
      </c>
      <c r="W45" s="4059" t="s">
        <v>199</v>
      </c>
      <c r="X45" s="4059" t="s">
        <v>199</v>
      </c>
      <c r="Y45" s="4059" t="s">
        <v>199</v>
      </c>
      <c r="Z45" s="4059" t="s">
        <v>199</v>
      </c>
      <c r="AA45" s="4059" t="s">
        <v>199</v>
      </c>
      <c r="AB45" s="4059" t="s">
        <v>199</v>
      </c>
      <c r="AC45" s="4059" t="s">
        <v>199</v>
      </c>
      <c r="AD45" s="4059" t="s">
        <v>199</v>
      </c>
      <c r="AE45" s="4059" t="s">
        <v>199</v>
      </c>
      <c r="AF45" s="4059" t="s">
        <v>199</v>
      </c>
      <c r="AG45" s="4059" t="s">
        <v>199</v>
      </c>
      <c r="AH45" s="4059" t="s">
        <v>199</v>
      </c>
      <c r="AI45" s="4059" t="s">
        <v>199</v>
      </c>
      <c r="AJ45" s="4059" t="s">
        <v>199</v>
      </c>
      <c r="AK45" s="4059" t="s">
        <v>199</v>
      </c>
      <c r="AL45" s="4425" t="str">
        <f t="shared" si="2"/>
        <v>NA</v>
      </c>
      <c r="AM45" s="19"/>
    </row>
    <row r="46" spans="2:39" ht="18" customHeight="1" thickBot="1" x14ac:dyDescent="0.25">
      <c r="B46" s="2018"/>
      <c r="C46" s="304"/>
      <c r="D46" s="304"/>
      <c r="E46" s="4052"/>
      <c r="F46" s="4052"/>
      <c r="G46" s="4052"/>
      <c r="H46" s="4052"/>
      <c r="I46" s="4052"/>
      <c r="J46" s="4052"/>
      <c r="K46" s="4052"/>
      <c r="L46" s="4052"/>
      <c r="M46" s="4052"/>
      <c r="N46" s="4052"/>
      <c r="O46" s="4052"/>
      <c r="P46" s="4052"/>
      <c r="Q46" s="4052"/>
      <c r="R46" s="4052"/>
      <c r="S46" s="4052"/>
      <c r="T46" s="4052"/>
      <c r="U46" s="4052"/>
      <c r="V46" s="4052"/>
      <c r="W46" s="4052"/>
      <c r="X46" s="4052"/>
      <c r="Y46" s="4052"/>
      <c r="Z46" s="4052"/>
      <c r="AA46" s="4052"/>
      <c r="AB46" s="4052"/>
      <c r="AC46" s="4052"/>
      <c r="AD46" s="4052"/>
      <c r="AE46" s="4052"/>
      <c r="AF46" s="4052"/>
      <c r="AG46" s="4052"/>
      <c r="AH46" s="4052"/>
      <c r="AI46" s="4052"/>
      <c r="AJ46" s="4052"/>
      <c r="AK46" s="4052"/>
      <c r="AL46" s="4424"/>
      <c r="AM46" s="19"/>
    </row>
    <row r="47" spans="2:39" ht="18" customHeight="1" x14ac:dyDescent="0.2">
      <c r="B47" s="2019" t="s">
        <v>2427</v>
      </c>
      <c r="C47" s="791"/>
      <c r="D47" s="792"/>
      <c r="E47" s="4058">
        <f>E48</f>
        <v>227.33126391232889</v>
      </c>
      <c r="F47" s="4058">
        <f t="shared" ref="F47:AK47" si="5">F48</f>
        <v>246.69030699012214</v>
      </c>
      <c r="G47" s="4058">
        <f t="shared" si="5"/>
        <v>266.03666522364358</v>
      </c>
      <c r="H47" s="4058">
        <f t="shared" si="5"/>
        <v>285.3688949537343</v>
      </c>
      <c r="I47" s="4058">
        <f t="shared" si="5"/>
        <v>304.68198692506843</v>
      </c>
      <c r="J47" s="4058">
        <f t="shared" si="5"/>
        <v>325.92330345973716</v>
      </c>
      <c r="K47" s="4058">
        <f t="shared" si="5"/>
        <v>297.97363341418611</v>
      </c>
      <c r="L47" s="4058">
        <f t="shared" si="5"/>
        <v>274.96345974170822</v>
      </c>
      <c r="M47" s="4058">
        <f t="shared" si="5"/>
        <v>247.58218354023921</v>
      </c>
      <c r="N47" s="4058">
        <f t="shared" si="5"/>
        <v>217.77596856722661</v>
      </c>
      <c r="O47" s="4058">
        <f t="shared" si="5"/>
        <v>218.94870006999835</v>
      </c>
      <c r="P47" s="4058">
        <f t="shared" si="5"/>
        <v>225.51312817449531</v>
      </c>
      <c r="Q47" s="4058">
        <f t="shared" si="5"/>
        <v>232.00612349094484</v>
      </c>
      <c r="R47" s="4058">
        <f t="shared" si="5"/>
        <v>236.14843822233468</v>
      </c>
      <c r="S47" s="4058">
        <f t="shared" si="5"/>
        <v>237.74641315441517</v>
      </c>
      <c r="T47" s="4058">
        <f t="shared" si="5"/>
        <v>202.23967297118685</v>
      </c>
      <c r="U47" s="4058">
        <f t="shared" si="5"/>
        <v>191.78131355969191</v>
      </c>
      <c r="V47" s="4058">
        <f t="shared" si="5"/>
        <v>180.50437484164183</v>
      </c>
      <c r="W47" s="4058">
        <f t="shared" si="5"/>
        <v>168.33889499727522</v>
      </c>
      <c r="X47" s="4058">
        <f t="shared" si="5"/>
        <v>151.50594481761419</v>
      </c>
      <c r="Y47" s="4058">
        <f t="shared" si="5"/>
        <v>144.54462849354337</v>
      </c>
      <c r="Z47" s="4058">
        <f t="shared" si="5"/>
        <v>130.89618775970047</v>
      </c>
      <c r="AA47" s="4058">
        <f t="shared" si="5"/>
        <v>117.94335057564615</v>
      </c>
      <c r="AB47" s="4058">
        <f t="shared" si="5"/>
        <v>107.66365548460661</v>
      </c>
      <c r="AC47" s="4058">
        <f t="shared" si="5"/>
        <v>102.16723809781716</v>
      </c>
      <c r="AD47" s="4058">
        <f t="shared" si="5"/>
        <v>119.37044161100978</v>
      </c>
      <c r="AE47" s="4058">
        <f t="shared" si="5"/>
        <v>126.56289777205671</v>
      </c>
      <c r="AF47" s="4058">
        <f t="shared" si="5"/>
        <v>132.48027163548571</v>
      </c>
      <c r="AG47" s="4058">
        <f t="shared" si="5"/>
        <v>163.31878925136422</v>
      </c>
      <c r="AH47" s="4058">
        <f t="shared" si="5"/>
        <v>128.95488205842807</v>
      </c>
      <c r="AI47" s="4058">
        <f t="shared" si="5"/>
        <v>102.28646355522085</v>
      </c>
      <c r="AJ47" s="4058">
        <f t="shared" si="5"/>
        <v>192.73345070777478</v>
      </c>
      <c r="AK47" s="4058">
        <f t="shared" si="5"/>
        <v>157.64169725926149</v>
      </c>
      <c r="AL47" s="4422">
        <f t="shared" si="2"/>
        <v>-30.655513656029044</v>
      </c>
      <c r="AM47" s="19"/>
    </row>
    <row r="48" spans="2:39" ht="18" customHeight="1" thickBot="1" x14ac:dyDescent="0.25">
      <c r="B48" s="2020" t="s">
        <v>905</v>
      </c>
      <c r="C48" s="2256"/>
      <c r="D48" s="2257"/>
      <c r="E48" s="4051">
        <v>227.33126391232889</v>
      </c>
      <c r="F48" s="4051">
        <v>246.69030699012214</v>
      </c>
      <c r="G48" s="4051">
        <v>266.03666522364358</v>
      </c>
      <c r="H48" s="4051">
        <v>285.3688949537343</v>
      </c>
      <c r="I48" s="4051">
        <v>304.68198692506843</v>
      </c>
      <c r="J48" s="4051">
        <v>325.92330345973716</v>
      </c>
      <c r="K48" s="4051">
        <v>297.97363341418611</v>
      </c>
      <c r="L48" s="4051">
        <v>274.96345974170822</v>
      </c>
      <c r="M48" s="4051">
        <v>247.58218354023921</v>
      </c>
      <c r="N48" s="4051">
        <v>217.77596856722661</v>
      </c>
      <c r="O48" s="4051">
        <v>218.94870006999835</v>
      </c>
      <c r="P48" s="4051">
        <v>225.51312817449531</v>
      </c>
      <c r="Q48" s="4051">
        <v>232.00612349094484</v>
      </c>
      <c r="R48" s="4051">
        <v>236.14843822233468</v>
      </c>
      <c r="S48" s="4051">
        <v>237.74641315441517</v>
      </c>
      <c r="T48" s="4051">
        <v>202.23967297118685</v>
      </c>
      <c r="U48" s="4051">
        <v>191.78131355969191</v>
      </c>
      <c r="V48" s="4051">
        <v>180.50437484164183</v>
      </c>
      <c r="W48" s="4051">
        <v>168.33889499727522</v>
      </c>
      <c r="X48" s="4051">
        <v>151.50594481761419</v>
      </c>
      <c r="Y48" s="4051">
        <v>144.54462849354337</v>
      </c>
      <c r="Z48" s="4051">
        <v>130.89618775970047</v>
      </c>
      <c r="AA48" s="4051">
        <v>117.94335057564615</v>
      </c>
      <c r="AB48" s="4051">
        <v>107.66365548460661</v>
      </c>
      <c r="AC48" s="4051">
        <v>102.16723809781716</v>
      </c>
      <c r="AD48" s="4051">
        <v>119.37044161100978</v>
      </c>
      <c r="AE48" s="4051">
        <v>126.56289777205671</v>
      </c>
      <c r="AF48" s="4051">
        <v>132.48027163548571</v>
      </c>
      <c r="AG48" s="4051">
        <v>163.31878925136422</v>
      </c>
      <c r="AH48" s="4051">
        <v>128.95488205842807</v>
      </c>
      <c r="AI48" s="4051">
        <v>102.28646355522085</v>
      </c>
      <c r="AJ48" s="4051">
        <v>192.73345070777478</v>
      </c>
      <c r="AK48" s="4051">
        <v>157.64169725926149</v>
      </c>
      <c r="AL48" s="4063">
        <f t="shared" si="2"/>
        <v>-30.655513656029044</v>
      </c>
      <c r="AM48" s="19"/>
    </row>
    <row r="49" spans="2:39" ht="18" customHeight="1" thickBot="1" x14ac:dyDescent="0.25">
      <c r="B49" s="2021"/>
      <c r="C49" s="305"/>
      <c r="D49" s="306"/>
      <c r="E49" s="4054"/>
      <c r="F49" s="4054"/>
      <c r="G49" s="4054"/>
      <c r="H49" s="4054"/>
      <c r="I49" s="4054"/>
      <c r="J49" s="4054"/>
      <c r="K49" s="4054"/>
      <c r="L49" s="4054"/>
      <c r="M49" s="4054"/>
      <c r="N49" s="4054"/>
      <c r="O49" s="4054"/>
      <c r="P49" s="4054"/>
      <c r="Q49" s="4054"/>
      <c r="R49" s="4054"/>
      <c r="S49" s="4054"/>
      <c r="T49" s="4054"/>
      <c r="U49" s="4054"/>
      <c r="V49" s="4054"/>
      <c r="W49" s="4054"/>
      <c r="X49" s="4054"/>
      <c r="Y49" s="4054"/>
      <c r="Z49" s="4054"/>
      <c r="AA49" s="4054"/>
      <c r="AB49" s="4054"/>
      <c r="AC49" s="4054"/>
      <c r="AD49" s="4054"/>
      <c r="AE49" s="4054"/>
      <c r="AF49" s="4054"/>
      <c r="AG49" s="4054"/>
      <c r="AH49" s="4054"/>
      <c r="AI49" s="4054"/>
      <c r="AJ49" s="4054"/>
      <c r="AK49" s="4054"/>
      <c r="AL49" s="4426"/>
      <c r="AM49" s="19"/>
    </row>
    <row r="50" spans="2:39" ht="18" customHeight="1" x14ac:dyDescent="0.2">
      <c r="B50" s="2022" t="s">
        <v>2428</v>
      </c>
      <c r="C50" s="791"/>
      <c r="D50" s="791"/>
      <c r="E50" s="4060" t="str">
        <f>E51</f>
        <v>NO</v>
      </c>
      <c r="F50" s="4060" t="str">
        <f t="shared" ref="F50:AK50" si="6">F51</f>
        <v>NO</v>
      </c>
      <c r="G50" s="4060" t="str">
        <f t="shared" si="6"/>
        <v>NO</v>
      </c>
      <c r="H50" s="4060" t="str">
        <f t="shared" si="6"/>
        <v>NO</v>
      </c>
      <c r="I50" s="4060" t="str">
        <f t="shared" si="6"/>
        <v>NO</v>
      </c>
      <c r="J50" s="4060" t="str">
        <f t="shared" si="6"/>
        <v>NO</v>
      </c>
      <c r="K50" s="4060" t="str">
        <f t="shared" si="6"/>
        <v>NO</v>
      </c>
      <c r="L50" s="4060" t="str">
        <f t="shared" si="6"/>
        <v>NO</v>
      </c>
      <c r="M50" s="4060" t="str">
        <f t="shared" si="6"/>
        <v>NO</v>
      </c>
      <c r="N50" s="4060" t="str">
        <f t="shared" si="6"/>
        <v>NO</v>
      </c>
      <c r="O50" s="4060" t="str">
        <f t="shared" si="6"/>
        <v>NO</v>
      </c>
      <c r="P50" s="4060" t="str">
        <f t="shared" si="6"/>
        <v>NO</v>
      </c>
      <c r="Q50" s="4060" t="str">
        <f t="shared" si="6"/>
        <v>NO</v>
      </c>
      <c r="R50" s="4060" t="str">
        <f t="shared" si="6"/>
        <v>NO</v>
      </c>
      <c r="S50" s="4060" t="str">
        <f t="shared" si="6"/>
        <v>NO</v>
      </c>
      <c r="T50" s="4060" t="str">
        <f t="shared" si="6"/>
        <v>NO</v>
      </c>
      <c r="U50" s="4060" t="str">
        <f t="shared" si="6"/>
        <v>NO</v>
      </c>
      <c r="V50" s="4060" t="str">
        <f t="shared" si="6"/>
        <v>NO</v>
      </c>
      <c r="W50" s="4060" t="str">
        <f t="shared" si="6"/>
        <v>NO</v>
      </c>
      <c r="X50" s="4060" t="str">
        <f t="shared" si="6"/>
        <v>NO</v>
      </c>
      <c r="Y50" s="4060" t="str">
        <f t="shared" si="6"/>
        <v>NO</v>
      </c>
      <c r="Z50" s="4060" t="str">
        <f t="shared" si="6"/>
        <v>NO</v>
      </c>
      <c r="AA50" s="4060" t="str">
        <f t="shared" si="6"/>
        <v>NO</v>
      </c>
      <c r="AB50" s="4060" t="str">
        <f t="shared" si="6"/>
        <v>NO</v>
      </c>
      <c r="AC50" s="4060" t="str">
        <f t="shared" si="6"/>
        <v>NO</v>
      </c>
      <c r="AD50" s="4060" t="str">
        <f t="shared" si="6"/>
        <v>NO</v>
      </c>
      <c r="AE50" s="4060" t="str">
        <f t="shared" si="6"/>
        <v>NO</v>
      </c>
      <c r="AF50" s="4060" t="str">
        <f t="shared" si="6"/>
        <v>NO</v>
      </c>
      <c r="AG50" s="4060" t="str">
        <f t="shared" si="6"/>
        <v>NO</v>
      </c>
      <c r="AH50" s="4060" t="str">
        <f t="shared" si="6"/>
        <v>NO</v>
      </c>
      <c r="AI50" s="4060" t="str">
        <f t="shared" si="6"/>
        <v>NO</v>
      </c>
      <c r="AJ50" s="4060" t="str">
        <f t="shared" si="6"/>
        <v>NO</v>
      </c>
      <c r="AK50" s="4060" t="str">
        <f t="shared" si="6"/>
        <v>NO</v>
      </c>
      <c r="AL50" s="4422" t="str">
        <f t="shared" si="2"/>
        <v>NA</v>
      </c>
      <c r="AM50" s="19"/>
    </row>
    <row r="51" spans="2:39" ht="18" customHeight="1" thickBot="1" x14ac:dyDescent="0.25">
      <c r="B51" s="2023" t="s">
        <v>2263</v>
      </c>
      <c r="C51" s="2256"/>
      <c r="D51" s="2257"/>
      <c r="E51" s="4056" t="s">
        <v>199</v>
      </c>
      <c r="F51" s="4056" t="s">
        <v>199</v>
      </c>
      <c r="G51" s="4056" t="s">
        <v>199</v>
      </c>
      <c r="H51" s="4056" t="s">
        <v>199</v>
      </c>
      <c r="I51" s="4056" t="s">
        <v>199</v>
      </c>
      <c r="J51" s="4056" t="s">
        <v>199</v>
      </c>
      <c r="K51" s="4056" t="s">
        <v>199</v>
      </c>
      <c r="L51" s="4056" t="s">
        <v>199</v>
      </c>
      <c r="M51" s="4056" t="s">
        <v>199</v>
      </c>
      <c r="N51" s="4056" t="s">
        <v>199</v>
      </c>
      <c r="O51" s="4056" t="s">
        <v>199</v>
      </c>
      <c r="P51" s="4056" t="s">
        <v>199</v>
      </c>
      <c r="Q51" s="4056" t="s">
        <v>199</v>
      </c>
      <c r="R51" s="4056" t="s">
        <v>199</v>
      </c>
      <c r="S51" s="4056" t="s">
        <v>199</v>
      </c>
      <c r="T51" s="4056" t="s">
        <v>199</v>
      </c>
      <c r="U51" s="4056" t="s">
        <v>199</v>
      </c>
      <c r="V51" s="4056" t="s">
        <v>199</v>
      </c>
      <c r="W51" s="4056" t="s">
        <v>199</v>
      </c>
      <c r="X51" s="4056" t="s">
        <v>199</v>
      </c>
      <c r="Y51" s="4056" t="s">
        <v>199</v>
      </c>
      <c r="Z51" s="4056" t="s">
        <v>199</v>
      </c>
      <c r="AA51" s="4056" t="s">
        <v>199</v>
      </c>
      <c r="AB51" s="4056" t="s">
        <v>199</v>
      </c>
      <c r="AC51" s="4056" t="s">
        <v>199</v>
      </c>
      <c r="AD51" s="4056" t="s">
        <v>199</v>
      </c>
      <c r="AE51" s="4056" t="s">
        <v>199</v>
      </c>
      <c r="AF51" s="4056" t="s">
        <v>199</v>
      </c>
      <c r="AG51" s="4056" t="s">
        <v>199</v>
      </c>
      <c r="AH51" s="4056" t="s">
        <v>199</v>
      </c>
      <c r="AI51" s="4056" t="s">
        <v>199</v>
      </c>
      <c r="AJ51" s="4056" t="s">
        <v>199</v>
      </c>
      <c r="AK51" s="4056" t="s">
        <v>199</v>
      </c>
      <c r="AL51" s="4422"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zoomScale="80" zoomScaleNormal="80" workbookViewId="0">
      <selection activeCell="AI33" sqref="AI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1" t="s">
        <v>62</v>
      </c>
      <c r="C7" s="254"/>
      <c r="D7" s="254"/>
      <c r="E7" s="2430"/>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114">
        <f>Table10s2!E70</f>
        <v>278160.49535550585</v>
      </c>
      <c r="F10" s="4114">
        <f>Table10s2!F70</f>
        <v>279534.25287891791</v>
      </c>
      <c r="G10" s="4114">
        <f>Table10s2!G70</f>
        <v>284529.00414940057</v>
      </c>
      <c r="H10" s="4114">
        <f>Table10s2!H70</f>
        <v>288873.74655522045</v>
      </c>
      <c r="I10" s="4114">
        <f>Table10s2!I70</f>
        <v>293701.16854778939</v>
      </c>
      <c r="J10" s="4114">
        <f>Table10s2!J70</f>
        <v>305055.84928049194</v>
      </c>
      <c r="K10" s="4114">
        <f>Table10s2!K70</f>
        <v>311940.76137988013</v>
      </c>
      <c r="L10" s="4114">
        <f>Table10s2!L70</f>
        <v>320333.0243480808</v>
      </c>
      <c r="M10" s="4114">
        <f>Table10s2!M70</f>
        <v>334135.81937344489</v>
      </c>
      <c r="N10" s="4114">
        <f>Table10s2!N70</f>
        <v>343959.4805698503</v>
      </c>
      <c r="O10" s="4114">
        <f>Table10s2!O70</f>
        <v>350007.97661891248</v>
      </c>
      <c r="P10" s="4114">
        <f>Table10s2!P70</f>
        <v>357783.6765072355</v>
      </c>
      <c r="Q10" s="4114">
        <f>Table10s2!Q70</f>
        <v>362536.52995418111</v>
      </c>
      <c r="R10" s="4114">
        <f>Table10s2!R70</f>
        <v>369629.67701786297</v>
      </c>
      <c r="S10" s="4114">
        <f>Table10s2!S70</f>
        <v>383159.0251791373</v>
      </c>
      <c r="T10" s="4114">
        <f>Table10s2!T70</f>
        <v>386176.00828742073</v>
      </c>
      <c r="U10" s="4114">
        <f>Table10s2!U70</f>
        <v>392359.9534440143</v>
      </c>
      <c r="V10" s="4114">
        <f>Table10s2!V70</f>
        <v>399475.01028957084</v>
      </c>
      <c r="W10" s="4114">
        <f>Table10s2!W70</f>
        <v>404840.49775115377</v>
      </c>
      <c r="X10" s="4114">
        <f>Table10s2!X70</f>
        <v>407093.97456975601</v>
      </c>
      <c r="Y10" s="4114">
        <f>Table10s2!Y70</f>
        <v>405131.00376829086</v>
      </c>
      <c r="Z10" s="4114">
        <f>Table10s2!Z70</f>
        <v>403858.09665778145</v>
      </c>
      <c r="AA10" s="4114">
        <f>Table10s2!AA70</f>
        <v>406196.70012097922</v>
      </c>
      <c r="AB10" s="4114">
        <f>Table10s2!AB70</f>
        <v>399067.51095968991</v>
      </c>
      <c r="AC10" s="4114">
        <f>Table10s2!AC70</f>
        <v>392728.88820371579</v>
      </c>
      <c r="AD10" s="4114">
        <f>Table10s2!AD70</f>
        <v>401496.62357620359</v>
      </c>
      <c r="AE10" s="4114">
        <f>Table10s2!AE70</f>
        <v>410388.08208424767</v>
      </c>
      <c r="AF10" s="4114">
        <f>Table10s2!AF70</f>
        <v>413817.69130816049</v>
      </c>
      <c r="AG10" s="4114">
        <f>Table10s2!AG70</f>
        <v>415591.16948492464</v>
      </c>
      <c r="AH10" s="4114">
        <f>Table10s2!AH70</f>
        <v>415769.80241979309</v>
      </c>
      <c r="AI10" s="4114">
        <f>Table10s2!AI70</f>
        <v>399183.90859910002</v>
      </c>
      <c r="AJ10" s="4114">
        <f>Table10s2!AJ70</f>
        <v>389019.53749130404</v>
      </c>
      <c r="AK10" s="4114">
        <f>Table10s2!AK70</f>
        <v>384362.14678592893</v>
      </c>
      <c r="AL10" s="4062">
        <f>IF(AK10="NO",IF(E10="NO","NA",-100),IF(E10="NO",100,AK10/E10*100-100))</f>
        <v>38.179990762056633</v>
      </c>
      <c r="AM10" s="19"/>
      <c r="AN10">
        <f>(AK10-E10)/E10*100</f>
        <v>38.179990762056626</v>
      </c>
      <c r="AO10" s="4417">
        <f>AN10-AL10</f>
        <v>0</v>
      </c>
    </row>
    <row r="11" spans="2:41" ht="18" customHeight="1" x14ac:dyDescent="0.2">
      <c r="B11" s="1984" t="s">
        <v>2433</v>
      </c>
      <c r="C11" s="1985"/>
      <c r="D11" s="1986"/>
      <c r="E11" s="4114">
        <f>Table10s2!E71</f>
        <v>431510.49931750051</v>
      </c>
      <c r="F11" s="4114">
        <f>Table10s2!F71</f>
        <v>413318.47179445601</v>
      </c>
      <c r="G11" s="4114">
        <f>Table10s2!G71</f>
        <v>375936.71376864711</v>
      </c>
      <c r="H11" s="4114">
        <f>Table10s2!H71</f>
        <v>359755.26942823874</v>
      </c>
      <c r="I11" s="4114">
        <f>Table10s2!I71</f>
        <v>354738.12556901312</v>
      </c>
      <c r="J11" s="4114">
        <f>Table10s2!J71</f>
        <v>345200.19579757738</v>
      </c>
      <c r="K11" s="4114">
        <f>Table10s2!K71</f>
        <v>345875.71381261252</v>
      </c>
      <c r="L11" s="4114">
        <f>Table10s2!L71</f>
        <v>340403.20879683539</v>
      </c>
      <c r="M11" s="4114">
        <f>Table10s2!M71</f>
        <v>357127.37522453221</v>
      </c>
      <c r="N11" s="4114">
        <f>Table10s2!N71</f>
        <v>379960.62382429757</v>
      </c>
      <c r="O11" s="4114">
        <f>Table10s2!O71</f>
        <v>393288.39614166302</v>
      </c>
      <c r="P11" s="4114">
        <f>Table10s2!P71</f>
        <v>410626.04503564502</v>
      </c>
      <c r="Q11" s="4114">
        <f>Table10s2!Q71</f>
        <v>415878.80357455771</v>
      </c>
      <c r="R11" s="4114">
        <f>Table10s2!R71</f>
        <v>423081.13102724403</v>
      </c>
      <c r="S11" s="4114">
        <f>Table10s2!S71</f>
        <v>406360.59441580693</v>
      </c>
      <c r="T11" s="4114">
        <f>Table10s2!T71</f>
        <v>437317.10609624867</v>
      </c>
      <c r="U11" s="4114">
        <f>Table10s2!U71</f>
        <v>473020.25967650407</v>
      </c>
      <c r="V11" s="4114">
        <f>Table10s2!V71</f>
        <v>453220.0228116769</v>
      </c>
      <c r="W11" s="4114">
        <f>Table10s2!W71</f>
        <v>445085.91124470806</v>
      </c>
      <c r="X11" s="4114">
        <f>Table10s2!X71</f>
        <v>438633.92943645909</v>
      </c>
      <c r="Y11" s="4114">
        <f>Table10s2!Y71</f>
        <v>442715.70568127173</v>
      </c>
      <c r="Z11" s="4114">
        <f>Table10s2!Z71</f>
        <v>407763.05016614014</v>
      </c>
      <c r="AA11" s="4114">
        <f>Table10s2!AA71</f>
        <v>385961.97760480928</v>
      </c>
      <c r="AB11" s="4114">
        <f>Table10s2!AB71</f>
        <v>389541.74059074587</v>
      </c>
      <c r="AC11" s="4114">
        <f>Table10s2!AC71</f>
        <v>372214.73728483118</v>
      </c>
      <c r="AD11" s="4114">
        <f>Table10s2!AD71</f>
        <v>368260.16460978752</v>
      </c>
      <c r="AE11" s="4114">
        <f>Table10s2!AE71</f>
        <v>327830.31967537355</v>
      </c>
      <c r="AF11" s="4114">
        <f>Table10s2!AF71</f>
        <v>362224.93408440572</v>
      </c>
      <c r="AG11" s="4114">
        <f>Table10s2!AG71</f>
        <v>337302.19963649812</v>
      </c>
      <c r="AH11" s="4114">
        <f>Table10s2!AH71</f>
        <v>333156.89432967268</v>
      </c>
      <c r="AI11" s="4114">
        <f>Table10s2!AI71</f>
        <v>320425.12280077208</v>
      </c>
      <c r="AJ11" s="4114">
        <f>Table10s2!AJ71</f>
        <v>283374.2006917299</v>
      </c>
      <c r="AK11" s="4114">
        <f>Table10s2!AK71</f>
        <v>278681.99745230604</v>
      </c>
      <c r="AL11" s="4062">
        <f>IF(AK11="NO",IF(E11="NO","NA",-100),IF(E11="NO",100,AK11/E11*100-100))</f>
        <v>-35.417099261064564</v>
      </c>
      <c r="AM11" s="19"/>
      <c r="AN11">
        <f t="shared" ref="AN11:AN35" si="0">(AK11-E11)/E11*100</f>
        <v>-35.417099261064564</v>
      </c>
      <c r="AO11" s="4417">
        <f t="shared" ref="AO11:AO35" si="1">AN11-AL11</f>
        <v>0</v>
      </c>
    </row>
    <row r="12" spans="2:41" ht="18" customHeight="1" x14ac:dyDescent="0.2">
      <c r="B12" s="1987" t="s">
        <v>2434</v>
      </c>
      <c r="C12" s="1985"/>
      <c r="D12" s="1986"/>
      <c r="E12" s="4114">
        <f>Table10s3!E58*28</f>
        <v>140143.87718521355</v>
      </c>
      <c r="F12" s="4114">
        <f>Table10s3!F58*28</f>
        <v>139104.92332644435</v>
      </c>
      <c r="G12" s="4114">
        <f>Table10s3!G58*28</f>
        <v>138009.53985663116</v>
      </c>
      <c r="H12" s="4114">
        <f>Table10s3!H58*28</f>
        <v>134498.99096417319</v>
      </c>
      <c r="I12" s="4114">
        <f>Table10s3!I58*28</f>
        <v>131318.63694498275</v>
      </c>
      <c r="J12" s="4114">
        <f>Table10s3!J58*28</f>
        <v>129713.74047423872</v>
      </c>
      <c r="K12" s="4114">
        <f>Table10s3!K58*28</f>
        <v>128934.30211137356</v>
      </c>
      <c r="L12" s="4114">
        <f>Table10s3!L58*28</f>
        <v>132136.76793358571</v>
      </c>
      <c r="M12" s="4114">
        <f>Table10s3!M58*28</f>
        <v>131951.17657730408</v>
      </c>
      <c r="N12" s="4114">
        <f>Table10s3!N58*28</f>
        <v>127837.5130730786</v>
      </c>
      <c r="O12" s="4114">
        <f>Table10s3!O58*28</f>
        <v>132188.64802001623</v>
      </c>
      <c r="P12" s="4114">
        <f>Table10s3!P58*28</f>
        <v>131149.32740331409</v>
      </c>
      <c r="Q12" s="4114">
        <f>Table10s3!Q58*28</f>
        <v>129312.01406147402</v>
      </c>
      <c r="R12" s="4114">
        <f>Table10s3!R58*28</f>
        <v>121531.35325694362</v>
      </c>
      <c r="S12" s="4114">
        <f>Table10s3!S58*28</f>
        <v>123184.60852782917</v>
      </c>
      <c r="T12" s="4114">
        <f>Table10s3!T58*28</f>
        <v>125747.23792438538</v>
      </c>
      <c r="U12" s="4114">
        <f>Table10s3!U58*28</f>
        <v>124625.1474394394</v>
      </c>
      <c r="V12" s="4114">
        <f>Table10s3!V58*28</f>
        <v>125205.01516800042</v>
      </c>
      <c r="W12" s="4114">
        <f>Table10s3!W58*28</f>
        <v>122290.27072358219</v>
      </c>
      <c r="X12" s="4114">
        <f>Table10s3!X58*28</f>
        <v>120899.04921397983</v>
      </c>
      <c r="Y12" s="4114">
        <f>Table10s3!Y58*28</f>
        <v>117568.14830467952</v>
      </c>
      <c r="Z12" s="4114">
        <f>Table10s3!Z58*28</f>
        <v>119316.73782286914</v>
      </c>
      <c r="AA12" s="4114">
        <f>Table10s3!AA58*28</f>
        <v>119673.36951190223</v>
      </c>
      <c r="AB12" s="4114">
        <f>Table10s3!AB58*28</f>
        <v>119312.17084715098</v>
      </c>
      <c r="AC12" s="4114">
        <f>Table10s3!AC58*28</f>
        <v>116246.0475360858</v>
      </c>
      <c r="AD12" s="4114">
        <f>Table10s3!AD58*28</f>
        <v>116644.30947246606</v>
      </c>
      <c r="AE12" s="4114">
        <f>Table10s3!AE58*28</f>
        <v>115548.91916992281</v>
      </c>
      <c r="AF12" s="4114">
        <f>Table10s3!AF58*28</f>
        <v>117627.95263734457</v>
      </c>
      <c r="AG12" s="4114">
        <f>Table10s3!AG58*28</f>
        <v>118236.30722056072</v>
      </c>
      <c r="AH12" s="4114">
        <f>Table10s3!AH58*28</f>
        <v>111873.73964471</v>
      </c>
      <c r="AI12" s="4114">
        <f>Table10s3!AI58*28</f>
        <v>110009.74416201886</v>
      </c>
      <c r="AJ12" s="4114">
        <f>Table10s3!AJ58*28</f>
        <v>109824.76494148112</v>
      </c>
      <c r="AK12" s="4114">
        <f>Table10s3!AK58*28</f>
        <v>108472.66943353531</v>
      </c>
      <c r="AL12" s="4062">
        <f t="shared" ref="AL12:AL22" si="2">IF(AK12="NO",IF(E12="NO","NA",-100),IF(E12="NO",100,AK12/E12*100-100))</f>
        <v>-22.599066322263738</v>
      </c>
      <c r="AM12" s="19"/>
      <c r="AN12">
        <f t="shared" si="0"/>
        <v>-22.599066322263734</v>
      </c>
      <c r="AO12" s="4417">
        <f t="shared" si="1"/>
        <v>0</v>
      </c>
    </row>
    <row r="13" spans="2:41" ht="18" customHeight="1" x14ac:dyDescent="0.2">
      <c r="B13" s="1988" t="s">
        <v>2435</v>
      </c>
      <c r="C13" s="1985"/>
      <c r="D13" s="1986"/>
      <c r="E13" s="4114">
        <f>Table10s3!E59*28</f>
        <v>160771.27956312147</v>
      </c>
      <c r="F13" s="4114">
        <f>Table10s3!F59*28</f>
        <v>158978.58967275286</v>
      </c>
      <c r="G13" s="4114">
        <f>Table10s3!G59*28</f>
        <v>156313.47867832368</v>
      </c>
      <c r="H13" s="4114">
        <f>Table10s3!H59*28</f>
        <v>152158.18943667176</v>
      </c>
      <c r="I13" s="4114">
        <f>Table10s3!I59*28</f>
        <v>148425.05575057268</v>
      </c>
      <c r="J13" s="4114">
        <f>Table10s3!J59*28</f>
        <v>146598.84697971676</v>
      </c>
      <c r="K13" s="4114">
        <f>Table10s3!K59*28</f>
        <v>146905.43704767388</v>
      </c>
      <c r="L13" s="4114">
        <f>Table10s3!L59*28</f>
        <v>150053.88043092206</v>
      </c>
      <c r="M13" s="4114">
        <f>Table10s3!M59*28</f>
        <v>149915.50569937043</v>
      </c>
      <c r="N13" s="4114">
        <f>Table10s3!N59*28</f>
        <v>146963.8095510788</v>
      </c>
      <c r="O13" s="4114">
        <f>Table10s3!O59*28</f>
        <v>153545.38669117156</v>
      </c>
      <c r="P13" s="4114">
        <f>Table10s3!P59*28</f>
        <v>151770.13919909211</v>
      </c>
      <c r="Q13" s="4114">
        <f>Table10s3!Q59*28</f>
        <v>150252.98144242473</v>
      </c>
      <c r="R13" s="4114">
        <f>Table10s3!R59*28</f>
        <v>142464.33077129221</v>
      </c>
      <c r="S13" s="4114">
        <f>Table10s3!S59*28</f>
        <v>142530.6816297672</v>
      </c>
      <c r="T13" s="4114">
        <f>Table10s3!T59*28</f>
        <v>145145.76740568632</v>
      </c>
      <c r="U13" s="4114">
        <f>Table10s3!U59*28</f>
        <v>145475.28029789173</v>
      </c>
      <c r="V13" s="4114">
        <f>Table10s3!V59*28</f>
        <v>146776.16582921083</v>
      </c>
      <c r="W13" s="4114">
        <f>Table10s3!W59*28</f>
        <v>143412.7123330202</v>
      </c>
      <c r="X13" s="4114">
        <f>Table10s3!X59*28</f>
        <v>141908.92961653444</v>
      </c>
      <c r="Y13" s="4114">
        <f>Table10s3!Y59*28</f>
        <v>138303.53779707002</v>
      </c>
      <c r="Z13" s="4114">
        <f>Table10s3!Z59*28</f>
        <v>140474.29085341963</v>
      </c>
      <c r="AA13" s="4114">
        <f>Table10s3!AA59*28</f>
        <v>139304.11826253324</v>
      </c>
      <c r="AB13" s="4114">
        <f>Table10s3!AB59*28</f>
        <v>138686.9182264118</v>
      </c>
      <c r="AC13" s="4114">
        <f>Table10s3!AC59*28</f>
        <v>136298.40347885492</v>
      </c>
      <c r="AD13" s="4114">
        <f>Table10s3!AD59*28</f>
        <v>135891.37117115399</v>
      </c>
      <c r="AE13" s="4114">
        <f>Table10s3!AE59*28</f>
        <v>133533.53259431705</v>
      </c>
      <c r="AF13" s="4114">
        <f>Table10s3!AF59*28</f>
        <v>135788.03608269466</v>
      </c>
      <c r="AG13" s="4114">
        <f>Table10s3!AG59*28</f>
        <v>134463.23896379751</v>
      </c>
      <c r="AH13" s="4114">
        <f>Table10s3!AH59*28</f>
        <v>127519.33572967126</v>
      </c>
      <c r="AI13" s="4114">
        <f>Table10s3!AI59*28</f>
        <v>124198.05484448625</v>
      </c>
      <c r="AJ13" s="4114">
        <f>Table10s3!AJ59*28</f>
        <v>123765.0841056707</v>
      </c>
      <c r="AK13" s="4114">
        <f>Table10s3!AK59*28</f>
        <v>122431.26484910256</v>
      </c>
      <c r="AL13" s="4062">
        <f t="shared" si="2"/>
        <v>-23.847552136304287</v>
      </c>
      <c r="AM13" s="19"/>
      <c r="AN13">
        <f t="shared" si="0"/>
        <v>-23.847552136304284</v>
      </c>
      <c r="AO13" s="4417">
        <f t="shared" si="1"/>
        <v>0</v>
      </c>
    </row>
    <row r="14" spans="2:41" ht="18" customHeight="1" x14ac:dyDescent="0.2">
      <c r="B14" s="1988" t="s">
        <v>2436</v>
      </c>
      <c r="C14" s="1985"/>
      <c r="D14" s="1986"/>
      <c r="E14" s="4114">
        <f>Table10s4!E58*265</f>
        <v>13251.205138874446</v>
      </c>
      <c r="F14" s="4114">
        <f>Table10s4!F58*265</f>
        <v>12995.48986344972</v>
      </c>
      <c r="G14" s="4114">
        <f>Table10s4!G58*265</f>
        <v>12964.87688858058</v>
      </c>
      <c r="H14" s="4114">
        <f>Table10s4!H58*265</f>
        <v>13173.103358245533</v>
      </c>
      <c r="I14" s="4114">
        <f>Table10s4!I58*265</f>
        <v>13449.827336267916</v>
      </c>
      <c r="J14" s="4114">
        <f>Table10s4!J58*265</f>
        <v>12941.338180446424</v>
      </c>
      <c r="K14" s="4114">
        <f>Table10s4!K58*265</f>
        <v>13739.544408673835</v>
      </c>
      <c r="L14" s="4114">
        <f>Table10s4!L58*265</f>
        <v>14229.418067212066</v>
      </c>
      <c r="M14" s="4114">
        <f>Table10s4!M58*265</f>
        <v>14518.773425474797</v>
      </c>
      <c r="N14" s="4114">
        <f>Table10s4!N58*265</f>
        <v>14912.611138453651</v>
      </c>
      <c r="O14" s="4114">
        <f>Table10s4!O58*265</f>
        <v>15729.075287236203</v>
      </c>
      <c r="P14" s="4114">
        <f>Table10s4!P58*265</f>
        <v>16084.635782242938</v>
      </c>
      <c r="Q14" s="4114">
        <f>Table10s4!Q58*265</f>
        <v>16454.144286776482</v>
      </c>
      <c r="R14" s="4114">
        <f>Table10s4!R58*265</f>
        <v>15906.209915395884</v>
      </c>
      <c r="S14" s="4114">
        <f>Table10s4!S58*265</f>
        <v>16929.208635786286</v>
      </c>
      <c r="T14" s="4114">
        <f>Table10s4!T58*265</f>
        <v>17040.661853860467</v>
      </c>
      <c r="U14" s="4114">
        <f>Table10s4!U58*265</f>
        <v>16794.494157309542</v>
      </c>
      <c r="V14" s="4114">
        <f>Table10s4!V58*265</f>
        <v>15824.031623659164</v>
      </c>
      <c r="W14" s="4114">
        <f>Table10s4!W58*265</f>
        <v>15851.565146630734</v>
      </c>
      <c r="X14" s="4114">
        <f>Table10s4!X58*265</f>
        <v>16020.657135332525</v>
      </c>
      <c r="Y14" s="4114">
        <f>Table10s4!Y58*265</f>
        <v>16041.529811802091</v>
      </c>
      <c r="Z14" s="4114">
        <f>Table10s4!Z58*265</f>
        <v>16552.555974486571</v>
      </c>
      <c r="AA14" s="4114">
        <f>Table10s4!AA58*265</f>
        <v>16526.021335198511</v>
      </c>
      <c r="AB14" s="4114">
        <f>Table10s4!AB58*265</f>
        <v>15671.585219632811</v>
      </c>
      <c r="AC14" s="4114">
        <f>Table10s4!AC58*265</f>
        <v>16004.461657128584</v>
      </c>
      <c r="AD14" s="4114">
        <f>Table10s4!AD58*265</f>
        <v>15581.87149765598</v>
      </c>
      <c r="AE14" s="4114">
        <f>Table10s4!AE58*265</f>
        <v>15617.751900787505</v>
      </c>
      <c r="AF14" s="4114">
        <f>Table10s4!AF58*265</f>
        <v>16617.25723270329</v>
      </c>
      <c r="AG14" s="4114">
        <f>Table10s4!AG58*265</f>
        <v>15936.182750593962</v>
      </c>
      <c r="AH14" s="4114">
        <f>Table10s4!AH58*265</f>
        <v>15474.533012691638</v>
      </c>
      <c r="AI14" s="4114">
        <f>Table10s4!AI58*265</f>
        <v>15287.708538413379</v>
      </c>
      <c r="AJ14" s="4114">
        <f>Table10s4!AJ58*265</f>
        <v>16510.161183920321</v>
      </c>
      <c r="AK14" s="4114">
        <f>Table10s4!AK58*265</f>
        <v>16708.810634286681</v>
      </c>
      <c r="AL14" s="4062">
        <f t="shared" si="2"/>
        <v>26.09276257650572</v>
      </c>
      <c r="AM14" s="19"/>
      <c r="AN14">
        <f t="shared" si="0"/>
        <v>26.092762576505731</v>
      </c>
      <c r="AO14" s="4417">
        <f t="shared" si="1"/>
        <v>0</v>
      </c>
    </row>
    <row r="15" spans="2:41" ht="18" customHeight="1" x14ac:dyDescent="0.2">
      <c r="B15" s="1988" t="s">
        <v>2437</v>
      </c>
      <c r="C15" s="1985"/>
      <c r="D15" s="1986"/>
      <c r="E15" s="4114">
        <f>Table10s4!E59*265</f>
        <v>17541.03613810935</v>
      </c>
      <c r="F15" s="4114">
        <f>Table10s4!F59*265</f>
        <v>17107.763684975842</v>
      </c>
      <c r="G15" s="4114">
        <f>Table10s4!G59*265</f>
        <v>16732.296255708316</v>
      </c>
      <c r="H15" s="4114">
        <f>Table10s4!H59*265</f>
        <v>16790.473931958677</v>
      </c>
      <c r="I15" s="4114">
        <f>Table10s4!I59*265</f>
        <v>17092.397247246412</v>
      </c>
      <c r="J15" s="4114">
        <f>Table10s4!J59*265</f>
        <v>16608.537416737741</v>
      </c>
      <c r="K15" s="4114">
        <f>Table10s4!K59*265</f>
        <v>17565.524279624678</v>
      </c>
      <c r="L15" s="4114">
        <f>Table10s4!L59*265</f>
        <v>18057.867681139043</v>
      </c>
      <c r="M15" s="4114">
        <f>Table10s4!M59*265</f>
        <v>18537.799017918347</v>
      </c>
      <c r="N15" s="4114">
        <f>Table10s4!N59*265</f>
        <v>19256.457826738078</v>
      </c>
      <c r="O15" s="4114">
        <f>Table10s4!O59*265</f>
        <v>20465.589877620358</v>
      </c>
      <c r="P15" s="4114">
        <f>Table10s4!P59*265</f>
        <v>20690.174613485906</v>
      </c>
      <c r="Q15" s="4114">
        <f>Table10s4!Q59*265</f>
        <v>21126.591900123691</v>
      </c>
      <c r="R15" s="4114">
        <f>Table10s4!R59*265</f>
        <v>20794.949768716866</v>
      </c>
      <c r="S15" s="4114">
        <f>Table10s4!S59*265</f>
        <v>21106.22330636271</v>
      </c>
      <c r="T15" s="4114">
        <f>Table10s4!T59*265</f>
        <v>21470.04023437903</v>
      </c>
      <c r="U15" s="4114">
        <f>Table10s4!U59*265</f>
        <v>21510.284345844066</v>
      </c>
      <c r="V15" s="4114">
        <f>Table10s4!V59*265</f>
        <v>20712.585334341802</v>
      </c>
      <c r="W15" s="4114">
        <f>Table10s4!W59*265</f>
        <v>20295.98767135126</v>
      </c>
      <c r="X15" s="4114">
        <f>Table10s4!X59*265</f>
        <v>20709.812542284788</v>
      </c>
      <c r="Y15" s="4114">
        <f>Table10s4!Y59*265</f>
        <v>21014.750720926917</v>
      </c>
      <c r="Z15" s="4114">
        <f>Table10s4!Z59*265</f>
        <v>21548.945950166766</v>
      </c>
      <c r="AA15" s="4114">
        <f>Table10s4!AA59*265</f>
        <v>21186.565326170472</v>
      </c>
      <c r="AB15" s="4114">
        <f>Table10s4!AB59*265</f>
        <v>20402.900906629649</v>
      </c>
      <c r="AC15" s="4114">
        <f>Table10s4!AC59*265</f>
        <v>20693.480404516056</v>
      </c>
      <c r="AD15" s="4114">
        <f>Table10s4!AD59*265</f>
        <v>19919.938823462657</v>
      </c>
      <c r="AE15" s="4114">
        <f>Table10s4!AE59*265</f>
        <v>19667.097655860372</v>
      </c>
      <c r="AF15" s="4114">
        <f>Table10s4!AF59*265</f>
        <v>20660.770555089941</v>
      </c>
      <c r="AG15" s="4114">
        <f>Table10s4!AG59*265</f>
        <v>19633.507041669171</v>
      </c>
      <c r="AH15" s="4114">
        <f>Table10s4!AH59*265</f>
        <v>18938.609743951292</v>
      </c>
      <c r="AI15" s="4114">
        <f>Table10s4!AI59*265</f>
        <v>18626.519909535393</v>
      </c>
      <c r="AJ15" s="4114">
        <f>Table10s4!AJ59*265</f>
        <v>19684.102604706575</v>
      </c>
      <c r="AK15" s="4114">
        <f>Table10s4!AK59*265</f>
        <v>20056.141897717476</v>
      </c>
      <c r="AL15" s="4062">
        <f t="shared" si="2"/>
        <v>14.338410455376987</v>
      </c>
      <c r="AM15" s="19"/>
      <c r="AN15">
        <f t="shared" si="0"/>
        <v>14.338410455376986</v>
      </c>
      <c r="AO15" s="4417">
        <f t="shared" si="1"/>
        <v>0</v>
      </c>
    </row>
    <row r="16" spans="2:41" ht="18" customHeight="1" x14ac:dyDescent="0.2">
      <c r="B16" s="1989" t="s">
        <v>2004</v>
      </c>
      <c r="C16" s="1985"/>
      <c r="D16" s="1986"/>
      <c r="E16" s="4114">
        <f>Table10s5!E11</f>
        <v>1193.6537599999999</v>
      </c>
      <c r="F16" s="4114">
        <f>Table10s5!F11</f>
        <v>1193.6537599999999</v>
      </c>
      <c r="G16" s="4114">
        <f>Table10s5!G11</f>
        <v>1116.992</v>
      </c>
      <c r="H16" s="4114">
        <f>Table10s5!H11</f>
        <v>1533.136</v>
      </c>
      <c r="I16" s="4114">
        <f>Table10s5!I11</f>
        <v>861.51013286795262</v>
      </c>
      <c r="J16" s="4114">
        <f>Table10s5!J11</f>
        <v>862.28099757385166</v>
      </c>
      <c r="K16" s="4114">
        <f>Table10s5!K11</f>
        <v>255.3631786309486</v>
      </c>
      <c r="L16" s="4114">
        <f>Table10s5!L11</f>
        <v>426.82299941723306</v>
      </c>
      <c r="M16" s="4114">
        <f>Table10s5!M11</f>
        <v>607.0172347661329</v>
      </c>
      <c r="N16" s="4114">
        <f>Table10s5!N11</f>
        <v>904.91759376843322</v>
      </c>
      <c r="O16" s="4114">
        <f>Table10s5!O11</f>
        <v>1150.4928811431278</v>
      </c>
      <c r="P16" s="4114">
        <f>Table10s5!P11</f>
        <v>1547.7184967079177</v>
      </c>
      <c r="Q16" s="4114">
        <f>Table10s5!Q11</f>
        <v>1939.8840539305438</v>
      </c>
      <c r="R16" s="4114">
        <f>Table10s5!R11</f>
        <v>2431.4413681307883</v>
      </c>
      <c r="S16" s="4114">
        <f>Table10s5!S11</f>
        <v>2925.3286647757272</v>
      </c>
      <c r="T16" s="4114">
        <f>Table10s5!T11</f>
        <v>3699.5141646572247</v>
      </c>
      <c r="U16" s="4114">
        <f>Table10s5!U11</f>
        <v>4108.7147366727795</v>
      </c>
      <c r="V16" s="4114">
        <f>Table10s5!V11</f>
        <v>4706.3765189513442</v>
      </c>
      <c r="W16" s="4114">
        <f>Table10s5!W11</f>
        <v>5286.3167534213235</v>
      </c>
      <c r="X16" s="4114">
        <f>Table10s5!X11</f>
        <v>6141.5462216641918</v>
      </c>
      <c r="Y16" s="4114">
        <f>Table10s5!Y11</f>
        <v>6735.332259575277</v>
      </c>
      <c r="Z16" s="4114">
        <f>Table10s5!Z11</f>
        <v>7409.828679370049</v>
      </c>
      <c r="AA16" s="4114">
        <f>Table10s5!AA11</f>
        <v>7816.4186628708085</v>
      </c>
      <c r="AB16" s="4114">
        <f>Table10s5!AB11</f>
        <v>8187.2588327414187</v>
      </c>
      <c r="AC16" s="4114">
        <f>Table10s5!AC11</f>
        <v>8837.371668775806</v>
      </c>
      <c r="AD16" s="4114">
        <f>Table10s5!AD11</f>
        <v>9343.4630293335176</v>
      </c>
      <c r="AE16" s="4114">
        <f>Table10s5!AE11</f>
        <v>9705.243412908605</v>
      </c>
      <c r="AF16" s="4114">
        <f>Table10s5!AF11</f>
        <v>9922.2936700768241</v>
      </c>
      <c r="AG16" s="4114">
        <f>Table10s5!AG11</f>
        <v>9891.6117285115197</v>
      </c>
      <c r="AH16" s="4114">
        <f>Table10s5!AH11</f>
        <v>10688.47961393749</v>
      </c>
      <c r="AI16" s="4114">
        <f>Table10s5!AI11</f>
        <v>10949.191718307842</v>
      </c>
      <c r="AJ16" s="4114">
        <f>Table10s5!AJ11</f>
        <v>11437.453695274005</v>
      </c>
      <c r="AK16" s="4114">
        <f>Table10s5!AK11</f>
        <v>11047.190949396583</v>
      </c>
      <c r="AL16" s="4062">
        <f t="shared" si="2"/>
        <v>825.49375033146828</v>
      </c>
      <c r="AM16" s="19"/>
      <c r="AN16">
        <f t="shared" si="0"/>
        <v>825.49375033146839</v>
      </c>
      <c r="AO16" s="4417">
        <f t="shared" si="1"/>
        <v>0</v>
      </c>
    </row>
    <row r="17" spans="2:41" ht="18" customHeight="1" x14ac:dyDescent="0.2">
      <c r="B17" s="1989" t="s">
        <v>1971</v>
      </c>
      <c r="C17" s="1985"/>
      <c r="D17" s="1986"/>
      <c r="E17" s="4114">
        <f>Table10s5!E33</f>
        <v>4143.5315389337156</v>
      </c>
      <c r="F17" s="4114">
        <f>Table10s5!F33</f>
        <v>4146.8866252000589</v>
      </c>
      <c r="G17" s="4114">
        <f>Table10s5!G33</f>
        <v>4140.1764526673724</v>
      </c>
      <c r="H17" s="4114">
        <f>Table10s5!H33</f>
        <v>2981.9747926792879</v>
      </c>
      <c r="I17" s="4114">
        <f>Table10s5!I33</f>
        <v>1946.6797558087924</v>
      </c>
      <c r="J17" s="4114">
        <f>Table10s5!J33</f>
        <v>1376.8283202008465</v>
      </c>
      <c r="K17" s="4114">
        <f>Table10s5!K33</f>
        <v>1268.5044539263497</v>
      </c>
      <c r="L17" s="4114">
        <f>Table10s5!L33</f>
        <v>1104.5946842688732</v>
      </c>
      <c r="M17" s="4114">
        <f>Table10s5!M33</f>
        <v>1493.4649028585516</v>
      </c>
      <c r="N17" s="4114">
        <f>Table10s5!N33</f>
        <v>1024.4655200863301</v>
      </c>
      <c r="O17" s="4114">
        <f>Table10s5!O33</f>
        <v>1157.5789362287294</v>
      </c>
      <c r="P17" s="4114">
        <f>Table10s5!P33</f>
        <v>1620.6064364210431</v>
      </c>
      <c r="Q17" s="4114">
        <f>Table10s5!Q33</f>
        <v>1553.8183084811451</v>
      </c>
      <c r="R17" s="4114">
        <f>Table10s5!R33</f>
        <v>1514.5701018444399</v>
      </c>
      <c r="S17" s="4114">
        <f>Table10s5!S33</f>
        <v>1541.4296180492076</v>
      </c>
      <c r="T17" s="4114">
        <f>Table10s5!T33</f>
        <v>1611.4498110358577</v>
      </c>
      <c r="U17" s="4114">
        <f>Table10s5!U33</f>
        <v>617.93925336459711</v>
      </c>
      <c r="V17" s="4114">
        <f>Table10s5!V33</f>
        <v>524.05752254650565</v>
      </c>
      <c r="W17" s="4114">
        <f>Table10s5!W33</f>
        <v>399.79678192568076</v>
      </c>
      <c r="X17" s="4114">
        <f>Table10s5!X33</f>
        <v>322.43408328130437</v>
      </c>
      <c r="Y17" s="4114">
        <f>Table10s5!Y33</f>
        <v>254.72735698266908</v>
      </c>
      <c r="Z17" s="4114">
        <f>Table10s5!Z33</f>
        <v>270.90088273132159</v>
      </c>
      <c r="AA17" s="4114">
        <f>Table10s5!AA33</f>
        <v>265.12979067717396</v>
      </c>
      <c r="AB17" s="4114">
        <f>Table10s5!AB33</f>
        <v>172.62441408027018</v>
      </c>
      <c r="AC17" s="4114">
        <f>Table10s5!AC33</f>
        <v>173.10697875319798</v>
      </c>
      <c r="AD17" s="4114">
        <f>Table10s5!AD33</f>
        <v>154.06023702200315</v>
      </c>
      <c r="AE17" s="4114">
        <f>Table10s5!AE33</f>
        <v>202.24755821344587</v>
      </c>
      <c r="AF17" s="4114">
        <f>Table10s5!AF33</f>
        <v>182.65052301395372</v>
      </c>
      <c r="AG17" s="4114">
        <f>Table10s5!AG33</f>
        <v>212.24369299342175</v>
      </c>
      <c r="AH17" s="4114">
        <f>Table10s5!AH33</f>
        <v>273.50220639665872</v>
      </c>
      <c r="AI17" s="4114">
        <f>Table10s5!AI33</f>
        <v>243.11647207633368</v>
      </c>
      <c r="AJ17" s="4114">
        <f>Table10s5!AJ33</f>
        <v>291.483</v>
      </c>
      <c r="AK17" s="4114">
        <f>Table10s5!AK33</f>
        <v>246.59820556395621</v>
      </c>
      <c r="AL17" s="4062">
        <f t="shared" si="2"/>
        <v>-94.048598321338829</v>
      </c>
      <c r="AM17" s="19"/>
      <c r="AN17">
        <f t="shared" si="0"/>
        <v>-94.048598321338829</v>
      </c>
      <c r="AO17" s="4417">
        <f t="shared" si="1"/>
        <v>0</v>
      </c>
    </row>
    <row r="18" spans="2:41" ht="18" customHeight="1" x14ac:dyDescent="0.2">
      <c r="B18" s="1989" t="s">
        <v>1972</v>
      </c>
      <c r="C18" s="1985"/>
      <c r="D18" s="1986"/>
      <c r="E18" s="4114" t="s">
        <v>199</v>
      </c>
      <c r="F18" s="4114" t="s">
        <v>199</v>
      </c>
      <c r="G18" s="4114" t="s">
        <v>199</v>
      </c>
      <c r="H18" s="4114" t="s">
        <v>199</v>
      </c>
      <c r="I18" s="4114" t="s">
        <v>199</v>
      </c>
      <c r="J18" s="4114" t="s">
        <v>199</v>
      </c>
      <c r="K18" s="4114" t="s">
        <v>199</v>
      </c>
      <c r="L18" s="4114" t="s">
        <v>199</v>
      </c>
      <c r="M18" s="4114" t="s">
        <v>199</v>
      </c>
      <c r="N18" s="4114" t="s">
        <v>199</v>
      </c>
      <c r="O18" s="4114" t="s">
        <v>199</v>
      </c>
      <c r="P18" s="4114" t="s">
        <v>199</v>
      </c>
      <c r="Q18" s="4114" t="s">
        <v>199</v>
      </c>
      <c r="R18" s="4114" t="s">
        <v>199</v>
      </c>
      <c r="S18" s="4114" t="s">
        <v>199</v>
      </c>
      <c r="T18" s="4114" t="s">
        <v>199</v>
      </c>
      <c r="U18" s="4114" t="s">
        <v>199</v>
      </c>
      <c r="V18" s="4114" t="s">
        <v>199</v>
      </c>
      <c r="W18" s="4114" t="s">
        <v>199</v>
      </c>
      <c r="X18" s="4114" t="s">
        <v>199</v>
      </c>
      <c r="Y18" s="4114" t="s">
        <v>199</v>
      </c>
      <c r="Z18" s="4114" t="s">
        <v>199</v>
      </c>
      <c r="AA18" s="4114" t="s">
        <v>199</v>
      </c>
      <c r="AB18" s="4114" t="s">
        <v>199</v>
      </c>
      <c r="AC18" s="4114" t="s">
        <v>199</v>
      </c>
      <c r="AD18" s="4114" t="s">
        <v>199</v>
      </c>
      <c r="AE18" s="4114" t="s">
        <v>199</v>
      </c>
      <c r="AF18" s="4114" t="s">
        <v>199</v>
      </c>
      <c r="AG18" s="4114" t="s">
        <v>199</v>
      </c>
      <c r="AH18" s="4114" t="s">
        <v>199</v>
      </c>
      <c r="AI18" s="4114" t="s">
        <v>199</v>
      </c>
      <c r="AJ18" s="4114" t="s">
        <v>199</v>
      </c>
      <c r="AK18" s="4114" t="s">
        <v>199</v>
      </c>
      <c r="AL18" s="4062" t="str">
        <f t="shared" si="2"/>
        <v>NA</v>
      </c>
      <c r="AM18" s="19"/>
      <c r="AN18" t="e">
        <f t="shared" si="0"/>
        <v>#VALUE!</v>
      </c>
      <c r="AO18" s="4417" t="e">
        <f t="shared" si="1"/>
        <v>#VALUE!</v>
      </c>
    </row>
    <row r="19" spans="2:41" ht="18" customHeight="1" x14ac:dyDescent="0.2">
      <c r="B19" s="1989" t="s">
        <v>905</v>
      </c>
      <c r="C19" s="1985"/>
      <c r="D19" s="1986"/>
      <c r="E19" s="4114">
        <f>Table10s5!E48</f>
        <v>227.33126391232889</v>
      </c>
      <c r="F19" s="4114">
        <f>Table10s5!F48</f>
        <v>246.69030699012214</v>
      </c>
      <c r="G19" s="4114">
        <f>Table10s5!G48</f>
        <v>266.03666522364358</v>
      </c>
      <c r="H19" s="4114">
        <f>Table10s5!H48</f>
        <v>285.3688949537343</v>
      </c>
      <c r="I19" s="4114">
        <f>Table10s5!I48</f>
        <v>304.68198692506843</v>
      </c>
      <c r="J19" s="4114">
        <f>Table10s5!J48</f>
        <v>325.92330345973716</v>
      </c>
      <c r="K19" s="4114">
        <f>Table10s5!K48</f>
        <v>297.97363341418611</v>
      </c>
      <c r="L19" s="4114">
        <f>Table10s5!L48</f>
        <v>274.96345974170822</v>
      </c>
      <c r="M19" s="4114">
        <f>Table10s5!M48</f>
        <v>247.58218354023921</v>
      </c>
      <c r="N19" s="4114">
        <f>Table10s5!N48</f>
        <v>217.77596856722661</v>
      </c>
      <c r="O19" s="4114">
        <f>Table10s5!O48</f>
        <v>218.94870006999835</v>
      </c>
      <c r="P19" s="4114">
        <f>Table10s5!P48</f>
        <v>225.51312817449531</v>
      </c>
      <c r="Q19" s="4114">
        <f>Table10s5!Q48</f>
        <v>232.00612349094484</v>
      </c>
      <c r="R19" s="4114">
        <f>Table10s5!R48</f>
        <v>236.14843822233468</v>
      </c>
      <c r="S19" s="4114">
        <f>Table10s5!S48</f>
        <v>237.74641315441517</v>
      </c>
      <c r="T19" s="4114">
        <f>Table10s5!T48</f>
        <v>202.23967297118685</v>
      </c>
      <c r="U19" s="4114">
        <f>Table10s5!U48</f>
        <v>191.78131355969191</v>
      </c>
      <c r="V19" s="4114">
        <f>Table10s5!V48</f>
        <v>180.50437484164183</v>
      </c>
      <c r="W19" s="4114">
        <f>Table10s5!W48</f>
        <v>168.33889499727522</v>
      </c>
      <c r="X19" s="4114">
        <f>Table10s5!X48</f>
        <v>151.50594481761419</v>
      </c>
      <c r="Y19" s="4114">
        <f>Table10s5!Y48</f>
        <v>144.54462849354337</v>
      </c>
      <c r="Z19" s="4114">
        <f>Table10s5!Z48</f>
        <v>130.89618775970047</v>
      </c>
      <c r="AA19" s="4114">
        <f>Table10s5!AA48</f>
        <v>117.94335057564615</v>
      </c>
      <c r="AB19" s="4114">
        <f>Table10s5!AB48</f>
        <v>107.66365548460661</v>
      </c>
      <c r="AC19" s="4114">
        <f>Table10s5!AC48</f>
        <v>102.16723809781716</v>
      </c>
      <c r="AD19" s="4114">
        <f>Table10s5!AD48</f>
        <v>119.37044161100978</v>
      </c>
      <c r="AE19" s="4114">
        <f>Table10s5!AE48</f>
        <v>126.56289777205671</v>
      </c>
      <c r="AF19" s="4114">
        <f>Table10s5!AF48</f>
        <v>132.48027163548571</v>
      </c>
      <c r="AG19" s="4114">
        <f>Table10s5!AG48</f>
        <v>163.31878925136422</v>
      </c>
      <c r="AH19" s="4114">
        <f>Table10s5!AH48</f>
        <v>128.95488205842807</v>
      </c>
      <c r="AI19" s="4114">
        <f>Table10s5!AI48</f>
        <v>102.28646355522085</v>
      </c>
      <c r="AJ19" s="4114">
        <f>Table10s5!AJ48</f>
        <v>192.73345070777478</v>
      </c>
      <c r="AK19" s="4114">
        <f>Table10s5!AK48</f>
        <v>157.64169725926149</v>
      </c>
      <c r="AL19" s="4062">
        <f t="shared" si="2"/>
        <v>-30.655513656029044</v>
      </c>
      <c r="AM19" s="19"/>
      <c r="AN19">
        <f t="shared" si="0"/>
        <v>-30.655513656029044</v>
      </c>
      <c r="AO19" s="4417">
        <f t="shared" si="1"/>
        <v>0</v>
      </c>
    </row>
    <row r="20" spans="2:41" ht="18" customHeight="1" thickBot="1" x14ac:dyDescent="0.25">
      <c r="B20" s="1989" t="s">
        <v>2263</v>
      </c>
      <c r="C20" s="1985"/>
      <c r="D20" s="1986"/>
      <c r="E20" s="4114" t="s">
        <v>199</v>
      </c>
      <c r="F20" s="4114" t="s">
        <v>199</v>
      </c>
      <c r="G20" s="4114" t="s">
        <v>199</v>
      </c>
      <c r="H20" s="4114" t="s">
        <v>199</v>
      </c>
      <c r="I20" s="4114" t="s">
        <v>199</v>
      </c>
      <c r="J20" s="4114" t="s">
        <v>199</v>
      </c>
      <c r="K20" s="4114" t="s">
        <v>199</v>
      </c>
      <c r="L20" s="4114" t="s">
        <v>199</v>
      </c>
      <c r="M20" s="4114" t="s">
        <v>199</v>
      </c>
      <c r="N20" s="4114" t="s">
        <v>199</v>
      </c>
      <c r="O20" s="4114" t="s">
        <v>199</v>
      </c>
      <c r="P20" s="4114" t="s">
        <v>199</v>
      </c>
      <c r="Q20" s="4114" t="s">
        <v>199</v>
      </c>
      <c r="R20" s="4114" t="s">
        <v>199</v>
      </c>
      <c r="S20" s="4114" t="s">
        <v>199</v>
      </c>
      <c r="T20" s="4114" t="s">
        <v>199</v>
      </c>
      <c r="U20" s="4114" t="s">
        <v>199</v>
      </c>
      <c r="V20" s="4114" t="s">
        <v>199</v>
      </c>
      <c r="W20" s="4114" t="s">
        <v>199</v>
      </c>
      <c r="X20" s="4114" t="s">
        <v>199</v>
      </c>
      <c r="Y20" s="4114" t="s">
        <v>199</v>
      </c>
      <c r="Z20" s="4114" t="s">
        <v>199</v>
      </c>
      <c r="AA20" s="4114" t="s">
        <v>199</v>
      </c>
      <c r="AB20" s="4114" t="s">
        <v>199</v>
      </c>
      <c r="AC20" s="4114" t="s">
        <v>199</v>
      </c>
      <c r="AD20" s="4114" t="s">
        <v>199</v>
      </c>
      <c r="AE20" s="4114" t="s">
        <v>199</v>
      </c>
      <c r="AF20" s="4114" t="s">
        <v>199</v>
      </c>
      <c r="AG20" s="4114" t="s">
        <v>199</v>
      </c>
      <c r="AH20" s="4114" t="s">
        <v>199</v>
      </c>
      <c r="AI20" s="4114" t="s">
        <v>199</v>
      </c>
      <c r="AJ20" s="4114" t="s">
        <v>199</v>
      </c>
      <c r="AK20" s="4114" t="s">
        <v>199</v>
      </c>
      <c r="AL20" s="4063" t="str">
        <f t="shared" si="2"/>
        <v>NA</v>
      </c>
      <c r="AM20" s="19"/>
      <c r="AN20" t="e">
        <f t="shared" si="0"/>
        <v>#VALUE!</v>
      </c>
      <c r="AO20" s="4417" t="e">
        <f t="shared" si="1"/>
        <v>#VALUE!</v>
      </c>
    </row>
    <row r="21" spans="2:41" ht="18" customHeight="1" x14ac:dyDescent="0.2">
      <c r="B21" s="1417" t="s">
        <v>2438</v>
      </c>
      <c r="C21" s="1418"/>
      <c r="D21" s="1419"/>
      <c r="E21" s="4115">
        <f>Table10s1!E71</f>
        <v>437120.09424243984</v>
      </c>
      <c r="F21" s="4115">
        <f>Table10s1!F71</f>
        <v>437221.89676100219</v>
      </c>
      <c r="G21" s="4115">
        <f>Table10s1!G71</f>
        <v>441026.62601250334</v>
      </c>
      <c r="H21" s="4115">
        <f>Table10s1!H71</f>
        <v>441346.32056527224</v>
      </c>
      <c r="I21" s="4115">
        <f>Table10s1!I71</f>
        <v>441582.50470464193</v>
      </c>
      <c r="J21" s="4115">
        <f>Table10s1!J71</f>
        <v>450275.96055641148</v>
      </c>
      <c r="K21" s="4115">
        <f>Table10s1!K71</f>
        <v>456436.44916589896</v>
      </c>
      <c r="L21" s="4115">
        <f>Table10s1!L71</f>
        <v>468505.59149230632</v>
      </c>
      <c r="M21" s="4115">
        <f>Table10s1!M71</f>
        <v>482953.83369738876</v>
      </c>
      <c r="N21" s="4115">
        <f>Table10s1!N71</f>
        <v>488856.76386380458</v>
      </c>
      <c r="O21" s="4115">
        <f>Table10s1!O71</f>
        <v>500452.72044360684</v>
      </c>
      <c r="P21" s="4115">
        <f>Table10s1!P71</f>
        <v>508411.47775409603</v>
      </c>
      <c r="Q21" s="4115">
        <f>Table10s1!Q71</f>
        <v>512028.39678833436</v>
      </c>
      <c r="R21" s="4115">
        <f>Table10s1!R71</f>
        <v>511249.40009840002</v>
      </c>
      <c r="S21" s="4115">
        <f>Table10s1!S71</f>
        <v>527977.34703873214</v>
      </c>
      <c r="T21" s="4115">
        <f>Table10s1!T71</f>
        <v>534477.11171433097</v>
      </c>
      <c r="U21" s="4115">
        <f>Table10s1!U71</f>
        <v>538698.03034436028</v>
      </c>
      <c r="V21" s="4115">
        <f>Table10s1!V71</f>
        <v>545914.99549756991</v>
      </c>
      <c r="W21" s="4115">
        <f>Table10s1!W71</f>
        <v>548836.78605171083</v>
      </c>
      <c r="X21" s="4115">
        <f>Table10s1!X71</f>
        <v>550629.16716883145</v>
      </c>
      <c r="Y21" s="4115">
        <f>Table10s1!Y71</f>
        <v>545875.286129824</v>
      </c>
      <c r="Z21" s="4115">
        <f>Table10s1!Z71</f>
        <v>547539.01620499813</v>
      </c>
      <c r="AA21" s="4115">
        <f>Table10s1!AA71</f>
        <v>550595.5827722036</v>
      </c>
      <c r="AB21" s="4115">
        <f>Table10s1!AB71</f>
        <v>542518.81392878015</v>
      </c>
      <c r="AC21" s="4115">
        <f>Table10s1!AC71</f>
        <v>534092.04328255693</v>
      </c>
      <c r="AD21" s="4115">
        <f>Table10s1!AD71</f>
        <v>543339.69825429213</v>
      </c>
      <c r="AE21" s="4115">
        <f>Table10s1!AE71</f>
        <v>551588.80702385202</v>
      </c>
      <c r="AF21" s="4115">
        <f>Table10s1!AF71</f>
        <v>558300.32564293465</v>
      </c>
      <c r="AG21" s="4115">
        <f>Table10s1!AG71</f>
        <v>560030.83366683568</v>
      </c>
      <c r="AH21" s="4115">
        <f>Table10s1!AH71</f>
        <v>554209.01177958737</v>
      </c>
      <c r="AI21" s="4115">
        <f>Table10s1!AI71</f>
        <v>535775.9559534716</v>
      </c>
      <c r="AJ21" s="4115">
        <f>Table10s1!AJ71</f>
        <v>527276.13376268733</v>
      </c>
      <c r="AK21" s="4115">
        <f>Table10s1!AK71</f>
        <v>520995.05770597071</v>
      </c>
      <c r="AL21" s="4422">
        <f t="shared" si="2"/>
        <v>19.188082306966962</v>
      </c>
      <c r="AM21" s="19"/>
      <c r="AN21">
        <f t="shared" si="0"/>
        <v>19.188082306966955</v>
      </c>
      <c r="AO21" s="4417">
        <f t="shared" si="1"/>
        <v>0</v>
      </c>
    </row>
    <row r="22" spans="2:41" ht="18" customHeight="1" x14ac:dyDescent="0.2">
      <c r="B22" s="1420" t="s">
        <v>2439</v>
      </c>
      <c r="C22" s="1421"/>
      <c r="D22" s="1421"/>
      <c r="E22" s="4116">
        <f>Table10s1!E72</f>
        <v>615387.33158157731</v>
      </c>
      <c r="F22" s="4116">
        <f>Table10s1!F72</f>
        <v>594992.05584437493</v>
      </c>
      <c r="G22" s="4116">
        <f>Table10s1!G72</f>
        <v>554505.69382057013</v>
      </c>
      <c r="H22" s="4116">
        <f>Table10s1!H72</f>
        <v>533504.41248450219</v>
      </c>
      <c r="I22" s="4116">
        <f>Table10s1!I72</f>
        <v>523368.45044243411</v>
      </c>
      <c r="J22" s="4116">
        <f>Table10s1!J72</f>
        <v>510972.6128152663</v>
      </c>
      <c r="K22" s="4116">
        <f>Table10s1!K72</f>
        <v>512168.51640588255</v>
      </c>
      <c r="L22" s="4116">
        <f>Table10s1!L72</f>
        <v>510321.33805232425</v>
      </c>
      <c r="M22" s="4116">
        <f>Table10s1!M72</f>
        <v>527928.744262986</v>
      </c>
      <c r="N22" s="4116">
        <f>Table10s1!N72</f>
        <v>548328.05028453644</v>
      </c>
      <c r="O22" s="4116">
        <f>Table10s1!O72</f>
        <v>569826.39322789689</v>
      </c>
      <c r="P22" s="4116">
        <f>Table10s1!P72</f>
        <v>586480.1969095266</v>
      </c>
      <c r="Q22" s="4116">
        <f>Table10s1!Q72</f>
        <v>590984.08540300885</v>
      </c>
      <c r="R22" s="4116">
        <f>Table10s1!R72</f>
        <v>590522.57147545065</v>
      </c>
      <c r="S22" s="4116">
        <f>Table10s1!S72</f>
        <v>574702.00404791615</v>
      </c>
      <c r="T22" s="4116">
        <f>Table10s1!T72</f>
        <v>609446.11738497834</v>
      </c>
      <c r="U22" s="4116">
        <f>Table10s1!U72</f>
        <v>644924.25962383696</v>
      </c>
      <c r="V22" s="4116">
        <f>Table10s1!V72</f>
        <v>626119.71239156905</v>
      </c>
      <c r="W22" s="4116">
        <f>Table10s1!W72</f>
        <v>614649.06367942365</v>
      </c>
      <c r="X22" s="4116">
        <f>Table10s1!X72</f>
        <v>607868.15784504137</v>
      </c>
      <c r="Y22" s="4116">
        <f>Table10s1!Y72</f>
        <v>609168.59844432015</v>
      </c>
      <c r="Z22" s="4116">
        <f>Table10s1!Z72</f>
        <v>577597.91271958745</v>
      </c>
      <c r="AA22" s="4116">
        <f>Table10s1!AA72</f>
        <v>554652.15299763659</v>
      </c>
      <c r="AB22" s="4116">
        <f>Table10s1!AB72</f>
        <v>557099.10662609374</v>
      </c>
      <c r="AC22" s="4116">
        <f>Table10s1!AC72</f>
        <v>538319.26705382892</v>
      </c>
      <c r="AD22" s="4116">
        <f>Table10s1!AD72</f>
        <v>533688.36831237073</v>
      </c>
      <c r="AE22" s="4116">
        <f>Table10s1!AE72</f>
        <v>491065.00379444496</v>
      </c>
      <c r="AF22" s="4116">
        <f>Table10s1!AF72</f>
        <v>528911.16518691659</v>
      </c>
      <c r="AG22" s="4116">
        <f>Table10s1!AG72</f>
        <v>501666.11985272123</v>
      </c>
      <c r="AH22" s="4116">
        <f>Table10s1!AH72</f>
        <v>490705.77650568791</v>
      </c>
      <c r="AI22" s="4116">
        <f>Table10s1!AI72</f>
        <v>474544.2922087331</v>
      </c>
      <c r="AJ22" s="4116">
        <f>Table10s1!AJ72</f>
        <v>438745.05754808907</v>
      </c>
      <c r="AK22" s="4116">
        <f>Table10s1!AK72</f>
        <v>432620.83505134587</v>
      </c>
      <c r="AL22" s="4062">
        <f t="shared" si="2"/>
        <v>-29.699424598246452</v>
      </c>
      <c r="AM22" s="19"/>
      <c r="AN22">
        <f t="shared" si="0"/>
        <v>-29.699424598246456</v>
      </c>
      <c r="AO22" s="4417">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119" t="s">
        <v>205</v>
      </c>
      <c r="AM23" s="19"/>
      <c r="AN23" t="e">
        <f t="shared" si="0"/>
        <v>#VALUE!</v>
      </c>
      <c r="AO23" s="4417"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120" t="s">
        <v>205</v>
      </c>
      <c r="AM24" s="19"/>
      <c r="AN24" t="e">
        <f t="shared" si="0"/>
        <v>#VALUE!</v>
      </c>
      <c r="AO24" s="4417"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417">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417">
        <f t="shared" si="1"/>
        <v>0</v>
      </c>
    </row>
    <row r="27" spans="2:41" ht="60" customHeight="1" x14ac:dyDescent="0.2">
      <c r="B27" s="1432" t="s">
        <v>164</v>
      </c>
      <c r="C27" s="1465" t="s">
        <v>2402</v>
      </c>
      <c r="D27" s="1465" t="s">
        <v>2374</v>
      </c>
      <c r="E27" s="763" t="s">
        <v>2442</v>
      </c>
      <c r="F27" s="4049">
        <v>1991</v>
      </c>
      <c r="G27" s="4049">
        <v>1992</v>
      </c>
      <c r="H27" s="4049">
        <v>1993</v>
      </c>
      <c r="I27" s="4049">
        <v>1994</v>
      </c>
      <c r="J27" s="4049">
        <v>1995</v>
      </c>
      <c r="K27" s="4049">
        <v>1996</v>
      </c>
      <c r="L27" s="4049">
        <v>1997</v>
      </c>
      <c r="M27" s="4049">
        <v>1998</v>
      </c>
      <c r="N27" s="4049">
        <v>1999</v>
      </c>
      <c r="O27" s="4049">
        <v>2000</v>
      </c>
      <c r="P27" s="4049">
        <v>2001</v>
      </c>
      <c r="Q27" s="4049">
        <v>2002</v>
      </c>
      <c r="R27" s="4049">
        <v>2003</v>
      </c>
      <c r="S27" s="4049">
        <v>2004</v>
      </c>
      <c r="T27" s="4049">
        <v>2005</v>
      </c>
      <c r="U27" s="4049">
        <v>2006</v>
      </c>
      <c r="V27" s="4049">
        <v>2007</v>
      </c>
      <c r="W27" s="4049">
        <v>2008</v>
      </c>
      <c r="X27" s="4049">
        <v>2009</v>
      </c>
      <c r="Y27" s="4049">
        <v>2010</v>
      </c>
      <c r="Z27" s="4049">
        <v>2011</v>
      </c>
      <c r="AA27" s="4049">
        <v>2012</v>
      </c>
      <c r="AB27" s="4049">
        <v>2013</v>
      </c>
      <c r="AC27" s="4049">
        <v>2014</v>
      </c>
      <c r="AD27" s="4049">
        <v>2015</v>
      </c>
      <c r="AE27" s="4049">
        <v>2016</v>
      </c>
      <c r="AF27" s="4049">
        <v>2017</v>
      </c>
      <c r="AG27" s="4049">
        <v>2018</v>
      </c>
      <c r="AH27" s="4049">
        <v>2019</v>
      </c>
      <c r="AI27" s="4049">
        <v>2020</v>
      </c>
      <c r="AJ27" s="4049">
        <v>2021</v>
      </c>
      <c r="AK27" s="4049">
        <v>2022</v>
      </c>
      <c r="AL27" s="764" t="s">
        <v>2376</v>
      </c>
      <c r="AO27" s="4417"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417" t="e">
        <f t="shared" si="1"/>
        <v>#VALUE!</v>
      </c>
    </row>
    <row r="29" spans="2:41" ht="18" customHeight="1" thickTop="1" x14ac:dyDescent="0.2">
      <c r="B29" s="1989" t="s">
        <v>2443</v>
      </c>
      <c r="C29" s="1985"/>
      <c r="D29" s="1986"/>
      <c r="E29" s="4114">
        <f>Table10s1!E11</f>
        <v>297385.4128619426</v>
      </c>
      <c r="F29" s="4114">
        <f>Table10s1!F11</f>
        <v>299090.68089866068</v>
      </c>
      <c r="G29" s="4114">
        <f>Table10s1!G11</f>
        <v>305421.40007382602</v>
      </c>
      <c r="H29" s="4114">
        <f>Table10s1!H11</f>
        <v>308632.81438433455</v>
      </c>
      <c r="I29" s="4114">
        <f>Table10s1!I11</f>
        <v>309510.67758181045</v>
      </c>
      <c r="J29" s="4114">
        <f>Table10s1!J11</f>
        <v>322039.79102340003</v>
      </c>
      <c r="K29" s="4114">
        <f>Table10s1!K11</f>
        <v>328501.66929909267</v>
      </c>
      <c r="L29" s="4114">
        <f>Table10s1!L11</f>
        <v>339796.00820204499</v>
      </c>
      <c r="M29" s="4114">
        <f>Table10s1!M11</f>
        <v>354023.82820392767</v>
      </c>
      <c r="N29" s="4114">
        <f>Table10s1!N11</f>
        <v>359428.18332513544</v>
      </c>
      <c r="O29" s="4114">
        <f>Table10s1!O11</f>
        <v>368518.13145896938</v>
      </c>
      <c r="P29" s="4114">
        <f>Table10s1!P11</f>
        <v>376334.48124279862</v>
      </c>
      <c r="Q29" s="4114">
        <f>Table10s1!Q11</f>
        <v>379727.56167761178</v>
      </c>
      <c r="R29" s="4114">
        <f>Table10s1!R11</f>
        <v>384332.89209996519</v>
      </c>
      <c r="S29" s="4114">
        <f>Table10s1!S11</f>
        <v>397139.54544127628</v>
      </c>
      <c r="T29" s="4114">
        <f>Table10s1!T11</f>
        <v>403717.82358425739</v>
      </c>
      <c r="U29" s="4114">
        <f>Table10s1!U11</f>
        <v>409561.84812993795</v>
      </c>
      <c r="V29" s="4114">
        <f>Table10s1!V11</f>
        <v>417857.83771282528</v>
      </c>
      <c r="W29" s="4114">
        <f>Table10s1!W11</f>
        <v>423251.84926923795</v>
      </c>
      <c r="X29" s="4114">
        <f>Table10s1!X11</f>
        <v>427435.98613503762</v>
      </c>
      <c r="Y29" s="4114">
        <f>Table10s1!Y11</f>
        <v>422372.52107639011</v>
      </c>
      <c r="Z29" s="4114">
        <f>Table10s1!Z11</f>
        <v>419069.4326938836</v>
      </c>
      <c r="AA29" s="4114">
        <f>Table10s1!AA11</f>
        <v>424517.21582085174</v>
      </c>
      <c r="AB29" s="4114">
        <f>Table10s1!AB11</f>
        <v>419160.22772434587</v>
      </c>
      <c r="AC29" s="4114">
        <f>Table10s1!AC11</f>
        <v>410522.39181191049</v>
      </c>
      <c r="AD29" s="4114">
        <f>Table10s1!AD11</f>
        <v>422486.82542239275</v>
      </c>
      <c r="AE29" s="4114">
        <f>Table10s1!AE11</f>
        <v>431285.79770136788</v>
      </c>
      <c r="AF29" s="4114">
        <f>Table10s1!AF11</f>
        <v>433662.29671239085</v>
      </c>
      <c r="AG29" s="4114">
        <f>Table10s1!AG11</f>
        <v>436164.90668733284</v>
      </c>
      <c r="AH29" s="4114">
        <f>Table10s1!AH11</f>
        <v>434682.80304580665</v>
      </c>
      <c r="AI29" s="4114">
        <f>Table10s1!AI11</f>
        <v>418774.77097734378</v>
      </c>
      <c r="AJ29" s="4114">
        <f>Table10s1!AJ11</f>
        <v>404330.74971313711</v>
      </c>
      <c r="AK29" s="4114">
        <f>Table10s1!AK11</f>
        <v>396712.17113559373</v>
      </c>
      <c r="AL29" s="4062">
        <f>IF(AK29="NO",IF(E29="NO","NA",-100),IF(E29="NO",100,AK29/E29*100-100))</f>
        <v>33.400010214946974</v>
      </c>
      <c r="AM29" s="19"/>
      <c r="AN29">
        <f t="shared" si="0"/>
        <v>33.400010214946995</v>
      </c>
      <c r="AO29" s="4417">
        <f t="shared" si="1"/>
        <v>0</v>
      </c>
    </row>
    <row r="30" spans="2:41" ht="18" customHeight="1" x14ac:dyDescent="0.2">
      <c r="B30" s="1989" t="s">
        <v>1931</v>
      </c>
      <c r="C30" s="1985"/>
      <c r="D30" s="1986"/>
      <c r="E30" s="4114">
        <f>Table10s1!E22</f>
        <v>25113.212932040737</v>
      </c>
      <c r="F30" s="4114">
        <f>Table10s1!F22</f>
        <v>24310.425837712566</v>
      </c>
      <c r="G30" s="4114">
        <f>Table10s1!G22</f>
        <v>24888.973088353901</v>
      </c>
      <c r="H30" s="4114">
        <f>Table10s1!H22</f>
        <v>24635.149239859689</v>
      </c>
      <c r="I30" s="4114">
        <f>Table10s1!I22</f>
        <v>24886.776809699521</v>
      </c>
      <c r="J30" s="4114">
        <f>Table10s1!J22</f>
        <v>24654.423476591419</v>
      </c>
      <c r="K30" s="4114">
        <f>Table10s1!K22</f>
        <v>24342.833010078666</v>
      </c>
      <c r="L30" s="4114">
        <f>Table10s1!L22</f>
        <v>24415.692723731681</v>
      </c>
      <c r="M30" s="4114">
        <f>Table10s1!M22</f>
        <v>25468.697414458627</v>
      </c>
      <c r="N30" s="4114">
        <f>Table10s1!N22</f>
        <v>25914.848602962462</v>
      </c>
      <c r="O30" s="4114">
        <f>Table10s1!O22</f>
        <v>25766.612252688898</v>
      </c>
      <c r="P30" s="4114">
        <f>Table10s1!P22</f>
        <v>26598.981588761144</v>
      </c>
      <c r="Q30" s="4114">
        <f>Table10s1!Q22</f>
        <v>27059.847689280607</v>
      </c>
      <c r="R30" s="4114">
        <f>Table10s1!R22</f>
        <v>29531.120331734412</v>
      </c>
      <c r="S30" s="4114">
        <f>Table10s1!S22</f>
        <v>30831.065374623351</v>
      </c>
      <c r="T30" s="4114">
        <f>Table10s1!T22</f>
        <v>30130.272355562913</v>
      </c>
      <c r="U30" s="4114">
        <f>Table10s1!U22</f>
        <v>30615.933277017375</v>
      </c>
      <c r="V30" s="4114">
        <f>Table10s1!V22</f>
        <v>32659.406821376433</v>
      </c>
      <c r="W30" s="4114">
        <f>Table10s1!W22</f>
        <v>32673.882166442574</v>
      </c>
      <c r="X30" s="4114">
        <f>Table10s1!X22</f>
        <v>30504.544328139807</v>
      </c>
      <c r="Y30" s="4114">
        <f>Table10s1!Y22</f>
        <v>33449.70386423765</v>
      </c>
      <c r="Z30" s="4114">
        <f>Table10s1!Z22</f>
        <v>34258.212580529442</v>
      </c>
      <c r="AA30" s="4114">
        <f>Table10s1!AA22</f>
        <v>31895.424474820527</v>
      </c>
      <c r="AB30" s="4114">
        <f>Table10s1!AB22</f>
        <v>29685.270283998554</v>
      </c>
      <c r="AC30" s="4114">
        <f>Table10s1!AC22</f>
        <v>29612.413834685369</v>
      </c>
      <c r="AD30" s="4114">
        <f>Table10s1!AD22</f>
        <v>30477.795357648032</v>
      </c>
      <c r="AE30" s="4114">
        <f>Table10s1!AE22</f>
        <v>30562.406353755334</v>
      </c>
      <c r="AF30" s="4114">
        <f>Table10s1!AF22</f>
        <v>31166.600481499361</v>
      </c>
      <c r="AG30" s="4114">
        <f>Table10s1!AG22</f>
        <v>31824.053456042609</v>
      </c>
      <c r="AH30" s="4114">
        <f>Table10s1!AH22</f>
        <v>32537.306323660763</v>
      </c>
      <c r="AI30" s="4114">
        <f>Table10s1!AI22</f>
        <v>31891.760239539963</v>
      </c>
      <c r="AJ30" s="4114">
        <f>Table10s1!AJ22</f>
        <v>32881.707906762116</v>
      </c>
      <c r="AK30" s="4114">
        <f>Table10s1!AK22</f>
        <v>32967.097841129464</v>
      </c>
      <c r="AL30" s="4062">
        <f>IF(AK30="NO",IF(E30="NO","NA",-100),IF(E30="NO",100,AK30/E30*100-100))</f>
        <v>31.273915171038624</v>
      </c>
      <c r="AM30" s="19"/>
      <c r="AN30">
        <f t="shared" si="0"/>
        <v>31.273915171038645</v>
      </c>
      <c r="AO30" s="4417">
        <f t="shared" si="1"/>
        <v>0</v>
      </c>
    </row>
    <row r="31" spans="2:41" ht="18" customHeight="1" x14ac:dyDescent="0.2">
      <c r="B31" s="1988" t="s">
        <v>2444</v>
      </c>
      <c r="C31" s="1985"/>
      <c r="D31" s="1986"/>
      <c r="E31" s="4114">
        <f>Table10s1!E31</f>
        <v>91159.226078578096</v>
      </c>
      <c r="F31" s="4114">
        <f>Table10s1!F31</f>
        <v>90438.276011869006</v>
      </c>
      <c r="G31" s="4114">
        <f>Table10s1!G31</f>
        <v>87600.022957614667</v>
      </c>
      <c r="H31" s="4114">
        <f>Table10s1!H31</f>
        <v>85143.779776073046</v>
      </c>
      <c r="I31" s="4114">
        <f>Table10s1!I31</f>
        <v>85022.935884797349</v>
      </c>
      <c r="J31" s="4114">
        <f>Table10s1!J31</f>
        <v>81490.839766843608</v>
      </c>
      <c r="K31" s="4114">
        <f>Table10s1!K31</f>
        <v>83369.508074069483</v>
      </c>
      <c r="L31" s="4114">
        <f>Table10s1!L31</f>
        <v>84381.881643172106</v>
      </c>
      <c r="M31" s="4114">
        <f>Table10s1!M31</f>
        <v>84374.212698797593</v>
      </c>
      <c r="N31" s="4114">
        <f>Table10s1!N31</f>
        <v>84302.340984213559</v>
      </c>
      <c r="O31" s="4114">
        <f>Table10s1!O31</f>
        <v>87598.980736773607</v>
      </c>
      <c r="P31" s="4114">
        <f>Table10s1!P31</f>
        <v>86606.473022230144</v>
      </c>
      <c r="Q31" s="4114">
        <f>Table10s1!Q31</f>
        <v>86316.449838386674</v>
      </c>
      <c r="R31" s="4114">
        <f>Table10s1!R31</f>
        <v>81077.147088864993</v>
      </c>
      <c r="S31" s="4114">
        <f>Table10s1!S31</f>
        <v>84138.967618959796</v>
      </c>
      <c r="T31" s="4114">
        <f>Table10s1!T31</f>
        <v>84915.004934917248</v>
      </c>
      <c r="U31" s="4114">
        <f>Table10s1!U31</f>
        <v>83060.278626504907</v>
      </c>
      <c r="V31" s="4114">
        <f>Table10s1!V31</f>
        <v>79546.303253791586</v>
      </c>
      <c r="W31" s="4114">
        <f>Table10s1!W31</f>
        <v>76541.991764915685</v>
      </c>
      <c r="X31" s="4114">
        <f>Table10s1!X31</f>
        <v>76498.017824166978</v>
      </c>
      <c r="Y31" s="4114">
        <f>Table10s1!Y31</f>
        <v>74014.202309551139</v>
      </c>
      <c r="Z31" s="4114">
        <f>Table10s1!Z31</f>
        <v>78632.268988982687</v>
      </c>
      <c r="AA31" s="4114">
        <f>Table10s1!AA31</f>
        <v>79935.090074144726</v>
      </c>
      <c r="AB31" s="4114">
        <f>Table10s1!AB31</f>
        <v>80399.359548504523</v>
      </c>
      <c r="AC31" s="4114">
        <f>Table10s1!AC31</f>
        <v>80733.739379075574</v>
      </c>
      <c r="AD31" s="4114">
        <f>Table10s1!AD31</f>
        <v>77667.898435156691</v>
      </c>
      <c r="AE31" s="4114">
        <f>Table10s1!AE31</f>
        <v>76674.180031118551</v>
      </c>
      <c r="AF31" s="4114">
        <f>Table10s1!AF31</f>
        <v>80151.879923155138</v>
      </c>
      <c r="AG31" s="4114">
        <f>Table10s1!AG31</f>
        <v>79229.889917800858</v>
      </c>
      <c r="AH31" s="4114">
        <f>Table10s1!AH31</f>
        <v>73746.838941729002</v>
      </c>
      <c r="AI31" s="4114">
        <f>Table10s1!AI31</f>
        <v>71574.860850593323</v>
      </c>
      <c r="AJ31" s="4114">
        <f>Table10s1!AJ31</f>
        <v>76617.128418981447</v>
      </c>
      <c r="AK31" s="4114">
        <f>Table10s1!AK31</f>
        <v>77450.850443893476</v>
      </c>
      <c r="AL31" s="4062">
        <f t="shared" ref="AL31:AL32" si="3">IF(AK31="NO",IF(E31="NO","NA",-100),IF(E31="NO",100,AK31/E31*100-100))</f>
        <v>-15.037836787763183</v>
      </c>
      <c r="AM31" s="19"/>
      <c r="AN31">
        <f t="shared" si="0"/>
        <v>-15.037836787763176</v>
      </c>
      <c r="AO31" s="4417">
        <f t="shared" si="1"/>
        <v>0</v>
      </c>
    </row>
    <row r="32" spans="2:41" ht="18" customHeight="1" x14ac:dyDescent="0.2">
      <c r="B32" s="1988" t="s">
        <v>2445</v>
      </c>
      <c r="C32" s="1985"/>
      <c r="D32" s="1986"/>
      <c r="E32" s="4114">
        <f>Table10s1!E42</f>
        <v>178267.23733913744</v>
      </c>
      <c r="F32" s="4114">
        <f>Table10s1!F42</f>
        <v>157770.15908337274</v>
      </c>
      <c r="G32" s="4114">
        <f>Table10s1!G42</f>
        <v>113479.06780806679</v>
      </c>
      <c r="H32" s="4114">
        <f>Table10s1!H42</f>
        <v>92158.091919229963</v>
      </c>
      <c r="I32" s="4114">
        <f>Table10s1!I42</f>
        <v>81785.945737792194</v>
      </c>
      <c r="J32" s="4114">
        <f>Table10s1!J42</f>
        <v>60696.652258854847</v>
      </c>
      <c r="K32" s="4114">
        <f>Table10s1!K42</f>
        <v>55732.067239983568</v>
      </c>
      <c r="L32" s="4114">
        <f>Table10s1!L42</f>
        <v>41815.746560017898</v>
      </c>
      <c r="M32" s="4114">
        <f>Table10s1!M42</f>
        <v>44974.910565597267</v>
      </c>
      <c r="N32" s="4114">
        <f>Table10s1!N42</f>
        <v>59471.286420731878</v>
      </c>
      <c r="O32" s="4114">
        <f>Table10s1!O42</f>
        <v>69373.672784290044</v>
      </c>
      <c r="P32" s="4114">
        <f>Table10s1!P42</f>
        <v>78068.719155430561</v>
      </c>
      <c r="Q32" s="4114">
        <f>Table10s1!Q42</f>
        <v>78955.688614674495</v>
      </c>
      <c r="R32" s="4114">
        <f>Table10s1!R42</f>
        <v>79273.171377050618</v>
      </c>
      <c r="S32" s="4114">
        <f>Table10s1!S42</f>
        <v>46724.657009184069</v>
      </c>
      <c r="T32" s="4114">
        <f>Table10s1!T42</f>
        <v>74969.005670647428</v>
      </c>
      <c r="U32" s="4114">
        <f>Table10s1!U42</f>
        <v>106226.22927947663</v>
      </c>
      <c r="V32" s="4114">
        <f>Table10s1!V42</f>
        <v>80204.71689399911</v>
      </c>
      <c r="W32" s="4114">
        <f>Table10s1!W42</f>
        <v>65812.277627712843</v>
      </c>
      <c r="X32" s="4114">
        <f>Table10s1!X42</f>
        <v>57238.99067620992</v>
      </c>
      <c r="Y32" s="4114">
        <f>Table10s1!Y42</f>
        <v>63293.312314496179</v>
      </c>
      <c r="Z32" s="4114">
        <f>Table10s1!Z42</f>
        <v>30058.896514589367</v>
      </c>
      <c r="AA32" s="4114">
        <f>Table10s1!AA42</f>
        <v>4056.5702254330154</v>
      </c>
      <c r="AB32" s="4114">
        <f>Table10s1!AB42</f>
        <v>14580.292697313627</v>
      </c>
      <c r="AC32" s="4114">
        <f>Table10s1!AC42</f>
        <v>4227.2237712719734</v>
      </c>
      <c r="AD32" s="4114">
        <f>Table10s1!AD42</f>
        <v>-9651.3299419214563</v>
      </c>
      <c r="AE32" s="4114">
        <f>Table10s1!AE42</f>
        <v>-60523.803229407014</v>
      </c>
      <c r="AF32" s="4114">
        <f>Table10s1!AF42</f>
        <v>-29389.160456018049</v>
      </c>
      <c r="AG32" s="4114">
        <f>Table10s1!AG42</f>
        <v>-58364.713814114468</v>
      </c>
      <c r="AH32" s="4114">
        <f>Table10s1!AH42</f>
        <v>-63503.235273899452</v>
      </c>
      <c r="AI32" s="4114">
        <f>Table10s1!AI42</f>
        <v>-61231.663744738529</v>
      </c>
      <c r="AJ32" s="4114">
        <f>Table10s1!AJ42</f>
        <v>-88531.076214598274</v>
      </c>
      <c r="AK32" s="4114">
        <f>Table10s1!AK42</f>
        <v>-88374.222654624828</v>
      </c>
      <c r="AL32" s="4062">
        <f t="shared" si="3"/>
        <v>-149.57401257444786</v>
      </c>
      <c r="AM32" s="19"/>
      <c r="AN32">
        <f t="shared" si="0"/>
        <v>-149.57401257444786</v>
      </c>
      <c r="AO32" s="4417">
        <f t="shared" si="1"/>
        <v>0</v>
      </c>
    </row>
    <row r="33" spans="2:41" ht="18" customHeight="1" x14ac:dyDescent="0.2">
      <c r="B33" s="1989" t="s">
        <v>2446</v>
      </c>
      <c r="C33" s="1985"/>
      <c r="D33" s="1986"/>
      <c r="E33" s="4114">
        <f>Table10s1!E51</f>
        <v>23462.242369878484</v>
      </c>
      <c r="F33" s="4114">
        <f>Table10s1!F51</f>
        <v>23382.514012759864</v>
      </c>
      <c r="G33" s="4114">
        <f>Table10s1!G51</f>
        <v>23116.229892708736</v>
      </c>
      <c r="H33" s="4114">
        <f>Table10s1!H51</f>
        <v>22934.577165004932</v>
      </c>
      <c r="I33" s="4114">
        <f>Table10s1!I51</f>
        <v>22162.114428334589</v>
      </c>
      <c r="J33" s="4114">
        <f>Table10s1!J51</f>
        <v>22090.906289576451</v>
      </c>
      <c r="K33" s="4114">
        <f>Table10s1!K51</f>
        <v>20222.438782658199</v>
      </c>
      <c r="L33" s="4114">
        <f>Table10s1!L51</f>
        <v>19912.008923357575</v>
      </c>
      <c r="M33" s="4114">
        <f>Table10s1!M51</f>
        <v>19087.095380204799</v>
      </c>
      <c r="N33" s="4114">
        <f>Table10s1!N51</f>
        <v>19211.390951493104</v>
      </c>
      <c r="O33" s="4114">
        <f>Table10s1!O51</f>
        <v>18568.995995174948</v>
      </c>
      <c r="P33" s="4114">
        <f>Table10s1!P51</f>
        <v>18871.541900306078</v>
      </c>
      <c r="Q33" s="4114">
        <f>Table10s1!Q51</f>
        <v>18924.537583055186</v>
      </c>
      <c r="R33" s="4114">
        <f>Table10s1!R51</f>
        <v>16308.240577835473</v>
      </c>
      <c r="S33" s="4114">
        <f>Table10s1!S51</f>
        <v>15867.768603872604</v>
      </c>
      <c r="T33" s="4114">
        <f>Table10s1!T51</f>
        <v>15714.010839593335</v>
      </c>
      <c r="U33" s="4114">
        <f>Table10s1!U51</f>
        <v>15459.970310900118</v>
      </c>
      <c r="V33" s="4114">
        <f>Table10s1!V51</f>
        <v>15851.44770957666</v>
      </c>
      <c r="W33" s="4114">
        <f>Table10s1!W51</f>
        <v>16369.062851114684</v>
      </c>
      <c r="X33" s="4114">
        <f>Table10s1!X51</f>
        <v>16190.618881487089</v>
      </c>
      <c r="Y33" s="4114">
        <f>Table10s1!Y51</f>
        <v>16038.858879645086</v>
      </c>
      <c r="Z33" s="4114">
        <f>Table10s1!Z51</f>
        <v>15579.101941602446</v>
      </c>
      <c r="AA33" s="4114">
        <f>Table10s1!AA51</f>
        <v>14247.852402386661</v>
      </c>
      <c r="AB33" s="4114">
        <f>Table10s1!AB51</f>
        <v>13273.956371931097</v>
      </c>
      <c r="AC33" s="4114">
        <f>Table10s1!AC51</f>
        <v>13223.498256885574</v>
      </c>
      <c r="AD33" s="4114">
        <f>Table10s1!AD51</f>
        <v>12707.179039094655</v>
      </c>
      <c r="AE33" s="4114">
        <f>Table10s1!AE51</f>
        <v>13066.422937610274</v>
      </c>
      <c r="AF33" s="4114">
        <f>Table10s1!AF51</f>
        <v>13319.54852588929</v>
      </c>
      <c r="AG33" s="4114">
        <f>Table10s1!AG51</f>
        <v>12811.983605659332</v>
      </c>
      <c r="AH33" s="4114">
        <f>Table10s1!AH51</f>
        <v>13242.063468390934</v>
      </c>
      <c r="AI33" s="4114">
        <f>Table10s1!AI51</f>
        <v>13534.563885994559</v>
      </c>
      <c r="AJ33" s="4114">
        <f>Table10s1!AJ51</f>
        <v>13446.547723806647</v>
      </c>
      <c r="AK33" s="4114">
        <f>Table10s1!AK51</f>
        <v>13864.938285354081</v>
      </c>
      <c r="AL33" s="4062">
        <f>IF(AK33="NO",IF(E33="NO","NA",-100),IF(E33="NO",100,AK33/E33*100-100))</f>
        <v>-40.905314731748334</v>
      </c>
      <c r="AM33" s="19"/>
      <c r="AN33">
        <f t="shared" si="0"/>
        <v>-40.905314731748334</v>
      </c>
      <c r="AO33" s="4417">
        <f t="shared" si="1"/>
        <v>0</v>
      </c>
    </row>
    <row r="34" spans="2:41" ht="18" customHeight="1" x14ac:dyDescent="0.2">
      <c r="B34" s="1990" t="s">
        <v>2447</v>
      </c>
      <c r="C34" s="1991"/>
      <c r="D34" s="1992"/>
      <c r="E34" s="4117" t="str">
        <f>Table10s1!E57</f>
        <v>NO</v>
      </c>
      <c r="F34" s="4117" t="str">
        <f>Table10s1!F57</f>
        <v>NO</v>
      </c>
      <c r="G34" s="4117" t="str">
        <f>Table10s1!G57</f>
        <v>NO</v>
      </c>
      <c r="H34" s="4117" t="str">
        <f>Table10s1!H57</f>
        <v>NO</v>
      </c>
      <c r="I34" s="4117" t="str">
        <f>Table10s1!I57</f>
        <v>NO</v>
      </c>
      <c r="J34" s="4117" t="str">
        <f>Table10s1!J57</f>
        <v>NO</v>
      </c>
      <c r="K34" s="4117" t="str">
        <f>Table10s1!K57</f>
        <v>NO</v>
      </c>
      <c r="L34" s="4117" t="str">
        <f>Table10s1!L57</f>
        <v>NO</v>
      </c>
      <c r="M34" s="4117" t="str">
        <f>Table10s1!M57</f>
        <v>NO</v>
      </c>
      <c r="N34" s="4117" t="str">
        <f>Table10s1!N57</f>
        <v>NO</v>
      </c>
      <c r="O34" s="4117" t="str">
        <f>Table10s1!O57</f>
        <v>NO</v>
      </c>
      <c r="P34" s="4117" t="str">
        <f>Table10s1!P57</f>
        <v>NO</v>
      </c>
      <c r="Q34" s="4117" t="str">
        <f>Table10s1!Q57</f>
        <v>NO</v>
      </c>
      <c r="R34" s="4117" t="str">
        <f>Table10s1!R57</f>
        <v>NO</v>
      </c>
      <c r="S34" s="4117" t="str">
        <f>Table10s1!S57</f>
        <v>NO</v>
      </c>
      <c r="T34" s="4117" t="str">
        <f>Table10s1!T57</f>
        <v>NO</v>
      </c>
      <c r="U34" s="4117" t="str">
        <f>Table10s1!U57</f>
        <v>NO</v>
      </c>
      <c r="V34" s="4117" t="str">
        <f>Table10s1!V57</f>
        <v>NO</v>
      </c>
      <c r="W34" s="4117" t="str">
        <f>Table10s1!W57</f>
        <v>NO</v>
      </c>
      <c r="X34" s="4117" t="str">
        <f>Table10s1!X57</f>
        <v>NO</v>
      </c>
      <c r="Y34" s="4117" t="str">
        <f>Table10s1!Y57</f>
        <v>NO</v>
      </c>
      <c r="Z34" s="4117" t="str">
        <f>Table10s1!Z57</f>
        <v>NO</v>
      </c>
      <c r="AA34" s="4117" t="str">
        <f>Table10s1!AA57</f>
        <v>NO</v>
      </c>
      <c r="AB34" s="4117" t="str">
        <f>Table10s1!AB57</f>
        <v>NO</v>
      </c>
      <c r="AC34" s="4117" t="str">
        <f>Table10s1!AC57</f>
        <v>NO</v>
      </c>
      <c r="AD34" s="4117" t="str">
        <f>Table10s1!AD57</f>
        <v>NO</v>
      </c>
      <c r="AE34" s="4117" t="str">
        <f>Table10s1!AE57</f>
        <v>NO</v>
      </c>
      <c r="AF34" s="4117" t="str">
        <f>Table10s1!AF57</f>
        <v>NO</v>
      </c>
      <c r="AG34" s="4117" t="str">
        <f>Table10s1!AG57</f>
        <v>NO</v>
      </c>
      <c r="AH34" s="4117" t="str">
        <f>Table10s1!AH57</f>
        <v>NO</v>
      </c>
      <c r="AI34" s="4117" t="str">
        <f>Table10s1!AI57</f>
        <v>NO</v>
      </c>
      <c r="AJ34" s="4117" t="str">
        <f>Table10s1!AJ57</f>
        <v>NO</v>
      </c>
      <c r="AK34" s="4117" t="str">
        <f>Table10s1!AK57</f>
        <v>NO</v>
      </c>
      <c r="AL34" s="4062" t="str">
        <f>IF(AK34="NO",IF(E34="NO","NA",-100),IF(E34="NO",100,AK34/E34*100-100))</f>
        <v>NA</v>
      </c>
      <c r="AM34" s="19"/>
      <c r="AN34" t="e">
        <f t="shared" si="0"/>
        <v>#VALUE!</v>
      </c>
      <c r="AO34" s="4417" t="e">
        <f t="shared" si="1"/>
        <v>#VALUE!</v>
      </c>
    </row>
    <row r="35" spans="2:41" ht="18" customHeight="1" thickBot="1" x14ac:dyDescent="0.25">
      <c r="B35" s="1423" t="s">
        <v>2448</v>
      </c>
      <c r="C35" s="1427"/>
      <c r="D35" s="1428"/>
      <c r="E35" s="4118">
        <f>E22</f>
        <v>615387.33158157731</v>
      </c>
      <c r="F35" s="4118">
        <f t="shared" ref="F35:AJ35" si="4">F22</f>
        <v>594992.05584437493</v>
      </c>
      <c r="G35" s="4118">
        <f t="shared" si="4"/>
        <v>554505.69382057013</v>
      </c>
      <c r="H35" s="4118">
        <f t="shared" si="4"/>
        <v>533504.41248450219</v>
      </c>
      <c r="I35" s="4118">
        <f t="shared" si="4"/>
        <v>523368.45044243411</v>
      </c>
      <c r="J35" s="4118">
        <f t="shared" si="4"/>
        <v>510972.6128152663</v>
      </c>
      <c r="K35" s="4118">
        <f t="shared" si="4"/>
        <v>512168.51640588255</v>
      </c>
      <c r="L35" s="4118">
        <f t="shared" si="4"/>
        <v>510321.33805232425</v>
      </c>
      <c r="M35" s="4118">
        <f t="shared" si="4"/>
        <v>527928.744262986</v>
      </c>
      <c r="N35" s="4118">
        <f t="shared" si="4"/>
        <v>548328.05028453644</v>
      </c>
      <c r="O35" s="4118">
        <f t="shared" si="4"/>
        <v>569826.39322789689</v>
      </c>
      <c r="P35" s="4118">
        <f t="shared" si="4"/>
        <v>586480.1969095266</v>
      </c>
      <c r="Q35" s="4118">
        <f t="shared" si="4"/>
        <v>590984.08540300885</v>
      </c>
      <c r="R35" s="4118">
        <f t="shared" si="4"/>
        <v>590522.57147545065</v>
      </c>
      <c r="S35" s="4118">
        <f t="shared" si="4"/>
        <v>574702.00404791615</v>
      </c>
      <c r="T35" s="4118">
        <f t="shared" si="4"/>
        <v>609446.11738497834</v>
      </c>
      <c r="U35" s="4118">
        <f t="shared" si="4"/>
        <v>644924.25962383696</v>
      </c>
      <c r="V35" s="4118">
        <f t="shared" si="4"/>
        <v>626119.71239156905</v>
      </c>
      <c r="W35" s="4118">
        <f t="shared" si="4"/>
        <v>614649.06367942365</v>
      </c>
      <c r="X35" s="4118">
        <f t="shared" si="4"/>
        <v>607868.15784504137</v>
      </c>
      <c r="Y35" s="4118">
        <f t="shared" si="4"/>
        <v>609168.59844432015</v>
      </c>
      <c r="Z35" s="4118">
        <f t="shared" si="4"/>
        <v>577597.91271958745</v>
      </c>
      <c r="AA35" s="4118">
        <f t="shared" si="4"/>
        <v>554652.15299763659</v>
      </c>
      <c r="AB35" s="4118">
        <f t="shared" si="4"/>
        <v>557099.10662609374</v>
      </c>
      <c r="AC35" s="4118">
        <f t="shared" si="4"/>
        <v>538319.26705382892</v>
      </c>
      <c r="AD35" s="4118">
        <f t="shared" si="4"/>
        <v>533688.36831237073</v>
      </c>
      <c r="AE35" s="4118">
        <f t="shared" si="4"/>
        <v>491065.00379444496</v>
      </c>
      <c r="AF35" s="4118">
        <f t="shared" si="4"/>
        <v>528911.16518691659</v>
      </c>
      <c r="AG35" s="4118">
        <f t="shared" si="4"/>
        <v>501666.11985272123</v>
      </c>
      <c r="AH35" s="4118">
        <f t="shared" si="4"/>
        <v>490705.77650568791</v>
      </c>
      <c r="AI35" s="4118">
        <f t="shared" si="4"/>
        <v>474544.2922087331</v>
      </c>
      <c r="AJ35" s="4118">
        <f t="shared" si="4"/>
        <v>438745.05754808907</v>
      </c>
      <c r="AK35" s="4118">
        <f t="shared" ref="AK35" si="5">AK22</f>
        <v>432620.83505134587</v>
      </c>
      <c r="AL35" s="4062">
        <f t="shared" ref="AL35" si="6">IF(AK35="NO",IF(E35="NO","NA",-100),IF(E35="NO",100,AK35/E35*100-100))</f>
        <v>-29.699424598246452</v>
      </c>
      <c r="AM35" s="19"/>
      <c r="AN35">
        <f t="shared" si="0"/>
        <v>-29.699424598246456</v>
      </c>
      <c r="AO35" s="4417">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9" customWidth="1"/>
    <col min="2" max="2" width="24.42578125" style="2229" customWidth="1"/>
    <col min="3" max="4" width="10.5703125" style="2229" customWidth="1"/>
    <col min="5" max="5" width="35.85546875" style="2229" customWidth="1"/>
    <col min="6" max="6" width="10.5703125" style="2229" customWidth="1"/>
    <col min="7" max="7" width="43.140625" style="2229" customWidth="1"/>
    <col min="8" max="8" width="34.85546875" style="2229" customWidth="1"/>
    <col min="9" max="9" width="28.140625" style="2229" customWidth="1"/>
    <col min="10" max="10" width="45.140625" style="2229" customWidth="1"/>
    <col min="11" max="16384" width="8.85546875" style="2229"/>
  </cols>
  <sheetData>
    <row r="1" spans="2:10" s="2226" customFormat="1" ht="19.5" x14ac:dyDescent="0.3">
      <c r="B1" s="2225"/>
      <c r="C1" s="2225"/>
      <c r="G1" s="2227"/>
      <c r="H1" s="2227"/>
      <c r="J1" s="14" t="s">
        <v>2460</v>
      </c>
    </row>
    <row r="2" spans="2:10" s="916" customFormat="1" ht="15.75" x14ac:dyDescent="0.2">
      <c r="B2" s="213" t="s">
        <v>2449</v>
      </c>
      <c r="G2" s="2228"/>
      <c r="H2" s="2228"/>
      <c r="J2" s="14" t="s">
        <v>2461</v>
      </c>
    </row>
    <row r="3" spans="2:10" x14ac:dyDescent="0.25">
      <c r="G3" s="2228"/>
      <c r="H3" s="2228"/>
      <c r="J3" s="14" t="s">
        <v>163</v>
      </c>
    </row>
    <row r="4" spans="2:10" hidden="1" x14ac:dyDescent="0.25">
      <c r="G4" s="2228"/>
      <c r="H4" s="2228"/>
      <c r="J4" s="2451"/>
    </row>
    <row r="5" spans="2:10" hidden="1" x14ac:dyDescent="0.25">
      <c r="G5" s="2228"/>
      <c r="H5" s="2228"/>
      <c r="J5" s="2451"/>
    </row>
    <row r="6" spans="2:10" hidden="1" x14ac:dyDescent="0.25">
      <c r="G6" s="2228"/>
      <c r="H6" s="2228"/>
      <c r="J6" s="2451"/>
    </row>
    <row r="7" spans="2:10" hidden="1" x14ac:dyDescent="0.25">
      <c r="G7" s="2228"/>
      <c r="H7" s="2228"/>
      <c r="J7" s="2451"/>
    </row>
    <row r="8" spans="2:10" ht="15.75" thickBot="1" x14ac:dyDescent="0.3">
      <c r="B8" s="2465" t="s">
        <v>62</v>
      </c>
      <c r="G8" s="2228"/>
      <c r="H8" s="2228"/>
    </row>
    <row r="9" spans="2:10" ht="36.75" customHeight="1" thickBot="1" x14ac:dyDescent="0.3">
      <c r="B9" s="2506" t="s">
        <v>2450</v>
      </c>
      <c r="C9" s="2230" t="s">
        <v>2451</v>
      </c>
      <c r="D9" s="2230" t="s">
        <v>2452</v>
      </c>
      <c r="E9" s="2230" t="s">
        <v>2453</v>
      </c>
      <c r="F9" s="2230" t="s">
        <v>2454</v>
      </c>
      <c r="G9" s="2230" t="s">
        <v>2455</v>
      </c>
      <c r="H9" s="2230" t="s">
        <v>2456</v>
      </c>
      <c r="I9" s="2231" t="s">
        <v>2457</v>
      </c>
      <c r="J9" s="2231" t="s">
        <v>2458</v>
      </c>
    </row>
    <row r="10" spans="2:10" ht="15.75" thickTop="1" x14ac:dyDescent="0.25">
      <c r="B10" s="2232"/>
      <c r="C10" s="2233"/>
      <c r="D10" s="2234"/>
      <c r="E10" s="2234"/>
      <c r="F10" s="2234"/>
      <c r="G10" s="2234"/>
      <c r="H10" s="2235"/>
      <c r="I10" s="2236"/>
      <c r="J10" s="2236"/>
    </row>
    <row r="11" spans="2:10" x14ac:dyDescent="0.25">
      <c r="B11" s="2237"/>
      <c r="C11" s="2238"/>
      <c r="D11" s="2239"/>
      <c r="E11" s="2239"/>
      <c r="F11" s="2239"/>
      <c r="G11" s="2239"/>
      <c r="H11" s="2240"/>
      <c r="I11" s="2241"/>
      <c r="J11" s="2241"/>
    </row>
    <row r="12" spans="2:10" x14ac:dyDescent="0.25">
      <c r="B12" s="2242"/>
      <c r="C12" s="2243"/>
      <c r="D12" s="2244"/>
      <c r="E12" s="2244"/>
      <c r="F12" s="2244"/>
      <c r="G12" s="2244"/>
      <c r="H12" s="2245"/>
      <c r="I12" s="2246"/>
      <c r="J12" s="2246"/>
    </row>
    <row r="13" spans="2:10" ht="15.75" thickBot="1" x14ac:dyDescent="0.3">
      <c r="B13" s="2247"/>
      <c r="C13" s="2248"/>
      <c r="D13" s="2249"/>
      <c r="E13" s="2249"/>
      <c r="F13" s="2249"/>
      <c r="G13" s="2249"/>
      <c r="H13" s="2250"/>
      <c r="I13" s="2251"/>
      <c r="J13" s="2251"/>
    </row>
    <row r="16" spans="2:10" x14ac:dyDescent="0.25">
      <c r="B16" s="2429"/>
    </row>
    <row r="19" spans="2:2" x14ac:dyDescent="0.25">
      <c r="B19" s="4429"/>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topLeftCell="A96" workbookViewId="0"/>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2460</v>
      </c>
    </row>
    <row r="2" spans="2:12" ht="16.350000000000001" customHeight="1" x14ac:dyDescent="0.25">
      <c r="B2" s="13" t="s">
        <v>229</v>
      </c>
      <c r="J2" s="226"/>
      <c r="K2" s="14" t="s">
        <v>2461</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5" t="s">
        <v>62</v>
      </c>
    </row>
    <row r="7" spans="2:12" ht="12" customHeight="1" x14ac:dyDescent="0.2">
      <c r="B7" s="291" t="s">
        <v>164</v>
      </c>
      <c r="C7" s="177" t="s">
        <v>231</v>
      </c>
      <c r="D7" s="179"/>
      <c r="E7" s="177" t="s">
        <v>232</v>
      </c>
      <c r="F7" s="178"/>
      <c r="G7" s="178"/>
      <c r="H7" s="177" t="s">
        <v>233</v>
      </c>
      <c r="I7" s="178"/>
      <c r="J7" s="178"/>
      <c r="K7" s="2182"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8" t="s">
        <v>319</v>
      </c>
      <c r="C10" s="3087">
        <f>IF(SUM(C11:C16)=0,"NO",SUM(C11:C16))</f>
        <v>380944.78884247149</v>
      </c>
      <c r="D10" s="3087" t="s">
        <v>97</v>
      </c>
      <c r="E10" s="2161"/>
      <c r="F10" s="2161"/>
      <c r="G10" s="2161"/>
      <c r="H10" s="3087">
        <f>IF(SUM(H11:H15)=0,"NO",SUM(H11:H15))</f>
        <v>18698.623052534163</v>
      </c>
      <c r="I10" s="3087">
        <f>IF(SUM(I11:I16)=0,"NO",SUM(I11:I16))</f>
        <v>47.398315614454823</v>
      </c>
      <c r="J10" s="3087">
        <f>IF(SUM(J11:J16)=0,"NO",SUM(J11:J16))</f>
        <v>0.64964649649280681</v>
      </c>
      <c r="K10" s="416" t="str">
        <f>IF(SUM(K11:K16)=0,"NO",SUM(K11:K16))</f>
        <v>NO</v>
      </c>
    </row>
    <row r="11" spans="2:12" ht="18" customHeight="1" x14ac:dyDescent="0.2">
      <c r="B11" s="282" t="s">
        <v>243</v>
      </c>
      <c r="C11" s="1938">
        <f>IF(SUM(C18,C39,C60)=0,"NO",SUM(C18,C39,C60))</f>
        <v>135823.13137020069</v>
      </c>
      <c r="D11" s="3087" t="s">
        <v>97</v>
      </c>
      <c r="E11" s="1938">
        <f t="shared" ref="E11:E16" si="0">IFERROR(H11*1000/$C11,"NA")</f>
        <v>68.4945715719128</v>
      </c>
      <c r="F11" s="1938">
        <f t="shared" ref="F11:G16" si="1">IFERROR(I11*1000000/$C11,"NA")</f>
        <v>9.6566177569950451</v>
      </c>
      <c r="G11" s="1938">
        <f t="shared" si="1"/>
        <v>2.6832487871227739</v>
      </c>
      <c r="H11" s="1938">
        <f>IF(SUM(H18,H39,H60)=0,"NO",SUM(H18,H39,H60))</f>
        <v>9303.1471927575258</v>
      </c>
      <c r="I11" s="1938">
        <f>IF(SUM(I18,I39,I60)=0,"NO",SUM(I18,I39,I60))</f>
        <v>1.3115920622001507</v>
      </c>
      <c r="J11" s="1938">
        <f>IF(SUM(J18,J39,J60)=0,"NO",SUM(J18,J39,J60))</f>
        <v>0.3644472525123082</v>
      </c>
      <c r="K11" s="3064" t="str">
        <f>IF(SUM(K18,K39,K60)=0,"NO",SUM(K18,K39,K60))</f>
        <v>NO</v>
      </c>
    </row>
    <row r="12" spans="2:12" ht="18" customHeight="1" x14ac:dyDescent="0.2">
      <c r="B12" s="282" t="s">
        <v>245</v>
      </c>
      <c r="C12" s="1938">
        <f t="shared" ref="C12:C16" si="2">IF(SUM(C19,C40,C61)=0,"NO",SUM(C19,C40,C61))</f>
        <v>2081.7599999999998</v>
      </c>
      <c r="D12" s="3087" t="s">
        <v>97</v>
      </c>
      <c r="E12" s="1938">
        <f t="shared" si="0"/>
        <v>92.766385174083482</v>
      </c>
      <c r="F12" s="1938">
        <f t="shared" si="1"/>
        <v>0.95238095238095244</v>
      </c>
      <c r="G12" s="1938">
        <f t="shared" si="1"/>
        <v>0.66666666666666685</v>
      </c>
      <c r="H12" s="1938">
        <f t="shared" ref="H12:K16" si="3">IF(SUM(H19,H40,H61)=0,"NO",SUM(H19,H40,H61))</f>
        <v>193.11735000000002</v>
      </c>
      <c r="I12" s="1938">
        <f t="shared" si="3"/>
        <v>1.9826285714285713E-3</v>
      </c>
      <c r="J12" s="1938">
        <f t="shared" si="3"/>
        <v>1.3878400000000002E-3</v>
      </c>
      <c r="K12" s="3064" t="str">
        <f t="shared" si="3"/>
        <v>NO</v>
      </c>
    </row>
    <row r="13" spans="2:12" ht="18" customHeight="1" x14ac:dyDescent="0.2">
      <c r="B13" s="282" t="s">
        <v>246</v>
      </c>
      <c r="C13" s="1938">
        <f t="shared" si="2"/>
        <v>178815.35000000006</v>
      </c>
      <c r="D13" s="3087" t="s">
        <v>97</v>
      </c>
      <c r="E13" s="1938">
        <f t="shared" si="0"/>
        <v>51.462911376325543</v>
      </c>
      <c r="F13" s="1938">
        <f t="shared" si="1"/>
        <v>0.90909090909090906</v>
      </c>
      <c r="G13" s="1938">
        <f t="shared" si="1"/>
        <v>0.90909090909090895</v>
      </c>
      <c r="H13" s="1938">
        <f t="shared" si="3"/>
        <v>9202.3585097766372</v>
      </c>
      <c r="I13" s="1938">
        <f t="shared" si="3"/>
        <v>0.16255940909090916</v>
      </c>
      <c r="J13" s="1938">
        <f t="shared" si="3"/>
        <v>0.16255940909090913</v>
      </c>
      <c r="K13" s="3064" t="str">
        <f t="shared" si="3"/>
        <v>NO</v>
      </c>
    </row>
    <row r="14" spans="2:12" ht="18" customHeight="1" x14ac:dyDescent="0.2">
      <c r="B14" s="282" t="s">
        <v>247</v>
      </c>
      <c r="C14" s="1938" t="str">
        <f t="shared" si="2"/>
        <v>NO</v>
      </c>
      <c r="D14" s="3087" t="s">
        <v>97</v>
      </c>
      <c r="E14" s="1938" t="str">
        <f t="shared" si="0"/>
        <v>NA</v>
      </c>
      <c r="F14" s="1938" t="str">
        <f t="shared" si="1"/>
        <v>NA</v>
      </c>
      <c r="G14" s="1938" t="str">
        <f t="shared" si="1"/>
        <v>NA</v>
      </c>
      <c r="H14" s="1938" t="str">
        <f t="shared" si="3"/>
        <v>NO</v>
      </c>
      <c r="I14" s="1938" t="str">
        <f t="shared" si="3"/>
        <v>NO</v>
      </c>
      <c r="J14" s="1938" t="str">
        <f t="shared" si="3"/>
        <v>NO</v>
      </c>
      <c r="K14" s="3064" t="str">
        <f t="shared" si="3"/>
        <v>NO</v>
      </c>
    </row>
    <row r="15" spans="2:12" ht="18" customHeight="1" x14ac:dyDescent="0.2">
      <c r="B15" s="282" t="s">
        <v>320</v>
      </c>
      <c r="C15" s="1938" t="str">
        <f t="shared" si="2"/>
        <v>NO</v>
      </c>
      <c r="D15" s="3087" t="s">
        <v>97</v>
      </c>
      <c r="E15" s="1938" t="str">
        <f t="shared" si="0"/>
        <v>NA</v>
      </c>
      <c r="F15" s="1938" t="str">
        <f t="shared" si="1"/>
        <v>NA</v>
      </c>
      <c r="G15" s="1938" t="str">
        <f t="shared" si="1"/>
        <v>NA</v>
      </c>
      <c r="H15" s="1938" t="str">
        <f t="shared" si="3"/>
        <v>NO</v>
      </c>
      <c r="I15" s="1938" t="str">
        <f t="shared" si="3"/>
        <v>NO</v>
      </c>
      <c r="J15" s="1938" t="str">
        <f t="shared" si="3"/>
        <v>NO</v>
      </c>
      <c r="K15" s="3064" t="str">
        <f t="shared" si="3"/>
        <v>NO</v>
      </c>
    </row>
    <row r="16" spans="2:12" ht="18" customHeight="1" x14ac:dyDescent="0.2">
      <c r="B16" s="282" t="s">
        <v>321</v>
      </c>
      <c r="C16" s="1938">
        <f t="shared" si="2"/>
        <v>64224.547472270708</v>
      </c>
      <c r="D16" s="3087" t="s">
        <v>97</v>
      </c>
      <c r="E16" s="1938">
        <f t="shared" si="0"/>
        <v>77.327454151009633</v>
      </c>
      <c r="F16" s="1938">
        <f t="shared" si="1"/>
        <v>715.02538082373383</v>
      </c>
      <c r="G16" s="1938">
        <f t="shared" si="1"/>
        <v>1.8879384855446537</v>
      </c>
      <c r="H16" s="1938">
        <f t="shared" si="3"/>
        <v>4966.3207500313547</v>
      </c>
      <c r="I16" s="1938">
        <f t="shared" si="3"/>
        <v>45.922181514592332</v>
      </c>
      <c r="J16" s="1938">
        <f t="shared" si="3"/>
        <v>0.12125199488958947</v>
      </c>
      <c r="K16" s="3064" t="str">
        <f t="shared" si="3"/>
        <v>NO</v>
      </c>
    </row>
    <row r="17" spans="2:11" ht="18" customHeight="1" x14ac:dyDescent="0.2">
      <c r="B17" s="1240" t="s">
        <v>322</v>
      </c>
      <c r="C17" s="3087">
        <f>IF(SUM(C18:C23)=0,"NO",SUM(C18:C23))</f>
        <v>78845.107531407644</v>
      </c>
      <c r="D17" s="3087" t="s">
        <v>97</v>
      </c>
      <c r="E17" s="615"/>
      <c r="F17" s="615"/>
      <c r="G17" s="615"/>
      <c r="H17" s="3057">
        <f>IF(SUM(H18:H22)=0,"NO",SUM(H18:H22))</f>
        <v>4658.084936706302</v>
      </c>
      <c r="I17" s="3057">
        <f>IF(SUM(I18:I23)=0,"NO",SUM(I18:I23))</f>
        <v>9.0576760005275814E-2</v>
      </c>
      <c r="J17" s="3088">
        <f>IF(SUM(J18:J23)=0,"NO",SUM(J18:J23))</f>
        <v>9.0679167955145953E-2</v>
      </c>
      <c r="K17" s="3064" t="str">
        <f>IF(SUM(K18:K23)=0,"NO",SUM(K18:K23))</f>
        <v>NO</v>
      </c>
    </row>
    <row r="18" spans="2:11" ht="18" customHeight="1" x14ac:dyDescent="0.2">
      <c r="B18" s="282" t="s">
        <v>243</v>
      </c>
      <c r="C18" s="3087">
        <f>IF(SUM(C26,C33)=0,"NO",SUM(C26,C33))</f>
        <v>32456.627531407634</v>
      </c>
      <c r="D18" s="3087" t="s">
        <v>97</v>
      </c>
      <c r="E18" s="1938">
        <f t="shared" ref="E18" si="4">IFERROR(H18*1000/$C18,"NA")</f>
        <v>68.979870296882979</v>
      </c>
      <c r="F18" s="1938">
        <f t="shared" ref="F18:G23" si="5">IFERROR(I18*1000000/$C18,"NA")</f>
        <v>1.3993855626358711</v>
      </c>
      <c r="G18" s="1938">
        <f t="shared" si="5"/>
        <v>1.4560064541991447</v>
      </c>
      <c r="H18" s="3087">
        <f>IF(SUM(H26,H33)=0,"NO",SUM(H26,H33))</f>
        <v>2238.8539573907397</v>
      </c>
      <c r="I18" s="3087">
        <f>IF(SUM(I26,I33)=0,"NO",SUM(I26,I33))</f>
        <v>4.5419335979301777E-2</v>
      </c>
      <c r="J18" s="3087">
        <f>IF(SUM(J26,J33)=0,"NO",SUM(J26,J33))</f>
        <v>4.7257059167267162E-2</v>
      </c>
      <c r="K18" s="3064" t="str">
        <f>IF(SUM(K26,K33)=0,"NO",SUM(K26,K33))</f>
        <v>NO</v>
      </c>
    </row>
    <row r="19" spans="2:11" ht="18" customHeight="1" x14ac:dyDescent="0.2">
      <c r="B19" s="282" t="s">
        <v>245</v>
      </c>
      <c r="C19" s="3087">
        <f t="shared" ref="C19:C21" si="6">IF(SUM(C27,C34)=0,"NO",SUM(C27,C34))</f>
        <v>1975.57</v>
      </c>
      <c r="D19" s="3087" t="s">
        <v>97</v>
      </c>
      <c r="E19" s="1938">
        <f t="shared" ref="E19:E23" si="7">IFERROR(H19*1000/$C19,"NA")</f>
        <v>92.774692873449197</v>
      </c>
      <c r="F19" s="1938">
        <f t="shared" si="5"/>
        <v>0.95238095238095244</v>
      </c>
      <c r="G19" s="1938">
        <f t="shared" si="5"/>
        <v>0.66666666666666674</v>
      </c>
      <c r="H19" s="3087">
        <f t="shared" ref="H19:K21" si="8">IF(SUM(H27,H34)=0,"NO",SUM(H27,H34))</f>
        <v>183.28290000000001</v>
      </c>
      <c r="I19" s="3087">
        <f t="shared" si="8"/>
        <v>1.8814952380952381E-3</v>
      </c>
      <c r="J19" s="3087">
        <f t="shared" si="8"/>
        <v>1.3170466666666669E-3</v>
      </c>
      <c r="K19" s="3064" t="str">
        <f t="shared" si="8"/>
        <v>NO</v>
      </c>
    </row>
    <row r="20" spans="2:11" ht="18" customHeight="1" x14ac:dyDescent="0.2">
      <c r="B20" s="282" t="s">
        <v>246</v>
      </c>
      <c r="C20" s="3087">
        <f t="shared" si="6"/>
        <v>43441.350000000013</v>
      </c>
      <c r="D20" s="3087" t="s">
        <v>97</v>
      </c>
      <c r="E20" s="1938">
        <f t="shared" si="7"/>
        <v>51.470501706681816</v>
      </c>
      <c r="F20" s="1938">
        <f t="shared" si="5"/>
        <v>0.90909090909090906</v>
      </c>
      <c r="G20" s="1938">
        <f t="shared" si="5"/>
        <v>0.90909090909090906</v>
      </c>
      <c r="H20" s="3087">
        <f t="shared" si="8"/>
        <v>2235.9480793155626</v>
      </c>
      <c r="I20" s="3087">
        <f t="shared" si="8"/>
        <v>3.9492136363636375E-2</v>
      </c>
      <c r="J20" s="3087">
        <f t="shared" si="8"/>
        <v>3.9492136363636375E-2</v>
      </c>
      <c r="K20" s="3064" t="str">
        <f t="shared" si="8"/>
        <v>NO</v>
      </c>
    </row>
    <row r="21" spans="2:11" ht="18" customHeight="1" x14ac:dyDescent="0.2">
      <c r="B21" s="282" t="s">
        <v>247</v>
      </c>
      <c r="C21" s="3087" t="str">
        <f t="shared" si="6"/>
        <v>NO</v>
      </c>
      <c r="D21" s="3087" t="s">
        <v>97</v>
      </c>
      <c r="E21" s="1938" t="str">
        <f t="shared" si="7"/>
        <v>NA</v>
      </c>
      <c r="F21" s="1938" t="str">
        <f t="shared" si="5"/>
        <v>NA</v>
      </c>
      <c r="G21" s="1938" t="str">
        <f t="shared" si="5"/>
        <v>NA</v>
      </c>
      <c r="H21" s="3087" t="str">
        <f t="shared" si="8"/>
        <v>NO</v>
      </c>
      <c r="I21" s="3087" t="str">
        <f t="shared" si="8"/>
        <v>NO</v>
      </c>
      <c r="J21" s="3087" t="str">
        <f t="shared" si="8"/>
        <v>NO</v>
      </c>
      <c r="K21" s="3064" t="str">
        <f t="shared" si="8"/>
        <v>NO</v>
      </c>
    </row>
    <row r="22" spans="2:11" ht="18" customHeight="1" x14ac:dyDescent="0.2">
      <c r="B22" s="282" t="s">
        <v>320</v>
      </c>
      <c r="C22" s="3087" t="str">
        <f>IF(SUM(C30)=0,"NO",SUM(C30))</f>
        <v>NO</v>
      </c>
      <c r="D22" s="3087" t="s">
        <v>97</v>
      </c>
      <c r="E22" s="1938" t="str">
        <f t="shared" si="7"/>
        <v>NA</v>
      </c>
      <c r="F22" s="1938" t="str">
        <f t="shared" si="5"/>
        <v>NA</v>
      </c>
      <c r="G22" s="1938" t="str">
        <f t="shared" si="5"/>
        <v>NA</v>
      </c>
      <c r="H22" s="3087" t="str">
        <f>IF(SUM(H30)=0,"NO",SUM(H30))</f>
        <v>NO</v>
      </c>
      <c r="I22" s="3087" t="str">
        <f>IF(SUM(I30)=0,"NO",SUM(I30))</f>
        <v>NO</v>
      </c>
      <c r="J22" s="3087" t="str">
        <f>IF(SUM(J30)=0,"NO",SUM(J30))</f>
        <v>NO</v>
      </c>
      <c r="K22" s="3064" t="str">
        <f>IF(SUM(K30)=0,"NO",SUM(K30))</f>
        <v>NO</v>
      </c>
    </row>
    <row r="23" spans="2:11" ht="18" customHeight="1" x14ac:dyDescent="0.2">
      <c r="B23" s="282" t="s">
        <v>323</v>
      </c>
      <c r="C23" s="3087">
        <f>IF(SUM(C31,C37)=0,"NO",SUM(C31,C37))</f>
        <v>971.55999999999972</v>
      </c>
      <c r="D23" s="3087" t="s">
        <v>97</v>
      </c>
      <c r="E23" s="1938">
        <f t="shared" si="7"/>
        <v>65.834942926204548</v>
      </c>
      <c r="F23" s="1938">
        <f t="shared" si="5"/>
        <v>3.8945535265371416</v>
      </c>
      <c r="G23" s="1938">
        <f t="shared" si="5"/>
        <v>2.6894126534395801</v>
      </c>
      <c r="H23" s="3087">
        <f>IF(SUM(H31,H37)=0,"NO",SUM(H31,H37))</f>
        <v>63.962597149383271</v>
      </c>
      <c r="I23" s="3087">
        <f>IF(SUM(I31,I37)=0,"NO",SUM(I31,I37))</f>
        <v>3.7837924242424244E-3</v>
      </c>
      <c r="J23" s="3087">
        <f>IF(SUM(J31,J37)=0,"NO",SUM(J31,J37))</f>
        <v>2.6129257575757577E-3</v>
      </c>
      <c r="K23" s="3064" t="str">
        <f>IF(SUM(K31,K37)=0,"NO",SUM(K31,K37))</f>
        <v>NO</v>
      </c>
    </row>
    <row r="24" spans="2:11" ht="18" customHeight="1" x14ac:dyDescent="0.2">
      <c r="B24" s="1274" t="s">
        <v>271</v>
      </c>
      <c r="C24" s="3075"/>
      <c r="D24" s="3076"/>
      <c r="E24" s="3076"/>
      <c r="F24" s="3076"/>
      <c r="G24" s="3076"/>
      <c r="H24" s="3076"/>
      <c r="I24" s="3076"/>
      <c r="J24" s="3076"/>
      <c r="K24" s="3089"/>
    </row>
    <row r="25" spans="2:11" ht="18" customHeight="1" x14ac:dyDescent="0.2">
      <c r="B25" s="1241" t="s">
        <v>324</v>
      </c>
      <c r="C25" s="3057">
        <f>IF(SUM(C26:C31)=0,"NO",SUM(C26:C31))</f>
        <v>78845.107531407644</v>
      </c>
      <c r="D25" s="3057" t="s">
        <v>97</v>
      </c>
      <c r="E25" s="615"/>
      <c r="F25" s="615"/>
      <c r="G25" s="615"/>
      <c r="H25" s="3057">
        <f>IF(SUM(H26:H30)=0,"NO",SUM(H26:H30))</f>
        <v>4658.084936706302</v>
      </c>
      <c r="I25" s="3057">
        <f>IF(SUM(I26:I31)=0,"NO",SUM(I26:I31))</f>
        <v>9.0576760005275814E-2</v>
      </c>
      <c r="J25" s="3088">
        <f>IF(SUM(J26:J31)=0,"NO",SUM(J26:J31))</f>
        <v>9.0679167955145953E-2</v>
      </c>
      <c r="K25" s="3064" t="str">
        <f>IF(SUM(K26:K31)=0,"NO",SUM(K26:K31))</f>
        <v>NO</v>
      </c>
    </row>
    <row r="26" spans="2:11" ht="18" customHeight="1" x14ac:dyDescent="0.2">
      <c r="B26" s="282" t="s">
        <v>243</v>
      </c>
      <c r="C26" s="699">
        <v>32456.627531407634</v>
      </c>
      <c r="D26" s="3057" t="s">
        <v>97</v>
      </c>
      <c r="E26" s="1938">
        <f t="shared" ref="E26:E31" si="9">IFERROR(H26*1000/$C26,"NA")</f>
        <v>68.979870296882979</v>
      </c>
      <c r="F26" s="1938">
        <f t="shared" ref="F26:G31" si="10">IFERROR(I26*1000000/$C26,"NA")</f>
        <v>1.3993855626358711</v>
      </c>
      <c r="G26" s="1938">
        <f t="shared" si="10"/>
        <v>1.4560064541991447</v>
      </c>
      <c r="H26" s="699">
        <v>2238.8539573907397</v>
      </c>
      <c r="I26" s="699">
        <v>4.5419335979301777E-2</v>
      </c>
      <c r="J26" s="699">
        <v>4.7257059167267162E-2</v>
      </c>
      <c r="K26" s="2921" t="s">
        <v>199</v>
      </c>
    </row>
    <row r="27" spans="2:11" ht="18" customHeight="1" x14ac:dyDescent="0.2">
      <c r="B27" s="282" t="s">
        <v>245</v>
      </c>
      <c r="C27" s="699">
        <v>1975.57</v>
      </c>
      <c r="D27" s="3057" t="s">
        <v>97</v>
      </c>
      <c r="E27" s="1938">
        <f t="shared" si="9"/>
        <v>92.774692873449197</v>
      </c>
      <c r="F27" s="1938">
        <f t="shared" si="10"/>
        <v>0.95238095238095244</v>
      </c>
      <c r="G27" s="1938">
        <f t="shared" si="10"/>
        <v>0.66666666666666674</v>
      </c>
      <c r="H27" s="699">
        <v>183.28290000000001</v>
      </c>
      <c r="I27" s="699">
        <v>1.8814952380952381E-3</v>
      </c>
      <c r="J27" s="699">
        <v>1.3170466666666669E-3</v>
      </c>
      <c r="K27" s="2921" t="s">
        <v>199</v>
      </c>
    </row>
    <row r="28" spans="2:11" ht="18" customHeight="1" x14ac:dyDescent="0.2">
      <c r="B28" s="282" t="s">
        <v>246</v>
      </c>
      <c r="C28" s="699">
        <v>43441.350000000013</v>
      </c>
      <c r="D28" s="3057" t="s">
        <v>97</v>
      </c>
      <c r="E28" s="1938">
        <f t="shared" si="9"/>
        <v>51.470501706681816</v>
      </c>
      <c r="F28" s="1938">
        <f t="shared" si="10"/>
        <v>0.90909090909090906</v>
      </c>
      <c r="G28" s="1938">
        <f t="shared" si="10"/>
        <v>0.90909090909090906</v>
      </c>
      <c r="H28" s="699">
        <v>2235.9480793155626</v>
      </c>
      <c r="I28" s="699">
        <v>3.9492136363636375E-2</v>
      </c>
      <c r="J28" s="699">
        <v>3.9492136363636375E-2</v>
      </c>
      <c r="K28" s="2921" t="s">
        <v>199</v>
      </c>
    </row>
    <row r="29" spans="2:11" ht="18" customHeight="1" x14ac:dyDescent="0.2">
      <c r="B29" s="282" t="s">
        <v>247</v>
      </c>
      <c r="C29" s="699" t="s">
        <v>199</v>
      </c>
      <c r="D29" s="3057" t="s">
        <v>97</v>
      </c>
      <c r="E29" s="1938" t="str">
        <f t="shared" si="9"/>
        <v>NA</v>
      </c>
      <c r="F29" s="1938" t="str">
        <f t="shared" si="10"/>
        <v>NA</v>
      </c>
      <c r="G29" s="1938" t="str">
        <f t="shared" si="10"/>
        <v>NA</v>
      </c>
      <c r="H29" s="699" t="s">
        <v>199</v>
      </c>
      <c r="I29" s="699" t="s">
        <v>199</v>
      </c>
      <c r="J29" s="699" t="s">
        <v>199</v>
      </c>
      <c r="K29" s="2921" t="s">
        <v>199</v>
      </c>
    </row>
    <row r="30" spans="2:11" ht="18" customHeight="1" x14ac:dyDescent="0.2">
      <c r="B30" s="282" t="s">
        <v>320</v>
      </c>
      <c r="C30" s="699" t="s">
        <v>199</v>
      </c>
      <c r="D30" s="3057" t="s">
        <v>97</v>
      </c>
      <c r="E30" s="1938" t="str">
        <f t="shared" si="9"/>
        <v>NA</v>
      </c>
      <c r="F30" s="1938" t="str">
        <f t="shared" si="10"/>
        <v>NA</v>
      </c>
      <c r="G30" s="1938" t="str">
        <f t="shared" si="10"/>
        <v>NA</v>
      </c>
      <c r="H30" s="699" t="s">
        <v>199</v>
      </c>
      <c r="I30" s="699" t="s">
        <v>199</v>
      </c>
      <c r="J30" s="699" t="s">
        <v>199</v>
      </c>
      <c r="K30" s="2921" t="s">
        <v>199</v>
      </c>
    </row>
    <row r="31" spans="2:11" ht="18" customHeight="1" x14ac:dyDescent="0.2">
      <c r="B31" s="282" t="s">
        <v>323</v>
      </c>
      <c r="C31" s="699">
        <v>971.55999999999972</v>
      </c>
      <c r="D31" s="3057" t="s">
        <v>97</v>
      </c>
      <c r="E31" s="1938">
        <f t="shared" si="9"/>
        <v>65.834942926204548</v>
      </c>
      <c r="F31" s="1938">
        <f t="shared" si="10"/>
        <v>3.8945535265371416</v>
      </c>
      <c r="G31" s="1938">
        <f t="shared" si="10"/>
        <v>2.6894126534395801</v>
      </c>
      <c r="H31" s="699">
        <v>63.962597149383271</v>
      </c>
      <c r="I31" s="699">
        <v>3.7837924242424244E-3</v>
      </c>
      <c r="J31" s="699">
        <v>2.6129257575757577E-3</v>
      </c>
      <c r="K31" s="2921" t="s">
        <v>199</v>
      </c>
    </row>
    <row r="32" spans="2:11" ht="18" customHeight="1" x14ac:dyDescent="0.2">
      <c r="B32" s="1241" t="s">
        <v>325</v>
      </c>
      <c r="C32" s="3057" t="str">
        <f>IF(SUM(C33:C37)=0,"NO",SUM(C33:C37))</f>
        <v>NO</v>
      </c>
      <c r="D32" s="3057" t="s">
        <v>97</v>
      </c>
      <c r="E32" s="615"/>
      <c r="F32" s="615"/>
      <c r="G32" s="615"/>
      <c r="H32" s="3057" t="str">
        <f>IF(SUM(H33:H36)=0,"NO",SUM(H33:H36))</f>
        <v>NO</v>
      </c>
      <c r="I32" s="3057" t="str">
        <f>IF(SUM(I33:I37)=0,"NO",SUM(I33:I37))</f>
        <v>NO</v>
      </c>
      <c r="J32" s="3057" t="str">
        <f>IF(SUM(J33:J37)=0,"NO",SUM(J33:J37))</f>
        <v>NO</v>
      </c>
      <c r="K32" s="2931"/>
    </row>
    <row r="33" spans="2:11" ht="18" customHeight="1" x14ac:dyDescent="0.2">
      <c r="B33" s="282" t="s">
        <v>243</v>
      </c>
      <c r="C33" s="699" t="s">
        <v>274</v>
      </c>
      <c r="D33" s="3057" t="s">
        <v>97</v>
      </c>
      <c r="E33" s="1938" t="str">
        <f t="shared" ref="E33:E37" si="11">IFERROR(H33*1000/$C33,"NA")</f>
        <v>NA</v>
      </c>
      <c r="F33" s="1938" t="str">
        <f t="shared" ref="F33:G37" si="12">IFERROR(I33*1000000/$C33,"NA")</f>
        <v>NA</v>
      </c>
      <c r="G33" s="1938" t="str">
        <f t="shared" si="12"/>
        <v>NA</v>
      </c>
      <c r="H33" s="699" t="s">
        <v>274</v>
      </c>
      <c r="I33" s="699" t="s">
        <v>274</v>
      </c>
      <c r="J33" s="699" t="s">
        <v>274</v>
      </c>
      <c r="K33" s="2931"/>
    </row>
    <row r="34" spans="2:11" ht="18" customHeight="1" x14ac:dyDescent="0.2">
      <c r="B34" s="282" t="s">
        <v>245</v>
      </c>
      <c r="C34" s="699" t="s">
        <v>199</v>
      </c>
      <c r="D34" s="3057" t="s">
        <v>97</v>
      </c>
      <c r="E34" s="1938" t="str">
        <f t="shared" si="11"/>
        <v>NA</v>
      </c>
      <c r="F34" s="1938" t="str">
        <f t="shared" si="12"/>
        <v>NA</v>
      </c>
      <c r="G34" s="1938" t="str">
        <f t="shared" si="12"/>
        <v>NA</v>
      </c>
      <c r="H34" s="699" t="s">
        <v>199</v>
      </c>
      <c r="I34" s="699" t="s">
        <v>199</v>
      </c>
      <c r="J34" s="699" t="s">
        <v>199</v>
      </c>
      <c r="K34" s="2931"/>
    </row>
    <row r="35" spans="2:11" ht="18" customHeight="1" x14ac:dyDescent="0.2">
      <c r="B35" s="282" t="s">
        <v>246</v>
      </c>
      <c r="C35" s="699" t="s">
        <v>199</v>
      </c>
      <c r="D35" s="3057" t="s">
        <v>97</v>
      </c>
      <c r="E35" s="1938" t="str">
        <f t="shared" si="11"/>
        <v>NA</v>
      </c>
      <c r="F35" s="1938" t="str">
        <f t="shared" si="12"/>
        <v>NA</v>
      </c>
      <c r="G35" s="1938" t="str">
        <f t="shared" si="12"/>
        <v>NA</v>
      </c>
      <c r="H35" s="699" t="s">
        <v>199</v>
      </c>
      <c r="I35" s="699" t="s">
        <v>199</v>
      </c>
      <c r="J35" s="699" t="s">
        <v>199</v>
      </c>
      <c r="K35" s="2931"/>
    </row>
    <row r="36" spans="2:11" ht="18" customHeight="1" x14ac:dyDescent="0.2">
      <c r="B36" s="282" t="s">
        <v>247</v>
      </c>
      <c r="C36" s="699" t="s">
        <v>199</v>
      </c>
      <c r="D36" s="3057" t="s">
        <v>97</v>
      </c>
      <c r="E36" s="1938" t="str">
        <f t="shared" si="11"/>
        <v>NA</v>
      </c>
      <c r="F36" s="1938" t="str">
        <f t="shared" si="12"/>
        <v>NA</v>
      </c>
      <c r="G36" s="1938" t="str">
        <f t="shared" si="12"/>
        <v>NA</v>
      </c>
      <c r="H36" s="699" t="s">
        <v>199</v>
      </c>
      <c r="I36" s="699" t="s">
        <v>199</v>
      </c>
      <c r="J36" s="699" t="s">
        <v>199</v>
      </c>
      <c r="K36" s="2931"/>
    </row>
    <row r="37" spans="2:11" ht="18" customHeight="1" x14ac:dyDescent="0.2">
      <c r="B37" s="282" t="s">
        <v>323</v>
      </c>
      <c r="C37" s="699" t="s">
        <v>274</v>
      </c>
      <c r="D37" s="3057" t="s">
        <v>97</v>
      </c>
      <c r="E37" s="1938" t="str">
        <f t="shared" si="11"/>
        <v>NA</v>
      </c>
      <c r="F37" s="1938" t="str">
        <f t="shared" si="12"/>
        <v>NA</v>
      </c>
      <c r="G37" s="1938" t="str">
        <f t="shared" si="12"/>
        <v>NA</v>
      </c>
      <c r="H37" s="699" t="s">
        <v>274</v>
      </c>
      <c r="I37" s="699" t="s">
        <v>274</v>
      </c>
      <c r="J37" s="699" t="s">
        <v>274</v>
      </c>
      <c r="K37" s="2931"/>
    </row>
    <row r="38" spans="2:11" ht="18" customHeight="1" x14ac:dyDescent="0.2">
      <c r="B38" s="1240" t="s">
        <v>326</v>
      </c>
      <c r="C38" s="3057">
        <f>IF(SUM(C39:C44)=0,"NO",SUM(C39:C44))</f>
        <v>217223.08131106381</v>
      </c>
      <c r="D38" s="3057" t="s">
        <v>97</v>
      </c>
      <c r="E38" s="615"/>
      <c r="F38" s="615"/>
      <c r="G38" s="615"/>
      <c r="H38" s="1938">
        <f>IF(SUM(H39:H43)=0,"NO",SUM(H39:H43))</f>
        <v>8136.9424006796089</v>
      </c>
      <c r="I38" s="1938">
        <f>IF(SUM(I39:I44)=0,"NO",SUM(I39:I44))</f>
        <v>46.791895903800189</v>
      </c>
      <c r="J38" s="1938">
        <f>IF(SUM(J39:J44)=0,"NO",SUM(J39:J44))</f>
        <v>0.25236311122164351</v>
      </c>
      <c r="K38" s="3064" t="str">
        <f>IF(SUM(K39:K44)=0,"NO",SUM(K39:K44))</f>
        <v>NO</v>
      </c>
    </row>
    <row r="39" spans="2:11" ht="18" customHeight="1" x14ac:dyDescent="0.2">
      <c r="B39" s="282" t="s">
        <v>243</v>
      </c>
      <c r="C39" s="3087">
        <f>IF(SUM(C47,C54)=0,"NO",SUM(C47,C54))</f>
        <v>18588.503838793073</v>
      </c>
      <c r="D39" s="3057" t="s">
        <v>97</v>
      </c>
      <c r="E39" s="1938">
        <f t="shared" ref="E39:E44" si="13">IFERROR(H39*1000/$C39,"NA")</f>
        <v>62.714393018221323</v>
      </c>
      <c r="F39" s="1938">
        <f t="shared" ref="F39:G44" si="14">IFERROR(I39*1000000/$C39,"NA")</f>
        <v>40.37008133860968</v>
      </c>
      <c r="G39" s="1938">
        <f t="shared" si="14"/>
        <v>0.57431262275023631</v>
      </c>
      <c r="H39" s="1938">
        <f>IF(SUM(H47,H54)=0,"NO",SUM(H47,H54))</f>
        <v>1165.7667353667846</v>
      </c>
      <c r="I39" s="1938">
        <f>IF(SUM(I47,I54)=0,"NO",SUM(I47,I54))</f>
        <v>0.75041941193513462</v>
      </c>
      <c r="J39" s="1938">
        <f>IF(SUM(J47,J54)=0,"NO",SUM(J47,J54))</f>
        <v>1.0675612392660084E-2</v>
      </c>
      <c r="K39" s="3064" t="str">
        <f>IF(SUM(K47,K54)=0,"NO",SUM(K47,K54))</f>
        <v>NO</v>
      </c>
    </row>
    <row r="40" spans="2:11" ht="18" customHeight="1" x14ac:dyDescent="0.2">
      <c r="B40" s="282" t="s">
        <v>245</v>
      </c>
      <c r="C40" s="3087">
        <f t="shared" ref="C40:C42" si="15">IF(SUM(C48,C55)=0,"NO",SUM(C48,C55))</f>
        <v>106.19000000000001</v>
      </c>
      <c r="D40" s="3057" t="s">
        <v>97</v>
      </c>
      <c r="E40" s="1938">
        <f t="shared" si="13"/>
        <v>92.611827855730297</v>
      </c>
      <c r="F40" s="1938">
        <f t="shared" si="14"/>
        <v>0.95238095238095222</v>
      </c>
      <c r="G40" s="1938">
        <f t="shared" si="14"/>
        <v>0.66666666666666663</v>
      </c>
      <c r="H40" s="1938">
        <f t="shared" ref="H40:K42" si="16">IF(SUM(H48,H55)=0,"NO",SUM(H48,H55))</f>
        <v>9.8344500000000004</v>
      </c>
      <c r="I40" s="1938">
        <f t="shared" si="16"/>
        <v>1.0113333333333333E-4</v>
      </c>
      <c r="J40" s="1938">
        <f t="shared" si="16"/>
        <v>7.0793333333333332E-5</v>
      </c>
      <c r="K40" s="3064" t="str">
        <f t="shared" si="16"/>
        <v>NO</v>
      </c>
    </row>
    <row r="41" spans="2:11" ht="18" customHeight="1" x14ac:dyDescent="0.2">
      <c r="B41" s="282" t="s">
        <v>246</v>
      </c>
      <c r="C41" s="3087">
        <f t="shared" si="15"/>
        <v>135275.40000000005</v>
      </c>
      <c r="D41" s="3057" t="s">
        <v>97</v>
      </c>
      <c r="E41" s="1938">
        <f t="shared" si="13"/>
        <v>51.460511041274479</v>
      </c>
      <c r="F41" s="1938">
        <f t="shared" si="14"/>
        <v>0.90909090909090895</v>
      </c>
      <c r="G41" s="1938">
        <f t="shared" si="14"/>
        <v>0.90909090909090884</v>
      </c>
      <c r="H41" s="1938">
        <f t="shared" si="16"/>
        <v>6961.3412153128247</v>
      </c>
      <c r="I41" s="1938">
        <f t="shared" si="16"/>
        <v>0.1229776363636364</v>
      </c>
      <c r="J41" s="1938">
        <f t="shared" si="16"/>
        <v>0.12297763636363639</v>
      </c>
      <c r="K41" s="3064" t="str">
        <f t="shared" si="16"/>
        <v>NO</v>
      </c>
    </row>
    <row r="42" spans="2:11" ht="18" customHeight="1" x14ac:dyDescent="0.2">
      <c r="B42" s="282" t="s">
        <v>247</v>
      </c>
      <c r="C42" s="3087" t="str">
        <f t="shared" si="15"/>
        <v>NO</v>
      </c>
      <c r="D42" s="3057" t="s">
        <v>97</v>
      </c>
      <c r="E42" s="1938" t="str">
        <f t="shared" si="13"/>
        <v>NA</v>
      </c>
      <c r="F42" s="1938" t="str">
        <f t="shared" si="14"/>
        <v>NA</v>
      </c>
      <c r="G42" s="1938" t="str">
        <f t="shared" si="14"/>
        <v>NA</v>
      </c>
      <c r="H42" s="1938" t="str">
        <f t="shared" si="16"/>
        <v>NO</v>
      </c>
      <c r="I42" s="1938" t="str">
        <f t="shared" si="16"/>
        <v>NO</v>
      </c>
      <c r="J42" s="1938" t="str">
        <f t="shared" si="16"/>
        <v>NO</v>
      </c>
      <c r="K42" s="3064" t="str">
        <f t="shared" si="16"/>
        <v>NO</v>
      </c>
    </row>
    <row r="43" spans="2:11" ht="18" customHeight="1" x14ac:dyDescent="0.2">
      <c r="B43" s="282" t="s">
        <v>320</v>
      </c>
      <c r="C43" s="3087" t="str">
        <f>IF(SUM(C51)=0,"NO",SUM(C51))</f>
        <v>NO</v>
      </c>
      <c r="D43" s="3057" t="s">
        <v>97</v>
      </c>
      <c r="E43" s="1938" t="str">
        <f t="shared" si="13"/>
        <v>NA</v>
      </c>
      <c r="F43" s="1938" t="str">
        <f t="shared" si="14"/>
        <v>NA</v>
      </c>
      <c r="G43" s="1938" t="str">
        <f t="shared" si="14"/>
        <v>NA</v>
      </c>
      <c r="H43" s="1938" t="str">
        <f>IF(SUM(H51)=0,"NO",SUM(H51))</f>
        <v>NO</v>
      </c>
      <c r="I43" s="1938" t="str">
        <f>IF(SUM(I51)=0,"NO",SUM(I51))</f>
        <v>NO</v>
      </c>
      <c r="J43" s="1938" t="str">
        <f>IF(SUM(J51)=0,"NO",SUM(J51))</f>
        <v>NO</v>
      </c>
      <c r="K43" s="3064" t="str">
        <f>IF(SUM(K51)=0,"NO",SUM(K51))</f>
        <v>NO</v>
      </c>
    </row>
    <row r="44" spans="2:11" ht="18" customHeight="1" x14ac:dyDescent="0.2">
      <c r="B44" s="282" t="s">
        <v>323</v>
      </c>
      <c r="C44" s="3087">
        <f>IF(SUM(C52,C58)=0,"NO",SUM(C52,C58))</f>
        <v>63252.98747227071</v>
      </c>
      <c r="D44" s="3057" t="s">
        <v>97</v>
      </c>
      <c r="E44" s="1938">
        <f t="shared" si="13"/>
        <v>77.503978053702241</v>
      </c>
      <c r="F44" s="1938">
        <f t="shared" si="14"/>
        <v>725.94828413911864</v>
      </c>
      <c r="G44" s="1938">
        <f t="shared" si="14"/>
        <v>1.8756279169268257</v>
      </c>
      <c r="H44" s="1938">
        <f>IF(SUM(H52,H58)=0,"NO",SUM(H52,H58))</f>
        <v>4902.3581528819714</v>
      </c>
      <c r="I44" s="1938">
        <f>IF(SUM(I52,I58)=0,"NO",SUM(I52,I58))</f>
        <v>45.918397722168088</v>
      </c>
      <c r="J44" s="1938">
        <f>IF(SUM(J52,J58)=0,"NO",SUM(J52,J58))</f>
        <v>0.11863906913201372</v>
      </c>
      <c r="K44" s="3064" t="str">
        <f>IF(SUM(K52,K58)=0,"NO",SUM(K52,K58))</f>
        <v>NO</v>
      </c>
    </row>
    <row r="45" spans="2:11" ht="18" customHeight="1" x14ac:dyDescent="0.2">
      <c r="B45" s="1240" t="s">
        <v>327</v>
      </c>
      <c r="C45" s="3075"/>
      <c r="D45" s="3076"/>
      <c r="E45" s="3076"/>
      <c r="F45" s="3076"/>
      <c r="G45" s="3076"/>
      <c r="H45" s="3076"/>
      <c r="I45" s="3076"/>
      <c r="J45" s="3076"/>
      <c r="K45" s="3089"/>
    </row>
    <row r="46" spans="2:11" ht="18" customHeight="1" x14ac:dyDescent="0.2">
      <c r="B46" s="1241" t="s">
        <v>328</v>
      </c>
      <c r="C46" s="3057">
        <f>IF(SUM(C47:C52)=0,"NO",SUM(C47:C52))</f>
        <v>213130.62000000005</v>
      </c>
      <c r="D46" s="3057" t="s">
        <v>97</v>
      </c>
      <c r="E46" s="615"/>
      <c r="F46" s="615"/>
      <c r="G46" s="615"/>
      <c r="H46" s="1938">
        <f>IF(SUM(H47:H51)=0,"NO",SUM(H47:H51))</f>
        <v>7856.7652223128243</v>
      </c>
      <c r="I46" s="1938">
        <f>IF(SUM(I47:I52)=0,"NO",SUM(I47:I52))</f>
        <v>46.052347883337113</v>
      </c>
      <c r="J46" s="1938">
        <f>IF(SUM(J47:J52)=0,"NO",SUM(J47:J52))</f>
        <v>0.25070226432477272</v>
      </c>
      <c r="K46" s="3064" t="str">
        <f>IF(SUM(K47:K52)=0,"NO",SUM(K47:K52))</f>
        <v>NO</v>
      </c>
    </row>
    <row r="47" spans="2:11" ht="18" customHeight="1" x14ac:dyDescent="0.2">
      <c r="B47" s="282" t="s">
        <v>243</v>
      </c>
      <c r="C47" s="699">
        <v>14501.229999999998</v>
      </c>
      <c r="D47" s="3057" t="s">
        <v>97</v>
      </c>
      <c r="E47" s="1938">
        <f t="shared" ref="E47:E52" si="17">IFERROR(H47*1000/$C47,"NA")</f>
        <v>61.06996144464987</v>
      </c>
      <c r="F47" s="1938">
        <f t="shared" ref="F47:G52" si="18">IFERROR(I47*1000000/$C47,"NA")</f>
        <v>1.0144050506323226</v>
      </c>
      <c r="G47" s="1938">
        <f t="shared" si="18"/>
        <v>0.62344386353039405</v>
      </c>
      <c r="H47" s="699">
        <v>885.5895569999999</v>
      </c>
      <c r="I47" s="699">
        <v>1.4710120952380954E-2</v>
      </c>
      <c r="J47" s="699">
        <v>9.0407028571428544E-3</v>
      </c>
      <c r="K47" s="2921" t="s">
        <v>199</v>
      </c>
    </row>
    <row r="48" spans="2:11" ht="18" customHeight="1" x14ac:dyDescent="0.2">
      <c r="B48" s="282" t="s">
        <v>245</v>
      </c>
      <c r="C48" s="699">
        <v>106.19000000000001</v>
      </c>
      <c r="D48" s="3057" t="s">
        <v>97</v>
      </c>
      <c r="E48" s="1938">
        <f t="shared" si="17"/>
        <v>92.611827855730297</v>
      </c>
      <c r="F48" s="1938">
        <f t="shared" si="18"/>
        <v>0.95238095238095222</v>
      </c>
      <c r="G48" s="1938">
        <f t="shared" si="18"/>
        <v>0.66666666666666663</v>
      </c>
      <c r="H48" s="699">
        <v>9.8344500000000004</v>
      </c>
      <c r="I48" s="699">
        <v>1.0113333333333333E-4</v>
      </c>
      <c r="J48" s="699">
        <v>7.0793333333333332E-5</v>
      </c>
      <c r="K48" s="2921" t="s">
        <v>199</v>
      </c>
    </row>
    <row r="49" spans="2:11" ht="18" customHeight="1" x14ac:dyDescent="0.2">
      <c r="B49" s="282" t="s">
        <v>246</v>
      </c>
      <c r="C49" s="699">
        <v>135275.40000000005</v>
      </c>
      <c r="D49" s="3057" t="s">
        <v>97</v>
      </c>
      <c r="E49" s="1938">
        <f t="shared" si="17"/>
        <v>51.460511041274479</v>
      </c>
      <c r="F49" s="1938">
        <f t="shared" si="18"/>
        <v>0.90909090909090895</v>
      </c>
      <c r="G49" s="1938">
        <f t="shared" si="18"/>
        <v>0.90909090909090884</v>
      </c>
      <c r="H49" s="699">
        <v>6961.3412153128247</v>
      </c>
      <c r="I49" s="699">
        <v>0.1229776363636364</v>
      </c>
      <c r="J49" s="699">
        <v>0.12297763636363639</v>
      </c>
      <c r="K49" s="2921" t="s">
        <v>199</v>
      </c>
    </row>
    <row r="50" spans="2:11" ht="18" customHeight="1" x14ac:dyDescent="0.2">
      <c r="B50" s="282" t="s">
        <v>247</v>
      </c>
      <c r="C50" s="699" t="s">
        <v>199</v>
      </c>
      <c r="D50" s="3057" t="s">
        <v>97</v>
      </c>
      <c r="E50" s="1938" t="str">
        <f t="shared" si="17"/>
        <v>NA</v>
      </c>
      <c r="F50" s="1938" t="str">
        <f t="shared" si="18"/>
        <v>NA</v>
      </c>
      <c r="G50" s="1938" t="str">
        <f t="shared" si="18"/>
        <v>NA</v>
      </c>
      <c r="H50" s="699" t="s">
        <v>199</v>
      </c>
      <c r="I50" s="699" t="s">
        <v>199</v>
      </c>
      <c r="J50" s="699" t="s">
        <v>199</v>
      </c>
      <c r="K50" s="2921" t="s">
        <v>199</v>
      </c>
    </row>
    <row r="51" spans="2:11" ht="18" customHeight="1" x14ac:dyDescent="0.2">
      <c r="B51" s="282" t="s">
        <v>320</v>
      </c>
      <c r="C51" s="699" t="s">
        <v>199</v>
      </c>
      <c r="D51" s="3057" t="s">
        <v>97</v>
      </c>
      <c r="E51" s="1938" t="str">
        <f t="shared" si="17"/>
        <v>NA</v>
      </c>
      <c r="F51" s="1938" t="str">
        <f t="shared" si="18"/>
        <v>NA</v>
      </c>
      <c r="G51" s="1938" t="str">
        <f t="shared" si="18"/>
        <v>NA</v>
      </c>
      <c r="H51" s="699" t="s">
        <v>199</v>
      </c>
      <c r="I51" s="699" t="s">
        <v>199</v>
      </c>
      <c r="J51" s="699" t="s">
        <v>199</v>
      </c>
      <c r="K51" s="2921" t="s">
        <v>199</v>
      </c>
    </row>
    <row r="52" spans="2:11" ht="18" customHeight="1" x14ac:dyDescent="0.2">
      <c r="B52" s="282" t="s">
        <v>323</v>
      </c>
      <c r="C52" s="699">
        <v>63247.799999999996</v>
      </c>
      <c r="D52" s="3057" t="s">
        <v>97</v>
      </c>
      <c r="E52" s="1938">
        <f t="shared" si="17"/>
        <v>77.504818246595818</v>
      </c>
      <c r="F52" s="1938">
        <f t="shared" si="18"/>
        <v>725.94713164233008</v>
      </c>
      <c r="G52" s="1938">
        <f t="shared" si="18"/>
        <v>1.875371661475342</v>
      </c>
      <c r="H52" s="699">
        <v>4902.0092434970429</v>
      </c>
      <c r="I52" s="699">
        <v>45.914558992687759</v>
      </c>
      <c r="J52" s="699">
        <v>0.11861313177066013</v>
      </c>
      <c r="K52" s="2921" t="s">
        <v>199</v>
      </c>
    </row>
    <row r="53" spans="2:11" ht="18" customHeight="1" x14ac:dyDescent="0.2">
      <c r="B53" s="1241" t="s">
        <v>329</v>
      </c>
      <c r="C53" s="3057">
        <f>IF(SUM(C54:C58)=0,"NO",SUM(C54:C58))</f>
        <v>4092.4613110637929</v>
      </c>
      <c r="D53" s="3057" t="s">
        <v>97</v>
      </c>
      <c r="E53" s="615"/>
      <c r="F53" s="615"/>
      <c r="G53" s="615"/>
      <c r="H53" s="3057">
        <f>IF(SUM(H54:H57)=0,"NO",SUM(H54:H57))</f>
        <v>280.17717836678474</v>
      </c>
      <c r="I53" s="3057">
        <f>IF(SUM(I54:I58)=0,"NO",SUM(I54:I58))</f>
        <v>0.73954802046308421</v>
      </c>
      <c r="J53" s="3057">
        <f>IF(SUM(J54:J58)=0,"NO",SUM(J54:J58))</f>
        <v>1.6608468968708147E-3</v>
      </c>
      <c r="K53" s="2931"/>
    </row>
    <row r="54" spans="2:11" ht="18" customHeight="1" x14ac:dyDescent="0.2">
      <c r="B54" s="282" t="s">
        <v>243</v>
      </c>
      <c r="C54" s="699">
        <v>4087.2738387930758</v>
      </c>
      <c r="D54" s="3057" t="s">
        <v>97</v>
      </c>
      <c r="E54" s="1938">
        <f t="shared" ref="E54:E58" si="19">IFERROR(H54*1000/$C54,"NA")</f>
        <v>68.548668236410066</v>
      </c>
      <c r="F54" s="1938">
        <f t="shared" ref="F54:G58" si="20">IFERROR(I54*1000000/$C54,"NA")</f>
        <v>180</v>
      </c>
      <c r="G54" s="1938">
        <f t="shared" si="20"/>
        <v>0.39999999999999991</v>
      </c>
      <c r="H54" s="699">
        <v>280.17717836678474</v>
      </c>
      <c r="I54" s="699">
        <v>0.73570929098275362</v>
      </c>
      <c r="J54" s="699">
        <v>1.6349095355172299E-3</v>
      </c>
      <c r="K54" s="2931"/>
    </row>
    <row r="55" spans="2:11" ht="18" customHeight="1" x14ac:dyDescent="0.2">
      <c r="B55" s="282" t="s">
        <v>245</v>
      </c>
      <c r="C55" s="699" t="s">
        <v>199</v>
      </c>
      <c r="D55" s="3057" t="s">
        <v>97</v>
      </c>
      <c r="E55" s="1938" t="str">
        <f t="shared" si="19"/>
        <v>NA</v>
      </c>
      <c r="F55" s="1938" t="str">
        <f t="shared" si="20"/>
        <v>NA</v>
      </c>
      <c r="G55" s="1938" t="str">
        <f t="shared" si="20"/>
        <v>NA</v>
      </c>
      <c r="H55" s="699" t="s">
        <v>199</v>
      </c>
      <c r="I55" s="699" t="s">
        <v>199</v>
      </c>
      <c r="J55" s="699" t="s">
        <v>199</v>
      </c>
      <c r="K55" s="2931"/>
    </row>
    <row r="56" spans="2:11" ht="18" customHeight="1" x14ac:dyDescent="0.2">
      <c r="B56" s="282" t="s">
        <v>246</v>
      </c>
      <c r="C56" s="699" t="s">
        <v>199</v>
      </c>
      <c r="D56" s="3057" t="s">
        <v>97</v>
      </c>
      <c r="E56" s="1938" t="str">
        <f t="shared" si="19"/>
        <v>NA</v>
      </c>
      <c r="F56" s="1938" t="str">
        <f t="shared" si="20"/>
        <v>NA</v>
      </c>
      <c r="G56" s="1938" t="str">
        <f t="shared" si="20"/>
        <v>NA</v>
      </c>
      <c r="H56" s="699" t="s">
        <v>199</v>
      </c>
      <c r="I56" s="699" t="s">
        <v>199</v>
      </c>
      <c r="J56" s="699" t="s">
        <v>199</v>
      </c>
      <c r="K56" s="2931"/>
    </row>
    <row r="57" spans="2:11" ht="18" customHeight="1" x14ac:dyDescent="0.2">
      <c r="B57" s="282" t="s">
        <v>247</v>
      </c>
      <c r="C57" s="699" t="s">
        <v>199</v>
      </c>
      <c r="D57" s="3057" t="s">
        <v>97</v>
      </c>
      <c r="E57" s="1938" t="str">
        <f t="shared" si="19"/>
        <v>NA</v>
      </c>
      <c r="F57" s="1938" t="str">
        <f t="shared" si="20"/>
        <v>NA</v>
      </c>
      <c r="G57" s="1938" t="str">
        <f t="shared" si="20"/>
        <v>NA</v>
      </c>
      <c r="H57" s="699" t="s">
        <v>199</v>
      </c>
      <c r="I57" s="699" t="s">
        <v>199</v>
      </c>
      <c r="J57" s="699" t="s">
        <v>199</v>
      </c>
      <c r="K57" s="2931"/>
    </row>
    <row r="58" spans="2:11" ht="18" customHeight="1" x14ac:dyDescent="0.2">
      <c r="B58" s="282" t="s">
        <v>323</v>
      </c>
      <c r="C58" s="699">
        <v>5.1874722707169685</v>
      </c>
      <c r="D58" s="3057" t="s">
        <v>97</v>
      </c>
      <c r="E58" s="1938">
        <f t="shared" si="19"/>
        <v>67.260000000000005</v>
      </c>
      <c r="F58" s="1938">
        <f t="shared" si="20"/>
        <v>740</v>
      </c>
      <c r="G58" s="1938">
        <f t="shared" si="20"/>
        <v>5</v>
      </c>
      <c r="H58" s="699">
        <v>0.34890938492842333</v>
      </c>
      <c r="I58" s="699">
        <v>3.8387294803305565E-3</v>
      </c>
      <c r="J58" s="699">
        <v>2.5937361353584841E-5</v>
      </c>
      <c r="K58" s="2931"/>
    </row>
    <row r="59" spans="2:11" ht="18" customHeight="1" x14ac:dyDescent="0.2">
      <c r="B59" s="1244" t="s">
        <v>330</v>
      </c>
      <c r="C59" s="3057">
        <f>IF(SUM(C60:C65)=0,"NO",SUM(C60:C65))</f>
        <v>84876.599999999991</v>
      </c>
      <c r="D59" s="3057" t="s">
        <v>97</v>
      </c>
      <c r="E59" s="615"/>
      <c r="F59" s="615"/>
      <c r="G59" s="615"/>
      <c r="H59" s="1938">
        <f>IF(SUM(H60:H64)=0,"NO",SUM(H60:H64))</f>
        <v>5903.5957151482526</v>
      </c>
      <c r="I59" s="1938">
        <f>IF(SUM(I60:I65)=0,"NO",SUM(I60:I65))</f>
        <v>0.5158429506493506</v>
      </c>
      <c r="J59" s="1938">
        <f>IF(SUM(J60:J65)=0,"NO",SUM(J60:J65))</f>
        <v>0.30660421731601728</v>
      </c>
      <c r="K59" s="3064" t="str">
        <f>IF(SUM(K60:K65)=0,"NO",SUM(K60:K65))</f>
        <v>NO</v>
      </c>
    </row>
    <row r="60" spans="2:11" ht="18" customHeight="1" x14ac:dyDescent="0.2">
      <c r="B60" s="282" t="s">
        <v>243</v>
      </c>
      <c r="C60" s="1938">
        <f>IF(SUM(C67,C74:C77,C84:C87)=0,"NO",SUM(C67,C74:C77,C84:C87))</f>
        <v>84777.999999999985</v>
      </c>
      <c r="D60" s="3057" t="s">
        <v>97</v>
      </c>
      <c r="E60" s="1938">
        <f t="shared" ref="E60:E65" si="21">IFERROR(H60*1000/$C60,"NA")</f>
        <v>69.576145934086696</v>
      </c>
      <c r="F60" s="1938">
        <f t="shared" ref="F60:G65" si="22">IFERROR(I60*1000000/$C60,"NA")</f>
        <v>6.0835749166731263</v>
      </c>
      <c r="G60" s="1938">
        <f t="shared" si="22"/>
        <v>3.6154967202856994</v>
      </c>
      <c r="H60" s="1938">
        <f>IF(SUM(H67,H74:H77,H84:H87)=0,"NO",SUM(H67,H74:H77,H84:H87))</f>
        <v>5898.5265000000009</v>
      </c>
      <c r="I60" s="1938">
        <f>IF(SUM(I67,I74:I77,I84:I87)=0,"NO",SUM(I67,I74:I77,I84:I87))</f>
        <v>0.51575331428571425</v>
      </c>
      <c r="J60" s="1938">
        <f>IF(SUM(J67,J74:J77,J84:J87)=0,"NO",SUM(J67,J74:J77,J84:J87))</f>
        <v>0.30651458095238093</v>
      </c>
      <c r="K60" s="3064" t="str">
        <f>IF(SUM(K67,K74:K77,K84:K87)=0,"NO",SUM(K67,K74:K77,K84:K87))</f>
        <v>NO</v>
      </c>
    </row>
    <row r="61" spans="2:11" ht="18" customHeight="1" x14ac:dyDescent="0.2">
      <c r="B61" s="282" t="s">
        <v>245</v>
      </c>
      <c r="C61" s="1938" t="str">
        <f>IF(SUM(C68)=0,"NO",SUM(C68))</f>
        <v>NO</v>
      </c>
      <c r="D61" s="3057" t="s">
        <v>97</v>
      </c>
      <c r="E61" s="1938" t="str">
        <f t="shared" si="21"/>
        <v>NA</v>
      </c>
      <c r="F61" s="1938" t="str">
        <f t="shared" si="22"/>
        <v>NA</v>
      </c>
      <c r="G61" s="1938" t="str">
        <f t="shared" si="22"/>
        <v>NA</v>
      </c>
      <c r="H61" s="1938" t="str">
        <f>IF(SUM(H68)=0,"NO",SUM(H68))</f>
        <v>NO</v>
      </c>
      <c r="I61" s="1938" t="str">
        <f>IF(SUM(I68)=0,"NO",SUM(I68))</f>
        <v>NO</v>
      </c>
      <c r="J61" s="1938" t="str">
        <f>IF(SUM(J68)=0,"NO",SUM(J68))</f>
        <v>NO</v>
      </c>
      <c r="K61" s="3064" t="str">
        <f>IF(SUM(K68)=0,"NO",SUM(K68))</f>
        <v>NO</v>
      </c>
    </row>
    <row r="62" spans="2:11" ht="18" customHeight="1" x14ac:dyDescent="0.2">
      <c r="B62" s="282" t="s">
        <v>246</v>
      </c>
      <c r="C62" s="1938">
        <f>IF(SUM(C69,C79,C89)=0,"NO",SUM(C69,C79,C89))</f>
        <v>98.600000000000037</v>
      </c>
      <c r="D62" s="3057" t="s">
        <v>97</v>
      </c>
      <c r="E62" s="1938">
        <f t="shared" si="21"/>
        <v>51.411918339265</v>
      </c>
      <c r="F62" s="1938">
        <f t="shared" si="22"/>
        <v>0.90909090909090906</v>
      </c>
      <c r="G62" s="1938">
        <f t="shared" si="22"/>
        <v>0.90909090909090906</v>
      </c>
      <c r="H62" s="1938">
        <f>IF(SUM(H69,H79,H89)=0,"NO",SUM(H69,H79,H89))</f>
        <v>5.0692151482515309</v>
      </c>
      <c r="I62" s="1938">
        <f>IF(SUM(I69,I79,I89)=0,"NO",SUM(I69,I79,I89))</f>
        <v>8.9636363636363663E-5</v>
      </c>
      <c r="J62" s="1938">
        <f>IF(SUM(J69,J79,J89)=0,"NO",SUM(J69,J79,J89))</f>
        <v>8.9636363636363663E-5</v>
      </c>
      <c r="K62" s="3064" t="str">
        <f>IF(SUM(K69,K79,K89)=0,"NO",SUM(K69,K79,K89))</f>
        <v>NO</v>
      </c>
    </row>
    <row r="63" spans="2:11" ht="18" customHeight="1" x14ac:dyDescent="0.2">
      <c r="B63" s="282" t="s">
        <v>247</v>
      </c>
      <c r="C63" s="1938" t="str">
        <f>IF(SUM(C70,C81,C91)=0,"NO",SUM(C70,C81,C91))</f>
        <v>NO</v>
      </c>
      <c r="D63" s="3057"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4" t="str">
        <f>IF(SUM(K70,K81,K91)=0,"NO",SUM(K70,K81,K91))</f>
        <v>NO</v>
      </c>
    </row>
    <row r="64" spans="2:11" ht="18" customHeight="1" x14ac:dyDescent="0.2">
      <c r="B64" s="282" t="s">
        <v>320</v>
      </c>
      <c r="C64" s="1938" t="str">
        <f>IF(SUM(C71)=0,"NO",SUM(C71))</f>
        <v>NO</v>
      </c>
      <c r="D64" s="3057" t="s">
        <v>97</v>
      </c>
      <c r="E64" s="1938" t="str">
        <f t="shared" si="21"/>
        <v>NA</v>
      </c>
      <c r="F64" s="1938" t="str">
        <f t="shared" si="22"/>
        <v>NA</v>
      </c>
      <c r="G64" s="1938" t="str">
        <f t="shared" si="22"/>
        <v>NA</v>
      </c>
      <c r="H64" s="1938" t="str">
        <f>IF(SUM(H71)=0,"NO",SUM(H71))</f>
        <v>NO</v>
      </c>
      <c r="I64" s="1938" t="str">
        <f>IF(SUM(I71)=0,"NO",SUM(I71))</f>
        <v>NO</v>
      </c>
      <c r="J64" s="1938" t="str">
        <f>IF(SUM(J71)=0,"NO",SUM(J71))</f>
        <v>NO</v>
      </c>
      <c r="K64" s="3064" t="str">
        <f>IF(SUM(K71)=0,"NO",SUM(K71))</f>
        <v>NO</v>
      </c>
    </row>
    <row r="65" spans="2:11" ht="18" customHeight="1" x14ac:dyDescent="0.2">
      <c r="B65" s="282" t="s">
        <v>323</v>
      </c>
      <c r="C65" s="1938" t="str">
        <f>IF(SUM(C72,C80,C90)=0,"NO",SUM(C72,C80,C90))</f>
        <v>NO</v>
      </c>
      <c r="D65" s="3057"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4" t="str">
        <f>IF(SUM(K72,K80,K90)=0,"NO",SUM(K72,K80,K90))</f>
        <v>NO</v>
      </c>
    </row>
    <row r="66" spans="2:11" ht="18" customHeight="1" x14ac:dyDescent="0.2">
      <c r="B66" s="1245" t="s">
        <v>331</v>
      </c>
      <c r="C66" s="1938">
        <f>IF(SUM(C67:C72)=0,"NO",SUM(C67:C72))</f>
        <v>84876.599999999991</v>
      </c>
      <c r="D66" s="3057" t="s">
        <v>97</v>
      </c>
      <c r="E66" s="2135"/>
      <c r="F66" s="2135"/>
      <c r="G66" s="2135"/>
      <c r="H66" s="1938">
        <f>IF(SUM(H67:H71)=0,"NO",SUM(H67:H71))</f>
        <v>5903.5957151482526</v>
      </c>
      <c r="I66" s="1938">
        <f>IF(SUM(I67:I72)=0,"NO",SUM(I67:I72))</f>
        <v>0.5158429506493506</v>
      </c>
      <c r="J66" s="1938">
        <f>IF(SUM(J67:J72)=0,"NO",SUM(J67:J72))</f>
        <v>0.30660421731601728</v>
      </c>
      <c r="K66" s="3064" t="str">
        <f>IF(SUM(K67:K72)=0,"NO",SUM(K67:K72))</f>
        <v>NO</v>
      </c>
    </row>
    <row r="67" spans="2:11" ht="18" customHeight="1" x14ac:dyDescent="0.2">
      <c r="B67" s="282" t="s">
        <v>243</v>
      </c>
      <c r="C67" s="699">
        <v>84777.999999999985</v>
      </c>
      <c r="D67" s="3057" t="s">
        <v>97</v>
      </c>
      <c r="E67" s="1938">
        <f t="shared" ref="E67:E72" si="23">IFERROR(H67*1000/$C67,"NA")</f>
        <v>69.576145934086696</v>
      </c>
      <c r="F67" s="1938">
        <f t="shared" ref="F67:G72" si="24">IFERROR(I67*1000000/$C67,"NA")</f>
        <v>6.0835749166731263</v>
      </c>
      <c r="G67" s="1938">
        <f t="shared" si="24"/>
        <v>3.6154967202856994</v>
      </c>
      <c r="H67" s="699">
        <v>5898.5265000000009</v>
      </c>
      <c r="I67" s="699">
        <v>0.51575331428571425</v>
      </c>
      <c r="J67" s="699">
        <v>0.30651458095238093</v>
      </c>
      <c r="K67" s="2921" t="s">
        <v>199</v>
      </c>
    </row>
    <row r="68" spans="2:11" ht="18" customHeight="1" x14ac:dyDescent="0.2">
      <c r="B68" s="282" t="s">
        <v>245</v>
      </c>
      <c r="C68" s="699" t="s">
        <v>199</v>
      </c>
      <c r="D68" s="3057" t="s">
        <v>97</v>
      </c>
      <c r="E68" s="1938" t="str">
        <f t="shared" si="23"/>
        <v>NA</v>
      </c>
      <c r="F68" s="1938" t="str">
        <f t="shared" si="24"/>
        <v>NA</v>
      </c>
      <c r="G68" s="1938" t="str">
        <f t="shared" si="24"/>
        <v>NA</v>
      </c>
      <c r="H68" s="699" t="s">
        <v>199</v>
      </c>
      <c r="I68" s="699" t="s">
        <v>199</v>
      </c>
      <c r="J68" s="699" t="s">
        <v>199</v>
      </c>
      <c r="K68" s="2921" t="s">
        <v>199</v>
      </c>
    </row>
    <row r="69" spans="2:11" ht="18" customHeight="1" x14ac:dyDescent="0.2">
      <c r="B69" s="282" t="s">
        <v>246</v>
      </c>
      <c r="C69" s="699">
        <v>98.600000000000037</v>
      </c>
      <c r="D69" s="3057" t="s">
        <v>97</v>
      </c>
      <c r="E69" s="1938">
        <f t="shared" si="23"/>
        <v>51.411918339265</v>
      </c>
      <c r="F69" s="1938">
        <f t="shared" si="24"/>
        <v>0.90909090909090906</v>
      </c>
      <c r="G69" s="1938">
        <f t="shared" si="24"/>
        <v>0.90909090909090906</v>
      </c>
      <c r="H69" s="699">
        <v>5.0692151482515309</v>
      </c>
      <c r="I69" s="699">
        <v>8.9636363636363663E-5</v>
      </c>
      <c r="J69" s="699">
        <v>8.9636363636363663E-5</v>
      </c>
      <c r="K69" s="2921" t="s">
        <v>199</v>
      </c>
    </row>
    <row r="70" spans="2:11" ht="18" customHeight="1" x14ac:dyDescent="0.2">
      <c r="B70" s="282" t="s">
        <v>247</v>
      </c>
      <c r="C70" s="699" t="s">
        <v>199</v>
      </c>
      <c r="D70" s="3057" t="s">
        <v>97</v>
      </c>
      <c r="E70" s="1938" t="str">
        <f t="shared" si="23"/>
        <v>NA</v>
      </c>
      <c r="F70" s="1938" t="str">
        <f t="shared" si="24"/>
        <v>NA</v>
      </c>
      <c r="G70" s="1938" t="str">
        <f t="shared" si="24"/>
        <v>NA</v>
      </c>
      <c r="H70" s="699" t="s">
        <v>199</v>
      </c>
      <c r="I70" s="699" t="s">
        <v>199</v>
      </c>
      <c r="J70" s="699" t="s">
        <v>199</v>
      </c>
      <c r="K70" s="2921" t="s">
        <v>199</v>
      </c>
    </row>
    <row r="71" spans="2:11" ht="18" customHeight="1" x14ac:dyDescent="0.2">
      <c r="B71" s="282" t="s">
        <v>320</v>
      </c>
      <c r="C71" s="699" t="s">
        <v>199</v>
      </c>
      <c r="D71" s="3057" t="s">
        <v>97</v>
      </c>
      <c r="E71" s="1938" t="str">
        <f t="shared" si="23"/>
        <v>NA</v>
      </c>
      <c r="F71" s="1938" t="str">
        <f t="shared" si="24"/>
        <v>NA</v>
      </c>
      <c r="G71" s="1938" t="str">
        <f t="shared" si="24"/>
        <v>NA</v>
      </c>
      <c r="H71" s="699" t="s">
        <v>199</v>
      </c>
      <c r="I71" s="699" t="s">
        <v>199</v>
      </c>
      <c r="J71" s="699" t="s">
        <v>199</v>
      </c>
      <c r="K71" s="2921" t="s">
        <v>199</v>
      </c>
    </row>
    <row r="72" spans="2:11" ht="18" customHeight="1" x14ac:dyDescent="0.2">
      <c r="B72" s="282" t="s">
        <v>323</v>
      </c>
      <c r="C72" s="699" t="s">
        <v>199</v>
      </c>
      <c r="D72" s="3057" t="s">
        <v>97</v>
      </c>
      <c r="E72" s="1938" t="str">
        <f t="shared" si="23"/>
        <v>NA</v>
      </c>
      <c r="F72" s="1938" t="str">
        <f t="shared" si="24"/>
        <v>NA</v>
      </c>
      <c r="G72" s="1938" t="str">
        <f t="shared" si="24"/>
        <v>NA</v>
      </c>
      <c r="H72" s="699" t="s">
        <v>199</v>
      </c>
      <c r="I72" s="699" t="s">
        <v>199</v>
      </c>
      <c r="J72" s="699" t="s">
        <v>199</v>
      </c>
      <c r="K72" s="2921" t="s">
        <v>199</v>
      </c>
    </row>
    <row r="73" spans="2:11" ht="18" customHeight="1" x14ac:dyDescent="0.2">
      <c r="B73" s="1245" t="s">
        <v>332</v>
      </c>
      <c r="C73" s="1938" t="str">
        <f>IF(SUM(C74:C77,C79:C81)=0,"NO",SUM(C74:C77,C79:C81))</f>
        <v>NO</v>
      </c>
      <c r="D73" s="3057" t="s">
        <v>97</v>
      </c>
      <c r="E73" s="2135"/>
      <c r="F73" s="2135"/>
      <c r="G73" s="2135"/>
      <c r="H73" s="1938" t="str">
        <f>IF(SUM(H74:H77,H79,H81)=0,"IE",SUM(H74:H77,H79,H81))</f>
        <v>IE</v>
      </c>
      <c r="I73" s="1938" t="str">
        <f>IF(SUM(I74:I77,I79,I81)=0,"IE",SUM(I74:I77,I79,I81))</f>
        <v>IE</v>
      </c>
      <c r="J73" s="1938" t="str">
        <f>IF(SUM(J74:J77,J79,J81)=0,"IE",SUM(J74:J77,J79,J81))</f>
        <v>IE</v>
      </c>
      <c r="K73" s="2931"/>
    </row>
    <row r="74" spans="2:11" ht="18" customHeight="1" x14ac:dyDescent="0.2">
      <c r="B74" s="282" t="s">
        <v>281</v>
      </c>
      <c r="C74" s="699" t="s">
        <v>274</v>
      </c>
      <c r="D74" s="3057" t="s">
        <v>97</v>
      </c>
      <c r="E74" s="1938" t="str">
        <f t="shared" ref="E74:E80" si="25">IFERROR(H74*1000/$C74,"NA")</f>
        <v>NA</v>
      </c>
      <c r="F74" s="1938" t="str">
        <f t="shared" ref="F74:G80" si="26">IFERROR(I74*1000000/$C74,"NA")</f>
        <v>NA</v>
      </c>
      <c r="G74" s="1938" t="str">
        <f t="shared" si="26"/>
        <v>NA</v>
      </c>
      <c r="H74" s="699" t="s">
        <v>274</v>
      </c>
      <c r="I74" s="699" t="s">
        <v>274</v>
      </c>
      <c r="J74" s="699" t="s">
        <v>274</v>
      </c>
      <c r="K74" s="2931"/>
    </row>
    <row r="75" spans="2:11" ht="18" customHeight="1" x14ac:dyDescent="0.2">
      <c r="B75" s="282" t="s">
        <v>282</v>
      </c>
      <c r="C75" s="699" t="s">
        <v>274</v>
      </c>
      <c r="D75" s="3057" t="s">
        <v>97</v>
      </c>
      <c r="E75" s="1938" t="str">
        <f t="shared" si="25"/>
        <v>NA</v>
      </c>
      <c r="F75" s="1938" t="str">
        <f t="shared" si="26"/>
        <v>NA</v>
      </c>
      <c r="G75" s="1938" t="str">
        <f t="shared" si="26"/>
        <v>NA</v>
      </c>
      <c r="H75" s="699" t="s">
        <v>274</v>
      </c>
      <c r="I75" s="699" t="s">
        <v>274</v>
      </c>
      <c r="J75" s="699" t="s">
        <v>274</v>
      </c>
      <c r="K75" s="2931"/>
    </row>
    <row r="76" spans="2:11" ht="18" customHeight="1" x14ac:dyDescent="0.2">
      <c r="B76" s="282" t="s">
        <v>283</v>
      </c>
      <c r="C76" s="699" t="s">
        <v>274</v>
      </c>
      <c r="D76" s="3057" t="s">
        <v>97</v>
      </c>
      <c r="E76" s="1938" t="str">
        <f t="shared" si="25"/>
        <v>NA</v>
      </c>
      <c r="F76" s="1938" t="str">
        <f t="shared" si="26"/>
        <v>NA</v>
      </c>
      <c r="G76" s="1938" t="str">
        <f t="shared" si="26"/>
        <v>NA</v>
      </c>
      <c r="H76" s="699" t="s">
        <v>274</v>
      </c>
      <c r="I76" s="699" t="s">
        <v>274</v>
      </c>
      <c r="J76" s="699" t="s">
        <v>274</v>
      </c>
      <c r="K76" s="2931"/>
    </row>
    <row r="77" spans="2:11" ht="18" customHeight="1" x14ac:dyDescent="0.2">
      <c r="B77" s="282" t="s">
        <v>284</v>
      </c>
      <c r="C77" s="1938" t="str">
        <f>C78</f>
        <v>NO</v>
      </c>
      <c r="D77" s="3057" t="s">
        <v>97</v>
      </c>
      <c r="E77" s="1938" t="str">
        <f t="shared" si="25"/>
        <v>NA</v>
      </c>
      <c r="F77" s="1938" t="str">
        <f t="shared" si="26"/>
        <v>NA</v>
      </c>
      <c r="G77" s="1938" t="str">
        <f t="shared" si="26"/>
        <v>NA</v>
      </c>
      <c r="H77" s="1938" t="str">
        <f>H78</f>
        <v>NO</v>
      </c>
      <c r="I77" s="1938" t="str">
        <f>I78</f>
        <v>NO</v>
      </c>
      <c r="J77" s="1938" t="str">
        <f>J78</f>
        <v>NO</v>
      </c>
      <c r="K77" s="2931"/>
    </row>
    <row r="78" spans="2:11" ht="18" customHeight="1" x14ac:dyDescent="0.2">
      <c r="B78" s="3085" t="s">
        <v>205</v>
      </c>
      <c r="C78" s="699" t="s">
        <v>199</v>
      </c>
      <c r="D78" s="3057" t="s">
        <v>97</v>
      </c>
      <c r="E78" s="1938" t="str">
        <f t="shared" si="25"/>
        <v>NA</v>
      </c>
      <c r="F78" s="1938" t="str">
        <f t="shared" si="26"/>
        <v>NA</v>
      </c>
      <c r="G78" s="1938" t="str">
        <f t="shared" si="26"/>
        <v>NA</v>
      </c>
      <c r="H78" s="699" t="s">
        <v>199</v>
      </c>
      <c r="I78" s="699" t="s">
        <v>199</v>
      </c>
      <c r="J78" s="699" t="s">
        <v>199</v>
      </c>
      <c r="K78" s="2931"/>
    </row>
    <row r="79" spans="2:11" ht="18" customHeight="1" x14ac:dyDescent="0.2">
      <c r="B79" s="282" t="s">
        <v>246</v>
      </c>
      <c r="C79" s="699" t="s">
        <v>274</v>
      </c>
      <c r="D79" s="3057" t="s">
        <v>97</v>
      </c>
      <c r="E79" s="1938" t="str">
        <f t="shared" si="25"/>
        <v>NA</v>
      </c>
      <c r="F79" s="1938" t="str">
        <f t="shared" si="26"/>
        <v>NA</v>
      </c>
      <c r="G79" s="1938" t="str">
        <f t="shared" si="26"/>
        <v>NA</v>
      </c>
      <c r="H79" s="699" t="s">
        <v>274</v>
      </c>
      <c r="I79" s="699" t="s">
        <v>274</v>
      </c>
      <c r="J79" s="699" t="s">
        <v>274</v>
      </c>
      <c r="K79" s="2931"/>
    </row>
    <row r="80" spans="2:11" ht="18" customHeight="1" x14ac:dyDescent="0.2">
      <c r="B80" s="282" t="s">
        <v>323</v>
      </c>
      <c r="C80" s="699" t="s">
        <v>199</v>
      </c>
      <c r="D80" s="3057" t="s">
        <v>97</v>
      </c>
      <c r="E80" s="1938" t="str">
        <f t="shared" si="25"/>
        <v>NA</v>
      </c>
      <c r="F80" s="1938" t="str">
        <f t="shared" si="26"/>
        <v>NA</v>
      </c>
      <c r="G80" s="1938" t="str">
        <f t="shared" si="26"/>
        <v>NA</v>
      </c>
      <c r="H80" s="699" t="s">
        <v>199</v>
      </c>
      <c r="I80" s="699" t="s">
        <v>199</v>
      </c>
      <c r="J80" s="699" t="s">
        <v>199</v>
      </c>
      <c r="K80" s="2931"/>
    </row>
    <row r="81" spans="2:11" ht="18" customHeight="1" x14ac:dyDescent="0.2">
      <c r="B81" s="282" t="s">
        <v>333</v>
      </c>
      <c r="C81" s="1938" t="str">
        <f>C82</f>
        <v>NO</v>
      </c>
      <c r="D81" s="3057" t="s">
        <v>97</v>
      </c>
      <c r="E81" s="2135"/>
      <c r="F81" s="2135"/>
      <c r="G81" s="2135"/>
      <c r="H81" s="1938" t="str">
        <f>H82</f>
        <v>NO</v>
      </c>
      <c r="I81" s="1938" t="str">
        <f>I82</f>
        <v>NO</v>
      </c>
      <c r="J81" s="1938" t="str">
        <f>J82</f>
        <v>NO</v>
      </c>
      <c r="K81" s="2931"/>
    </row>
    <row r="82" spans="2:11" ht="18" customHeight="1" x14ac:dyDescent="0.2">
      <c r="B82" s="3085" t="s">
        <v>205</v>
      </c>
      <c r="C82" s="699" t="s">
        <v>199</v>
      </c>
      <c r="D82" s="3057" t="s">
        <v>97</v>
      </c>
      <c r="E82" s="1938" t="str">
        <f t="shared" ref="E82" si="27">IFERROR(H82*1000/$C82,"NA")</f>
        <v>NA</v>
      </c>
      <c r="F82" s="1938" t="str">
        <f>IFERROR(I82*1000000/$C82,"NA")</f>
        <v>NA</v>
      </c>
      <c r="G82" s="1938" t="str">
        <f>IFERROR(J82*1000000/$C82,"NA")</f>
        <v>NA</v>
      </c>
      <c r="H82" s="699" t="s">
        <v>199</v>
      </c>
      <c r="I82" s="699" t="s">
        <v>199</v>
      </c>
      <c r="J82" s="699" t="s">
        <v>199</v>
      </c>
      <c r="K82" s="2931"/>
    </row>
    <row r="83" spans="2:11" ht="18" customHeight="1" x14ac:dyDescent="0.2">
      <c r="B83" s="1245" t="s">
        <v>334</v>
      </c>
      <c r="C83" s="1938" t="str">
        <f>IF(SUM(C84:C87,C89:C91)=0,"NO",SUM(C84:C87,C89:C91))</f>
        <v>NO</v>
      </c>
      <c r="D83" s="3057" t="s">
        <v>97</v>
      </c>
      <c r="E83" s="2135"/>
      <c r="F83" s="2135"/>
      <c r="G83" s="2135"/>
      <c r="H83" s="1938" t="str">
        <f>IF(SUM(H84:H87,H89,H91)=0,"IE",SUM(H84:H87,H89,H91))</f>
        <v>IE</v>
      </c>
      <c r="I83" s="1938" t="str">
        <f>IF(SUM(I84:I87,I89,I91)=0,"IE",SUM(I84:I87,I89,I91))</f>
        <v>IE</v>
      </c>
      <c r="J83" s="1938" t="str">
        <f>IF(SUM(J84:J87,J89,J91)=0,"IE",SUM(J84:J87,J89,J91))</f>
        <v>IE</v>
      </c>
      <c r="K83" s="2931"/>
    </row>
    <row r="84" spans="2:11" ht="18" customHeight="1" x14ac:dyDescent="0.2">
      <c r="B84" s="282" t="s">
        <v>306</v>
      </c>
      <c r="C84" s="699" t="s">
        <v>274</v>
      </c>
      <c r="D84" s="3057" t="s">
        <v>97</v>
      </c>
      <c r="E84" s="1938" t="str">
        <f t="shared" ref="E84:E86" si="28">IFERROR(H84*1000/$C84,"NA")</f>
        <v>NA</v>
      </c>
      <c r="F84" s="1938" t="str">
        <f t="shared" ref="F84:G86" si="29">IFERROR(I84*1000000/$C84,"NA")</f>
        <v>NA</v>
      </c>
      <c r="G84" s="1938" t="str">
        <f t="shared" si="29"/>
        <v>NA</v>
      </c>
      <c r="H84" s="699" t="s">
        <v>274</v>
      </c>
      <c r="I84" s="699" t="s">
        <v>274</v>
      </c>
      <c r="J84" s="699" t="s">
        <v>274</v>
      </c>
      <c r="K84" s="2931"/>
    </row>
    <row r="85" spans="2:11" ht="18" customHeight="1" x14ac:dyDescent="0.2">
      <c r="B85" s="282" t="s">
        <v>307</v>
      </c>
      <c r="C85" s="699" t="s">
        <v>274</v>
      </c>
      <c r="D85" s="3057" t="s">
        <v>97</v>
      </c>
      <c r="E85" s="1938" t="str">
        <f t="shared" si="28"/>
        <v>NA</v>
      </c>
      <c r="F85" s="1938" t="str">
        <f t="shared" si="29"/>
        <v>NA</v>
      </c>
      <c r="G85" s="1938" t="str">
        <f t="shared" si="29"/>
        <v>NA</v>
      </c>
      <c r="H85" s="699" t="s">
        <v>274</v>
      </c>
      <c r="I85" s="699" t="s">
        <v>274</v>
      </c>
      <c r="J85" s="699" t="s">
        <v>274</v>
      </c>
      <c r="K85" s="2931"/>
    </row>
    <row r="86" spans="2:11" ht="18" customHeight="1" x14ac:dyDescent="0.2">
      <c r="B86" s="282" t="s">
        <v>281</v>
      </c>
      <c r="C86" s="699" t="s">
        <v>274</v>
      </c>
      <c r="D86" s="3057" t="s">
        <v>97</v>
      </c>
      <c r="E86" s="1938" t="str">
        <f t="shared" si="28"/>
        <v>NA</v>
      </c>
      <c r="F86" s="1938" t="str">
        <f t="shared" si="29"/>
        <v>NA</v>
      </c>
      <c r="G86" s="1938" t="str">
        <f t="shared" si="29"/>
        <v>NA</v>
      </c>
      <c r="H86" s="699" t="s">
        <v>274</v>
      </c>
      <c r="I86" s="699" t="s">
        <v>274</v>
      </c>
      <c r="J86" s="699" t="s">
        <v>274</v>
      </c>
      <c r="K86" s="2931"/>
    </row>
    <row r="87" spans="2:11" ht="18" customHeight="1" x14ac:dyDescent="0.2">
      <c r="B87" s="282" t="s">
        <v>308</v>
      </c>
      <c r="C87" s="1938" t="str">
        <f>C88</f>
        <v>NO</v>
      </c>
      <c r="D87" s="3057" t="s">
        <v>97</v>
      </c>
      <c r="E87" s="2135"/>
      <c r="F87" s="2135"/>
      <c r="G87" s="2135"/>
      <c r="H87" s="1938" t="str">
        <f>H88</f>
        <v>NO</v>
      </c>
      <c r="I87" s="1938" t="str">
        <f>I88</f>
        <v>NO</v>
      </c>
      <c r="J87" s="1938" t="str">
        <f>J88</f>
        <v>NO</v>
      </c>
      <c r="K87" s="2931"/>
    </row>
    <row r="88" spans="2:11" ht="18" customHeight="1" x14ac:dyDescent="0.2">
      <c r="B88" s="3085" t="s">
        <v>205</v>
      </c>
      <c r="C88" s="699" t="s">
        <v>199</v>
      </c>
      <c r="D88" s="3057" t="s">
        <v>97</v>
      </c>
      <c r="E88" s="1938" t="str">
        <f t="shared" ref="E88:E92" si="30">IFERROR(H88*1000/$C88,"NA")</f>
        <v>NA</v>
      </c>
      <c r="F88" s="1938" t="str">
        <f t="shared" ref="F88:G92" si="31">IFERROR(I88*1000000/$C88,"NA")</f>
        <v>NA</v>
      </c>
      <c r="G88" s="1938" t="str">
        <f t="shared" si="31"/>
        <v>NA</v>
      </c>
      <c r="H88" s="699" t="s">
        <v>199</v>
      </c>
      <c r="I88" s="699" t="s">
        <v>199</v>
      </c>
      <c r="J88" s="699" t="s">
        <v>199</v>
      </c>
      <c r="K88" s="2931"/>
    </row>
    <row r="89" spans="2:11" ht="18" customHeight="1" x14ac:dyDescent="0.2">
      <c r="B89" s="282" t="s">
        <v>246</v>
      </c>
      <c r="C89" s="699" t="s">
        <v>274</v>
      </c>
      <c r="D89" s="3057" t="s">
        <v>97</v>
      </c>
      <c r="E89" s="1938" t="str">
        <f t="shared" si="30"/>
        <v>NA</v>
      </c>
      <c r="F89" s="1938" t="str">
        <f t="shared" si="31"/>
        <v>NA</v>
      </c>
      <c r="G89" s="1938" t="str">
        <f t="shared" si="31"/>
        <v>NA</v>
      </c>
      <c r="H89" s="699" t="s">
        <v>274</v>
      </c>
      <c r="I89" s="699" t="s">
        <v>274</v>
      </c>
      <c r="J89" s="699" t="s">
        <v>274</v>
      </c>
      <c r="K89" s="2931"/>
    </row>
    <row r="90" spans="2:11" ht="18" customHeight="1" x14ac:dyDescent="0.2">
      <c r="B90" s="282" t="s">
        <v>321</v>
      </c>
      <c r="C90" s="699" t="s">
        <v>199</v>
      </c>
      <c r="D90" s="3057" t="s">
        <v>97</v>
      </c>
      <c r="E90" s="1938" t="str">
        <f t="shared" si="30"/>
        <v>NA</v>
      </c>
      <c r="F90" s="1938" t="str">
        <f t="shared" si="31"/>
        <v>NA</v>
      </c>
      <c r="G90" s="1938" t="str">
        <f t="shared" si="31"/>
        <v>NA</v>
      </c>
      <c r="H90" s="699" t="s">
        <v>199</v>
      </c>
      <c r="I90" s="699" t="s">
        <v>199</v>
      </c>
      <c r="J90" s="699" t="s">
        <v>199</v>
      </c>
      <c r="K90" s="2931"/>
    </row>
    <row r="91" spans="2:11" ht="18" customHeight="1" x14ac:dyDescent="0.2">
      <c r="B91" s="282" t="s">
        <v>333</v>
      </c>
      <c r="C91" s="1938" t="str">
        <f>C92</f>
        <v>NO</v>
      </c>
      <c r="D91" s="3057" t="s">
        <v>97</v>
      </c>
      <c r="E91" s="2135"/>
      <c r="F91" s="2135"/>
      <c r="G91" s="2135"/>
      <c r="H91" s="1938" t="str">
        <f>H92</f>
        <v>NO</v>
      </c>
      <c r="I91" s="1938" t="str">
        <f>I92</f>
        <v>NO</v>
      </c>
      <c r="J91" s="1938" t="str">
        <f>J92</f>
        <v>NO</v>
      </c>
      <c r="K91" s="2931"/>
    </row>
    <row r="92" spans="2:11" ht="18" customHeight="1" thickBot="1" x14ac:dyDescent="0.25">
      <c r="B92" s="3086" t="s">
        <v>205</v>
      </c>
      <c r="C92" s="1562" t="s">
        <v>199</v>
      </c>
      <c r="D92" s="2891" t="s">
        <v>97</v>
      </c>
      <c r="E92" s="3082" t="str">
        <f t="shared" si="30"/>
        <v>NA</v>
      </c>
      <c r="F92" s="3082" t="str">
        <f t="shared" si="31"/>
        <v>NA</v>
      </c>
      <c r="G92" s="3082" t="str">
        <f t="shared" si="31"/>
        <v>NA</v>
      </c>
      <c r="H92" s="1562" t="s">
        <v>199</v>
      </c>
      <c r="I92" s="1562" t="s">
        <v>199</v>
      </c>
      <c r="J92" s="1562" t="s">
        <v>199</v>
      </c>
      <c r="K92" s="3090"/>
    </row>
    <row r="93" spans="2:11" ht="18" customHeight="1" x14ac:dyDescent="0.2">
      <c r="B93" s="1275" t="s">
        <v>335</v>
      </c>
      <c r="C93" s="3087">
        <f>IF(SUM(C94:C99)=0,"NO",SUM(C94:C99))</f>
        <v>11145.258217057099</v>
      </c>
      <c r="D93" s="3057" t="s">
        <v>97</v>
      </c>
      <c r="E93" s="2160"/>
      <c r="F93" s="2160"/>
      <c r="G93" s="2160"/>
      <c r="H93" s="3087">
        <f>IF(SUM(H94:H98)=0,"NO",SUM(H94:H98))</f>
        <v>776.14097393694124</v>
      </c>
      <c r="I93" s="3087">
        <f>IF(SUM(I94:I99)=0,"NO",SUM(I94:I99))</f>
        <v>3.088180660170637E-2</v>
      </c>
      <c r="J93" s="3091">
        <f>IF(SUM(J94:J99)=0,"NO",SUM(J94:J99))</f>
        <v>2.1678063083103615E-2</v>
      </c>
      <c r="K93" s="442" t="str">
        <f>IF(SUM(K94:K99)=0,"NO",SUM(K94:K99))</f>
        <v>NO</v>
      </c>
    </row>
    <row r="94" spans="2:11" ht="18" customHeight="1" x14ac:dyDescent="0.2">
      <c r="B94" s="282" t="s">
        <v>243</v>
      </c>
      <c r="C94" s="1938">
        <f>IF(SUM(C102,C110)=0,"NO",SUM(C102,C110))</f>
        <v>11145.039556147043</v>
      </c>
      <c r="D94" s="1938" t="s">
        <v>97</v>
      </c>
      <c r="E94" s="1938">
        <f t="shared" ref="E94:E99" si="32">IFERROR(H94*1000/$C94,"NA")</f>
        <v>69.640037617350671</v>
      </c>
      <c r="F94" s="1938">
        <f t="shared" ref="F94:G99" si="33">IFERROR(I94*1000000/$C94,"NA")</f>
        <v>2.7553431591990325</v>
      </c>
      <c r="G94" s="1938">
        <f t="shared" si="33"/>
        <v>1.9450273811201757</v>
      </c>
      <c r="H94" s="1938">
        <f t="shared" ref="H94:K97" si="34">IF(SUM(H102,H110)=0,"NO",SUM(H102,H110))</f>
        <v>776.14097393694124</v>
      </c>
      <c r="I94" s="1938">
        <f t="shared" si="34"/>
        <v>3.0708408500032376E-2</v>
      </c>
      <c r="J94" s="1938">
        <f t="shared" si="34"/>
        <v>2.1677407100373448E-2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f>IF(SUM(C107,C114)=0,"NO",SUM(C107,C114))</f>
        <v>0.218660910055476</v>
      </c>
      <c r="D99" s="1938" t="s">
        <v>97</v>
      </c>
      <c r="E99" s="1938">
        <f t="shared" si="32"/>
        <v>67.259999999999906</v>
      </c>
      <c r="F99" s="1938">
        <f t="shared" si="33"/>
        <v>792.99999999999886</v>
      </c>
      <c r="G99" s="1938">
        <f t="shared" si="33"/>
        <v>2.9999999999999951</v>
      </c>
      <c r="H99" s="1938">
        <f>IF(SUM(H107,H114)=0,"NO",SUM(H107,H114))</f>
        <v>1.4707132810331295E-2</v>
      </c>
      <c r="I99" s="1938">
        <f>IF(SUM(I107,I114)=0,"NO",SUM(I107,I114))</f>
        <v>1.7339810167399221E-4</v>
      </c>
      <c r="J99" s="1938">
        <f>IF(SUM(J107,J114)=0,"NO",SUM(J107,J114))</f>
        <v>6.5598273016642692E-7</v>
      </c>
      <c r="K99" s="1938" t="str">
        <f>IF(SUM(K107,K114)=0,"NO",SUM(K107,K114))</f>
        <v>NO</v>
      </c>
    </row>
    <row r="100" spans="2:11" ht="18" customHeight="1" x14ac:dyDescent="0.2">
      <c r="B100" s="1246" t="s">
        <v>337</v>
      </c>
      <c r="C100" s="3057" t="str">
        <f>C101</f>
        <v>NO</v>
      </c>
      <c r="D100" s="1938" t="s">
        <v>97</v>
      </c>
      <c r="E100" s="1957"/>
      <c r="F100" s="1957"/>
      <c r="G100" s="1957"/>
      <c r="H100" s="3057" t="str">
        <f>H101</f>
        <v>NO</v>
      </c>
      <c r="I100" s="3057" t="str">
        <f>I101</f>
        <v>NO</v>
      </c>
      <c r="J100" s="3088" t="str">
        <f>J101</f>
        <v>NO</v>
      </c>
      <c r="K100" s="3064" t="str">
        <f>K101</f>
        <v>NO</v>
      </c>
    </row>
    <row r="101" spans="2:11" ht="18" customHeight="1" x14ac:dyDescent="0.2">
      <c r="B101" s="3103" t="s">
        <v>205</v>
      </c>
      <c r="C101" s="3077" t="str">
        <f>IF(SUM(C102:C107)=0,"NO",SUM(C102:C107))</f>
        <v>NO</v>
      </c>
      <c r="D101" s="1938" t="s">
        <v>97</v>
      </c>
      <c r="E101" s="615"/>
      <c r="F101" s="615"/>
      <c r="G101" s="615"/>
      <c r="H101" s="3077" t="str">
        <f>IF(SUM(H102:H106)=0,"NO",SUM(H102:H106))</f>
        <v>NO</v>
      </c>
      <c r="I101" s="3077" t="str">
        <f>IF(SUM(I102:I107)=0,"NO",SUM(I102:I107))</f>
        <v>NO</v>
      </c>
      <c r="J101" s="3077" t="str">
        <f>IF(SUM(J102:J107)=0,"NO",SUM(J102:J107))</f>
        <v>NO</v>
      </c>
      <c r="K101" s="3078"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1"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1"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1"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1"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1"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1" t="s">
        <v>199</v>
      </c>
    </row>
    <row r="108" spans="2:11" ht="18" customHeight="1" x14ac:dyDescent="0.2">
      <c r="B108" s="1246" t="s">
        <v>338</v>
      </c>
      <c r="C108" s="3057">
        <f>C109</f>
        <v>11145.258217057099</v>
      </c>
      <c r="D108" s="1938" t="s">
        <v>97</v>
      </c>
      <c r="E108" s="1957"/>
      <c r="F108" s="1957"/>
      <c r="G108" s="1957"/>
      <c r="H108" s="3057">
        <f>H109</f>
        <v>776.14097393694124</v>
      </c>
      <c r="I108" s="3057">
        <f>I109</f>
        <v>3.088180660170637E-2</v>
      </c>
      <c r="J108" s="3088">
        <f>J109</f>
        <v>2.1678063083103615E-2</v>
      </c>
      <c r="K108" s="2931"/>
    </row>
    <row r="109" spans="2:11" ht="18" customHeight="1" x14ac:dyDescent="0.2">
      <c r="B109" s="3103" t="s">
        <v>339</v>
      </c>
      <c r="C109" s="3077">
        <f>IF(SUM(C110:C114)=0,"NO",SUM(C110:C114))</f>
        <v>11145.258217057099</v>
      </c>
      <c r="D109" s="1938" t="s">
        <v>97</v>
      </c>
      <c r="E109" s="615"/>
      <c r="F109" s="615"/>
      <c r="G109" s="615"/>
      <c r="H109" s="3077">
        <f>IF(SUM(H110:H113)=0,"NO",SUM(H110:H113))</f>
        <v>776.14097393694124</v>
      </c>
      <c r="I109" s="3077">
        <f>IF(SUM(I110:I114)=0,"NO",SUM(I110:I114))</f>
        <v>3.088180660170637E-2</v>
      </c>
      <c r="J109" s="3077">
        <f>IF(SUM(J110:J114)=0,"NO",SUM(J110:J114))</f>
        <v>2.1678063083103615E-2</v>
      </c>
      <c r="K109" s="2931"/>
    </row>
    <row r="110" spans="2:11" ht="18" customHeight="1" x14ac:dyDescent="0.2">
      <c r="B110" s="282" t="s">
        <v>243</v>
      </c>
      <c r="C110" s="699">
        <v>11145.039556147043</v>
      </c>
      <c r="D110" s="1938" t="s">
        <v>97</v>
      </c>
      <c r="E110" s="1938">
        <f t="shared" ref="E110:E114" si="37">IFERROR(H110*1000/$C110,"NA")</f>
        <v>69.640037617350671</v>
      </c>
      <c r="F110" s="1938">
        <f t="shared" ref="F110:G114" si="38">IFERROR(I110*1000000/$C110,"NA")</f>
        <v>2.7553431591990325</v>
      </c>
      <c r="G110" s="1938">
        <f t="shared" si="38"/>
        <v>1.9450273811201757</v>
      </c>
      <c r="H110" s="699">
        <v>776.14097393694124</v>
      </c>
      <c r="I110" s="699">
        <v>3.0708408500032376E-2</v>
      </c>
      <c r="J110" s="699">
        <v>2.1677407100373448E-2</v>
      </c>
      <c r="K110" s="3092"/>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2"/>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2"/>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2"/>
    </row>
    <row r="114" spans="2:11" ht="18" customHeight="1" thickBot="1" x14ac:dyDescent="0.25">
      <c r="B114" s="2210" t="s">
        <v>321</v>
      </c>
      <c r="C114" s="1562">
        <v>0.218660910055476</v>
      </c>
      <c r="D114" s="2891" t="s">
        <v>97</v>
      </c>
      <c r="E114" s="2891">
        <f t="shared" si="37"/>
        <v>67.259999999999906</v>
      </c>
      <c r="F114" s="2891">
        <f t="shared" si="38"/>
        <v>792.99999999999886</v>
      </c>
      <c r="G114" s="2891">
        <f t="shared" si="38"/>
        <v>2.9999999999999951</v>
      </c>
      <c r="H114" s="1562">
        <v>1.4707132810331295E-2</v>
      </c>
      <c r="I114" s="1562">
        <v>1.7339810167399221E-4</v>
      </c>
      <c r="J114" s="1562">
        <v>6.5598273016642692E-7</v>
      </c>
      <c r="K114" s="3093"/>
    </row>
    <row r="115" spans="2:11" s="2220" customFormat="1" ht="18" customHeight="1" x14ac:dyDescent="0.2">
      <c r="B115" s="2219" t="s">
        <v>340</v>
      </c>
      <c r="C115" s="3094"/>
      <c r="D115" s="3095"/>
      <c r="E115" s="3095"/>
      <c r="F115" s="3095"/>
      <c r="G115" s="3095"/>
      <c r="H115" s="3095"/>
      <c r="I115" s="3095"/>
      <c r="J115" s="3095"/>
      <c r="K115" s="3096"/>
    </row>
    <row r="116" spans="2:11" s="2220" customFormat="1" ht="18" customHeight="1" x14ac:dyDescent="0.2">
      <c r="B116" s="2221" t="s">
        <v>341</v>
      </c>
      <c r="C116" s="3097"/>
      <c r="D116" s="3098"/>
      <c r="E116" s="3098"/>
      <c r="F116" s="3098"/>
      <c r="G116" s="3098"/>
      <c r="H116" s="3098"/>
      <c r="I116" s="3098"/>
      <c r="J116" s="3098"/>
      <c r="K116" s="3099"/>
    </row>
    <row r="117" spans="2:11" s="2220" customFormat="1" ht="18" customHeight="1" x14ac:dyDescent="0.2">
      <c r="B117" s="282" t="s">
        <v>323</v>
      </c>
      <c r="C117" s="3100" t="s">
        <v>199</v>
      </c>
      <c r="D117" s="1938" t="s">
        <v>97</v>
      </c>
      <c r="E117" s="1938" t="str">
        <f t="shared" ref="E117:E118" si="39">IFERROR(H117*1000/$C117,"NA")</f>
        <v>NA</v>
      </c>
      <c r="F117" s="1938" t="str">
        <f>IFERROR(I117*1000000/$C117,"NA")</f>
        <v>NA</v>
      </c>
      <c r="G117" s="1938" t="str">
        <f>IFERROR(J117*1000000/$C117,"NA")</f>
        <v>NA</v>
      </c>
      <c r="H117" s="3100" t="s">
        <v>199</v>
      </c>
      <c r="I117" s="3100" t="s">
        <v>199</v>
      </c>
      <c r="J117" s="3100" t="s">
        <v>199</v>
      </c>
      <c r="K117" s="2921" t="s">
        <v>199</v>
      </c>
    </row>
    <row r="118" spans="2:11" s="2220" customFormat="1" ht="18" customHeight="1" thickBot="1" x14ac:dyDescent="0.25">
      <c r="B118" s="2210" t="s">
        <v>342</v>
      </c>
      <c r="C118" s="3101" t="s">
        <v>199</v>
      </c>
      <c r="D118" s="2891" t="s">
        <v>97</v>
      </c>
      <c r="E118" s="2891" t="str">
        <f t="shared" si="39"/>
        <v>NA</v>
      </c>
      <c r="F118" s="2891" t="str">
        <f>IFERROR(I118*1000000/$C118,"NA")</f>
        <v>NA</v>
      </c>
      <c r="G118" s="2891" t="str">
        <f>IFERROR(J118*1000000/$C118,"NA")</f>
        <v>NA</v>
      </c>
      <c r="H118" s="3101" t="s">
        <v>199</v>
      </c>
      <c r="I118" s="3101" t="s">
        <v>199</v>
      </c>
      <c r="J118" s="3101" t="s">
        <v>199</v>
      </c>
      <c r="K118" s="1564" t="s">
        <v>199</v>
      </c>
    </row>
    <row r="119" spans="2:11" s="2220" customFormat="1" ht="12" customHeight="1" x14ac:dyDescent="0.2">
      <c r="B119" s="2222"/>
      <c r="C119" s="2223"/>
      <c r="D119" s="2223"/>
      <c r="E119" s="2223"/>
      <c r="F119" s="2223"/>
      <c r="G119" s="2223"/>
      <c r="H119" s="2223"/>
      <c r="I119" s="2223"/>
      <c r="J119" s="2223"/>
      <c r="K119" s="2223"/>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2"/>
    </row>
    <row r="127" spans="2:11" ht="12" customHeight="1" x14ac:dyDescent="0.2">
      <c r="B127" s="1021"/>
      <c r="C127" s="957"/>
      <c r="D127" s="957"/>
      <c r="E127" s="957"/>
      <c r="F127" s="957"/>
      <c r="G127" s="957"/>
      <c r="H127" s="957"/>
      <c r="I127" s="957"/>
      <c r="J127" s="957"/>
      <c r="K127" s="2212"/>
    </row>
    <row r="128" spans="2:11" ht="12" customHeight="1" x14ac:dyDescent="0.2">
      <c r="B128" s="1021"/>
      <c r="C128" s="957"/>
      <c r="D128" s="957"/>
      <c r="E128" s="957"/>
      <c r="F128" s="957"/>
      <c r="G128" s="957"/>
      <c r="H128" s="957"/>
      <c r="I128" s="957"/>
      <c r="J128" s="957"/>
      <c r="K128" s="2212"/>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2"/>
    </row>
    <row r="132" spans="2:11" ht="12" customHeight="1" x14ac:dyDescent="0.2">
      <c r="B132" s="1021"/>
      <c r="C132" s="957"/>
      <c r="D132" s="957"/>
      <c r="E132" s="957"/>
      <c r="F132" s="957"/>
      <c r="G132" s="957"/>
      <c r="H132" s="957"/>
      <c r="I132" s="957"/>
      <c r="J132" s="957"/>
      <c r="K132" s="2212"/>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4"/>
    </row>
    <row r="152" spans="2:11" ht="41.25" customHeight="1" thickBot="1" x14ac:dyDescent="0.25">
      <c r="B152" s="4497" t="s">
        <v>344</v>
      </c>
      <c r="C152" s="4498"/>
      <c r="D152" s="4498"/>
      <c r="E152" s="4498"/>
      <c r="F152" s="4498"/>
      <c r="G152" s="4498"/>
      <c r="H152" s="4498"/>
      <c r="I152" s="4498"/>
      <c r="J152" s="4498"/>
      <c r="K152" s="4499"/>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2460</v>
      </c>
    </row>
    <row r="2" spans="2:20" ht="16.350000000000001" customHeight="1" x14ac:dyDescent="0.3">
      <c r="B2" s="209" t="s">
        <v>346</v>
      </c>
      <c r="C2" s="209"/>
      <c r="D2" s="209"/>
      <c r="E2" s="209"/>
      <c r="F2" s="209"/>
      <c r="G2" s="209"/>
      <c r="H2" s="209"/>
      <c r="I2" s="209"/>
      <c r="J2" s="209"/>
      <c r="S2" s="28"/>
      <c r="T2" s="14" t="s">
        <v>2461</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5"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2" t="s">
        <v>363</v>
      </c>
      <c r="M9" s="1569"/>
      <c r="N9" s="6" t="s">
        <v>238</v>
      </c>
      <c r="O9" s="2262" t="s">
        <v>364</v>
      </c>
      <c r="P9" s="6" t="s">
        <v>171</v>
      </c>
      <c r="Q9" s="6" t="s">
        <v>365</v>
      </c>
      <c r="R9" s="6" t="s">
        <v>366</v>
      </c>
      <c r="S9" s="6" t="s">
        <v>367</v>
      </c>
      <c r="T9" s="2263" t="s">
        <v>368</v>
      </c>
    </row>
    <row r="10" spans="2:20" ht="18" customHeight="1" thickTop="1" x14ac:dyDescent="0.2">
      <c r="B10" s="2367" t="s">
        <v>369</v>
      </c>
      <c r="C10" s="2365" t="s">
        <v>370</v>
      </c>
      <c r="D10" s="2363" t="s">
        <v>271</v>
      </c>
      <c r="E10" s="2361"/>
      <c r="F10" s="2361"/>
      <c r="G10" s="2361"/>
      <c r="H10" s="2361"/>
      <c r="I10" s="2361"/>
      <c r="J10" s="2361"/>
      <c r="K10" s="2361"/>
      <c r="L10" s="2361"/>
      <c r="M10" s="2361"/>
      <c r="N10" s="2361"/>
      <c r="O10" s="2361"/>
      <c r="P10" s="2361"/>
      <c r="Q10" s="2361"/>
      <c r="R10" s="2361"/>
      <c r="S10" s="2361"/>
      <c r="T10" s="2362"/>
    </row>
    <row r="11" spans="2:20" ht="18" customHeight="1" x14ac:dyDescent="0.2">
      <c r="B11" s="1730" t="s">
        <v>371</v>
      </c>
      <c r="C11" s="1570" t="s">
        <v>372</v>
      </c>
      <c r="D11" s="38" t="s">
        <v>373</v>
      </c>
      <c r="E11" s="2595" t="s">
        <v>374</v>
      </c>
      <c r="F11" s="3326">
        <v>1049557.9407166599</v>
      </c>
      <c r="G11" s="3326">
        <v>980853.58980000007</v>
      </c>
      <c r="H11" s="3326">
        <v>590696.82925299997</v>
      </c>
      <c r="I11" s="3346"/>
      <c r="J11" s="3326">
        <v>2860.7289750000109</v>
      </c>
      <c r="K11" s="3334">
        <f t="shared" ref="K11:K28" si="0">IF((SUM(F11:G11)-SUM(H11:J11))=0,"NO",(SUM(F11:G11)-SUM(H11:J11)))</f>
        <v>1436853.9722886598</v>
      </c>
      <c r="L11" s="2597">
        <f>IF(K11="NO","NA",1)</f>
        <v>1</v>
      </c>
      <c r="M11" s="5" t="s">
        <v>97</v>
      </c>
      <c r="N11" s="3334">
        <f>K11</f>
        <v>1436853.9722886598</v>
      </c>
      <c r="O11" s="3307">
        <v>18.980716253443529</v>
      </c>
      <c r="P11" s="3334">
        <f>IFERROR(N11*O11/1000,"NA")</f>
        <v>27272.517545644259</v>
      </c>
      <c r="Q11" s="3334" t="str">
        <f>'Table1.A(d)'!G11</f>
        <v>NA</v>
      </c>
      <c r="R11" s="3334">
        <f>IF(SUM(P11,-SUM(Q11))=0,"NO",SUM(P11,-SUM(Q11)))</f>
        <v>27272.517545644259</v>
      </c>
      <c r="S11" s="2597">
        <f>IF(R11="NO","NA",1)</f>
        <v>1</v>
      </c>
      <c r="T11" s="3340">
        <f>IF(R11="NO","NO",R11*S11*44/12)</f>
        <v>99999.23100069561</v>
      </c>
    </row>
    <row r="12" spans="2:20" ht="18" customHeight="1" x14ac:dyDescent="0.2">
      <c r="B12" s="1730"/>
      <c r="C12" s="1570"/>
      <c r="D12" s="38" t="s">
        <v>375</v>
      </c>
      <c r="E12" s="2595" t="s">
        <v>374</v>
      </c>
      <c r="F12" s="3326" t="s">
        <v>199</v>
      </c>
      <c r="G12" s="3326" t="s">
        <v>199</v>
      </c>
      <c r="H12" s="3326" t="s">
        <v>199</v>
      </c>
      <c r="I12" s="3346"/>
      <c r="J12" s="3326" t="s">
        <v>199</v>
      </c>
      <c r="K12" s="3334" t="str">
        <f t="shared" si="0"/>
        <v>NO</v>
      </c>
      <c r="L12" s="2597" t="str">
        <f t="shared" ref="L12:L13" si="1">IF(K12="NO","NA",1)</f>
        <v>NA</v>
      </c>
      <c r="M12" s="5" t="s">
        <v>97</v>
      </c>
      <c r="N12" s="3334" t="str">
        <f t="shared" ref="N12:N28" si="2">K12</f>
        <v>NO</v>
      </c>
      <c r="O12" s="3307" t="s">
        <v>205</v>
      </c>
      <c r="P12" s="3334" t="str">
        <f t="shared" ref="P12:P28" si="3">IFERROR(N12*O12/1000,"NA")</f>
        <v>NA</v>
      </c>
      <c r="Q12" s="3334" t="str">
        <f>'Table1.A(d)'!G12</f>
        <v>NA</v>
      </c>
      <c r="R12" s="3334" t="str">
        <f>IF(SUM(P12,-SUM(Q12))=0,"NO",SUM(P12,-SUM(Q12)))</f>
        <v>NO</v>
      </c>
      <c r="S12" s="2597" t="str">
        <f t="shared" ref="S12:S13" si="4">IF(R12="NO","NA",1)</f>
        <v>NA</v>
      </c>
      <c r="T12" s="3340" t="str">
        <f t="shared" ref="T12:T13" si="5">IF(R12="NO","NO",R12*S12*44/12)</f>
        <v>NO</v>
      </c>
    </row>
    <row r="13" spans="2:20" ht="18" customHeight="1" x14ac:dyDescent="0.2">
      <c r="B13" s="1730"/>
      <c r="C13" s="1571"/>
      <c r="D13" s="38" t="s">
        <v>376</v>
      </c>
      <c r="E13" s="2595" t="s">
        <v>374</v>
      </c>
      <c r="F13" s="3326">
        <v>144929.17750000002</v>
      </c>
      <c r="G13" s="3326" t="s">
        <v>199</v>
      </c>
      <c r="H13" s="3326" t="s">
        <v>199</v>
      </c>
      <c r="I13" s="3346"/>
      <c r="J13" s="3326" t="s">
        <v>199</v>
      </c>
      <c r="K13" s="3334">
        <f t="shared" si="0"/>
        <v>144929.17750000002</v>
      </c>
      <c r="L13" s="2597">
        <f t="shared" si="1"/>
        <v>1</v>
      </c>
      <c r="M13" s="5" t="s">
        <v>97</v>
      </c>
      <c r="N13" s="3334">
        <f t="shared" si="2"/>
        <v>144929.17750000002</v>
      </c>
      <c r="O13" s="3307">
        <v>16.242276232566329</v>
      </c>
      <c r="P13" s="3334">
        <f t="shared" si="3"/>
        <v>2353.9797351136372</v>
      </c>
      <c r="Q13" s="3334" t="str">
        <f>'Table1.A(d)'!G13</f>
        <v>NA</v>
      </c>
      <c r="R13" s="3334">
        <f>IF(SUM(P13,-SUM(Q13))=0,"NO",SUM(P13,-SUM(Q13)))</f>
        <v>2353.9797351136372</v>
      </c>
      <c r="S13" s="2597">
        <f t="shared" si="4"/>
        <v>1</v>
      </c>
      <c r="T13" s="3340">
        <f t="shared" si="5"/>
        <v>8631.2590287500025</v>
      </c>
    </row>
    <row r="14" spans="2:20" ht="18" customHeight="1" x14ac:dyDescent="0.2">
      <c r="B14" s="1730"/>
      <c r="C14" s="2365" t="s">
        <v>377</v>
      </c>
      <c r="D14" s="2363" t="s">
        <v>271</v>
      </c>
      <c r="E14" s="2361"/>
      <c r="F14" s="3335"/>
      <c r="G14" s="3335"/>
      <c r="H14" s="3335"/>
      <c r="I14" s="3335"/>
      <c r="J14" s="3335"/>
      <c r="K14" s="3335"/>
      <c r="L14" s="2361"/>
      <c r="M14" s="2361"/>
      <c r="N14" s="3335"/>
      <c r="O14" s="3327"/>
      <c r="P14" s="3335"/>
      <c r="Q14" s="3335"/>
      <c r="R14" s="3335"/>
      <c r="S14" s="2361"/>
      <c r="T14" s="3341"/>
    </row>
    <row r="15" spans="2:20" ht="18" customHeight="1" x14ac:dyDescent="0.2">
      <c r="B15" s="1730"/>
      <c r="C15" s="1570" t="s">
        <v>378</v>
      </c>
      <c r="D15" s="36" t="s">
        <v>281</v>
      </c>
      <c r="E15" s="2595" t="s">
        <v>374</v>
      </c>
      <c r="F15" s="3346"/>
      <c r="G15" s="3326">
        <v>99587.0484</v>
      </c>
      <c r="H15" s="3326">
        <v>29056.285100000001</v>
      </c>
      <c r="I15" s="3326" t="s">
        <v>199</v>
      </c>
      <c r="J15" s="3326">
        <v>664.58826720000184</v>
      </c>
      <c r="K15" s="3334">
        <f t="shared" si="0"/>
        <v>69866.175032800005</v>
      </c>
      <c r="L15" s="2597">
        <f>IF(K15="NO","NA",1)</f>
        <v>1</v>
      </c>
      <c r="M15" s="5" t="s">
        <v>97</v>
      </c>
      <c r="N15" s="3334">
        <f t="shared" si="2"/>
        <v>69866.175032800005</v>
      </c>
      <c r="O15" s="3307">
        <v>18.385297959702822</v>
      </c>
      <c r="P15" s="3334">
        <f t="shared" si="3"/>
        <v>1284.5104452827782</v>
      </c>
      <c r="Q15" s="3334" t="str">
        <f>'Table1.A(d)'!G15</f>
        <v>NA</v>
      </c>
      <c r="R15" s="3334">
        <f>IF(SUM(P15,-SUM(Q15))=0,"NO",SUM(P15,-SUM(Q15)))</f>
        <v>1284.5104452827782</v>
      </c>
      <c r="S15" s="2597">
        <f>IF(R15="NO","NA",1)</f>
        <v>1</v>
      </c>
      <c r="T15" s="3340">
        <f>IF(R15="NO","NO",R15*S15*44/12)</f>
        <v>4709.8716327035199</v>
      </c>
    </row>
    <row r="16" spans="2:20" ht="18" customHeight="1" x14ac:dyDescent="0.2">
      <c r="B16" s="1730"/>
      <c r="C16" s="1570"/>
      <c r="D16" s="36" t="s">
        <v>293</v>
      </c>
      <c r="E16" s="2595" t="s">
        <v>374</v>
      </c>
      <c r="F16" s="3347"/>
      <c r="G16" s="3326">
        <v>38468.806400000001</v>
      </c>
      <c r="H16" s="3326">
        <v>4400.2496000000001</v>
      </c>
      <c r="I16" s="3326">
        <v>134451.5232</v>
      </c>
      <c r="J16" s="3326">
        <v>-2396.2813680000008</v>
      </c>
      <c r="K16" s="3334">
        <f t="shared" si="0"/>
        <v>-97986.685032000009</v>
      </c>
      <c r="L16" s="2597">
        <f t="shared" ref="L16:L28" si="6">IF(K16="NO","NA",1)</f>
        <v>1</v>
      </c>
      <c r="M16" s="5" t="s">
        <v>97</v>
      </c>
      <c r="N16" s="3334">
        <f t="shared" si="2"/>
        <v>-97986.685032000009</v>
      </c>
      <c r="O16" s="3307">
        <v>18.981818181818181</v>
      </c>
      <c r="P16" s="3334">
        <f t="shared" si="3"/>
        <v>-1859.9654395165092</v>
      </c>
      <c r="Q16" s="3334" t="str">
        <f>'Table1.A(d)'!G16</f>
        <v>NA</v>
      </c>
      <c r="R16" s="3334">
        <f t="shared" ref="R16:R44" si="7">IF(SUM(P16,-SUM(Q16))=0,"NO",SUM(P16,-SUM(Q16)))</f>
        <v>-1859.9654395165092</v>
      </c>
      <c r="S16" s="2597">
        <f t="shared" ref="S16:S28" si="8">IF(R16="NO","NA",1)</f>
        <v>1</v>
      </c>
      <c r="T16" s="3340">
        <f t="shared" ref="T16:T28" si="9">IF(R16="NO","NO",R16*S16*44/12)</f>
        <v>-6819.8732782272009</v>
      </c>
    </row>
    <row r="17" spans="2:20" ht="18" customHeight="1" x14ac:dyDescent="0.2">
      <c r="B17" s="1730"/>
      <c r="C17" s="1570"/>
      <c r="D17" s="36" t="s">
        <v>379</v>
      </c>
      <c r="E17" s="2595" t="s">
        <v>374</v>
      </c>
      <c r="F17" s="3346"/>
      <c r="G17" s="3326" t="s">
        <v>199</v>
      </c>
      <c r="H17" s="3326" t="s">
        <v>199</v>
      </c>
      <c r="I17" s="3326" t="s">
        <v>199</v>
      </c>
      <c r="J17" s="3326">
        <v>-58.446035999999978</v>
      </c>
      <c r="K17" s="3334">
        <f t="shared" si="0"/>
        <v>58.446035999999978</v>
      </c>
      <c r="L17" s="2597">
        <f t="shared" si="6"/>
        <v>1</v>
      </c>
      <c r="M17" s="5" t="s">
        <v>97</v>
      </c>
      <c r="N17" s="3334">
        <f t="shared" si="2"/>
        <v>58.446035999999978</v>
      </c>
      <c r="O17" s="3307">
        <v>18.790909090909089</v>
      </c>
      <c r="P17" s="3334">
        <f t="shared" si="3"/>
        <v>1.0982541491999995</v>
      </c>
      <c r="Q17" s="3334" t="str">
        <f>'Table1.A(d)'!G17</f>
        <v>NA</v>
      </c>
      <c r="R17" s="3334">
        <f t="shared" si="7"/>
        <v>1.0982541491999995</v>
      </c>
      <c r="S17" s="2597">
        <f t="shared" si="8"/>
        <v>1</v>
      </c>
      <c r="T17" s="3340">
        <f t="shared" si="9"/>
        <v>4.0269318803999985</v>
      </c>
    </row>
    <row r="18" spans="2:20" ht="18" customHeight="1" x14ac:dyDescent="0.2">
      <c r="B18" s="1730"/>
      <c r="C18" s="1570"/>
      <c r="D18" s="36" t="s">
        <v>380</v>
      </c>
      <c r="E18" s="2595" t="s">
        <v>374</v>
      </c>
      <c r="F18" s="3346"/>
      <c r="G18" s="3326" t="s">
        <v>199</v>
      </c>
      <c r="H18" s="3326" t="s">
        <v>199</v>
      </c>
      <c r="I18" s="3346"/>
      <c r="J18" s="3326" t="s">
        <v>199</v>
      </c>
      <c r="K18" s="3334" t="str">
        <f t="shared" si="0"/>
        <v>NO</v>
      </c>
      <c r="L18" s="2597" t="str">
        <f t="shared" si="6"/>
        <v>NA</v>
      </c>
      <c r="M18" s="5" t="s">
        <v>97</v>
      </c>
      <c r="N18" s="3334" t="str">
        <f t="shared" si="2"/>
        <v>NO</v>
      </c>
      <c r="O18" s="3307" t="s">
        <v>205</v>
      </c>
      <c r="P18" s="3334" t="str">
        <f t="shared" si="3"/>
        <v>NA</v>
      </c>
      <c r="Q18" s="3334" t="str">
        <f>'Table1.A(d)'!G18</f>
        <v>NA</v>
      </c>
      <c r="R18" s="3334" t="str">
        <f t="shared" si="7"/>
        <v>NO</v>
      </c>
      <c r="S18" s="2597" t="str">
        <f t="shared" si="8"/>
        <v>NA</v>
      </c>
      <c r="T18" s="3340" t="str">
        <f t="shared" si="9"/>
        <v>NO</v>
      </c>
    </row>
    <row r="19" spans="2:20" ht="18" customHeight="1" x14ac:dyDescent="0.2">
      <c r="B19" s="1730"/>
      <c r="C19" s="1570"/>
      <c r="D19" s="36" t="s">
        <v>307</v>
      </c>
      <c r="E19" s="2595" t="s">
        <v>374</v>
      </c>
      <c r="F19" s="3346"/>
      <c r="G19" s="3326">
        <v>209946.13340000002</v>
      </c>
      <c r="H19" s="3326">
        <v>11126.643000000002</v>
      </c>
      <c r="I19" s="3326">
        <v>3297.9068000000002</v>
      </c>
      <c r="J19" s="3326">
        <v>-78.489734400000017</v>
      </c>
      <c r="K19" s="3334">
        <f t="shared" si="0"/>
        <v>195600.07333440002</v>
      </c>
      <c r="L19" s="2597">
        <f t="shared" si="6"/>
        <v>1</v>
      </c>
      <c r="M19" s="5" t="s">
        <v>97</v>
      </c>
      <c r="N19" s="3334">
        <f t="shared" si="2"/>
        <v>195600.07333440002</v>
      </c>
      <c r="O19" s="3307">
        <v>19.06363636363637</v>
      </c>
      <c r="P19" s="3334">
        <f t="shared" si="3"/>
        <v>3728.848670747609</v>
      </c>
      <c r="Q19" s="3334" t="str">
        <f>'Table1.A(d)'!G19</f>
        <v>NA</v>
      </c>
      <c r="R19" s="3334">
        <f t="shared" si="7"/>
        <v>3728.848670747609</v>
      </c>
      <c r="S19" s="2597">
        <f t="shared" si="8"/>
        <v>1</v>
      </c>
      <c r="T19" s="3340">
        <f t="shared" si="9"/>
        <v>13672.445126074568</v>
      </c>
    </row>
    <row r="20" spans="2:20" ht="18" customHeight="1" x14ac:dyDescent="0.2">
      <c r="B20" s="1730"/>
      <c r="C20" s="1570"/>
      <c r="D20" s="36" t="s">
        <v>306</v>
      </c>
      <c r="E20" s="2595" t="s">
        <v>374</v>
      </c>
      <c r="F20" s="3346"/>
      <c r="G20" s="3326">
        <v>54110.901500000007</v>
      </c>
      <c r="H20" s="3326">
        <v>8308.1380999999983</v>
      </c>
      <c r="I20" s="3326">
        <v>31754.925599999999</v>
      </c>
      <c r="J20" s="3326">
        <v>-2539.4015009999998</v>
      </c>
      <c r="K20" s="3334">
        <f t="shared" si="0"/>
        <v>16587.239301000009</v>
      </c>
      <c r="L20" s="2597">
        <f t="shared" si="6"/>
        <v>1</v>
      </c>
      <c r="M20" s="5" t="s">
        <v>97</v>
      </c>
      <c r="N20" s="3334">
        <f t="shared" si="2"/>
        <v>16587.239301000009</v>
      </c>
      <c r="O20" s="3307">
        <v>20.072727272727271</v>
      </c>
      <c r="P20" s="3334">
        <f t="shared" si="3"/>
        <v>332.95113069643651</v>
      </c>
      <c r="Q20" s="3334" t="str">
        <f>'Table1.A(d)'!G20</f>
        <v>NA</v>
      </c>
      <c r="R20" s="3334">
        <f t="shared" si="7"/>
        <v>332.95113069643651</v>
      </c>
      <c r="S20" s="2597">
        <f t="shared" si="8"/>
        <v>1</v>
      </c>
      <c r="T20" s="3340">
        <f t="shared" si="9"/>
        <v>1220.8208125536005</v>
      </c>
    </row>
    <row r="21" spans="2:20" ht="18" customHeight="1" x14ac:dyDescent="0.2">
      <c r="B21" s="1730"/>
      <c r="C21" s="1570"/>
      <c r="D21" s="36" t="s">
        <v>283</v>
      </c>
      <c r="E21" s="2595" t="s">
        <v>374</v>
      </c>
      <c r="F21" s="3346"/>
      <c r="G21" s="3326">
        <v>19219.102500000001</v>
      </c>
      <c r="H21" s="3326">
        <v>74281.053899899998</v>
      </c>
      <c r="I21" s="3346"/>
      <c r="J21" s="3326">
        <v>-589.50601919999951</v>
      </c>
      <c r="K21" s="3334">
        <f t="shared" si="0"/>
        <v>-54472.445380700003</v>
      </c>
      <c r="L21" s="2597">
        <f t="shared" si="6"/>
        <v>1</v>
      </c>
      <c r="M21" s="5" t="s">
        <v>97</v>
      </c>
      <c r="N21" s="3334">
        <f t="shared" si="2"/>
        <v>-54472.445380700003</v>
      </c>
      <c r="O21" s="3307">
        <v>16.418181818181822</v>
      </c>
      <c r="P21" s="3334">
        <f t="shared" si="3"/>
        <v>-894.33851234131112</v>
      </c>
      <c r="Q21" s="3334" t="str">
        <f>'Table1.A(d)'!G21</f>
        <v>NA</v>
      </c>
      <c r="R21" s="3334">
        <f t="shared" si="7"/>
        <v>-894.33851234131112</v>
      </c>
      <c r="S21" s="2597">
        <f t="shared" si="8"/>
        <v>1</v>
      </c>
      <c r="T21" s="3340">
        <f t="shared" si="9"/>
        <v>-3279.2412119181408</v>
      </c>
    </row>
    <row r="22" spans="2:20" ht="18" customHeight="1" x14ac:dyDescent="0.2">
      <c r="B22" s="1730"/>
      <c r="C22" s="1570"/>
      <c r="D22" s="36" t="s">
        <v>381</v>
      </c>
      <c r="E22" s="2595" t="s">
        <v>374</v>
      </c>
      <c r="F22" s="3346"/>
      <c r="G22" s="3326" t="s">
        <v>205</v>
      </c>
      <c r="H22" s="3326" t="s">
        <v>205</v>
      </c>
      <c r="I22" s="3346"/>
      <c r="J22" s="3326" t="s">
        <v>205</v>
      </c>
      <c r="K22" s="3334" t="str">
        <f t="shared" si="0"/>
        <v>NO</v>
      </c>
      <c r="L22" s="2597" t="str">
        <f t="shared" si="6"/>
        <v>NA</v>
      </c>
      <c r="M22" s="5" t="s">
        <v>97</v>
      </c>
      <c r="N22" s="3334" t="str">
        <f t="shared" si="2"/>
        <v>NO</v>
      </c>
      <c r="O22" s="3307">
        <v>15.40909090909091</v>
      </c>
      <c r="P22" s="3334" t="str">
        <f t="shared" si="3"/>
        <v>NA</v>
      </c>
      <c r="Q22" s="3334">
        <f>'Table1.A(d)'!G22</f>
        <v>356.68474068874968</v>
      </c>
      <c r="R22" s="3334">
        <f t="shared" si="7"/>
        <v>-356.68474068874968</v>
      </c>
      <c r="S22" s="2597">
        <f t="shared" si="8"/>
        <v>1</v>
      </c>
      <c r="T22" s="3340">
        <f t="shared" si="9"/>
        <v>-1307.8440491920821</v>
      </c>
    </row>
    <row r="23" spans="2:20" ht="18" customHeight="1" x14ac:dyDescent="0.2">
      <c r="B23" s="1730"/>
      <c r="C23" s="1570"/>
      <c r="D23" s="36" t="s">
        <v>382</v>
      </c>
      <c r="E23" s="2595" t="s">
        <v>374</v>
      </c>
      <c r="F23" s="3346"/>
      <c r="G23" s="3326" t="s">
        <v>205</v>
      </c>
      <c r="H23" s="3326" t="s">
        <v>205</v>
      </c>
      <c r="I23" s="3346"/>
      <c r="J23" s="3326" t="s">
        <v>205</v>
      </c>
      <c r="K23" s="3334" t="str">
        <f t="shared" si="0"/>
        <v>NO</v>
      </c>
      <c r="L23" s="2597" t="str">
        <f t="shared" si="6"/>
        <v>NA</v>
      </c>
      <c r="M23" s="5" t="s">
        <v>97</v>
      </c>
      <c r="N23" s="3334" t="str">
        <f t="shared" si="2"/>
        <v>NO</v>
      </c>
      <c r="O23" s="3307" t="s">
        <v>205</v>
      </c>
      <c r="P23" s="3334" t="str">
        <f t="shared" si="3"/>
        <v>NA</v>
      </c>
      <c r="Q23" s="3334" t="str">
        <f>'Table1.A(d)'!G23</f>
        <v>NA</v>
      </c>
      <c r="R23" s="3334" t="str">
        <f t="shared" si="7"/>
        <v>NO</v>
      </c>
      <c r="S23" s="2597" t="str">
        <f t="shared" si="8"/>
        <v>NA</v>
      </c>
      <c r="T23" s="3340" t="str">
        <f t="shared" si="9"/>
        <v>NO</v>
      </c>
    </row>
    <row r="24" spans="2:20" ht="18" customHeight="1" x14ac:dyDescent="0.2">
      <c r="B24" s="1730"/>
      <c r="C24" s="1570"/>
      <c r="D24" s="36" t="s">
        <v>383</v>
      </c>
      <c r="E24" s="2595" t="s">
        <v>374</v>
      </c>
      <c r="F24" s="3346"/>
      <c r="G24" s="3326">
        <v>15087.081600000001</v>
      </c>
      <c r="H24" s="3326" t="s">
        <v>199</v>
      </c>
      <c r="I24" s="3346"/>
      <c r="J24" s="3326">
        <v>-497.42493920000004</v>
      </c>
      <c r="K24" s="3334">
        <f t="shared" si="0"/>
        <v>15584.506539200001</v>
      </c>
      <c r="L24" s="2597">
        <f t="shared" si="6"/>
        <v>1</v>
      </c>
      <c r="M24" s="5" t="s">
        <v>97</v>
      </c>
      <c r="N24" s="3334">
        <f t="shared" si="2"/>
        <v>15584.506539200001</v>
      </c>
      <c r="O24" s="3307">
        <v>22.009090909090911</v>
      </c>
      <c r="P24" s="3334">
        <f t="shared" si="3"/>
        <v>343.00082119457466</v>
      </c>
      <c r="Q24" s="3334">
        <f>'Table1.A(d)'!G24</f>
        <v>782.3681590909091</v>
      </c>
      <c r="R24" s="3334">
        <f t="shared" si="7"/>
        <v>-439.36733789633445</v>
      </c>
      <c r="S24" s="2597">
        <f t="shared" si="8"/>
        <v>1</v>
      </c>
      <c r="T24" s="3340">
        <f t="shared" si="9"/>
        <v>-1611.0135722865598</v>
      </c>
    </row>
    <row r="25" spans="2:20" ht="18" customHeight="1" x14ac:dyDescent="0.2">
      <c r="B25" s="1730"/>
      <c r="C25" s="1570"/>
      <c r="D25" s="36" t="s">
        <v>297</v>
      </c>
      <c r="E25" s="2595" t="s">
        <v>374</v>
      </c>
      <c r="F25" s="3346"/>
      <c r="G25" s="3326">
        <v>14179.0332</v>
      </c>
      <c r="H25" s="3326">
        <v>8953.0611999999983</v>
      </c>
      <c r="I25" s="3326" t="s">
        <v>199</v>
      </c>
      <c r="J25" s="3326">
        <v>613.53551419999974</v>
      </c>
      <c r="K25" s="3334">
        <f t="shared" si="0"/>
        <v>4612.4364858000026</v>
      </c>
      <c r="L25" s="2597">
        <f t="shared" si="6"/>
        <v>1</v>
      </c>
      <c r="M25" s="5" t="s">
        <v>97</v>
      </c>
      <c r="N25" s="3334">
        <f t="shared" si="2"/>
        <v>4612.4364858000026</v>
      </c>
      <c r="O25" s="3307">
        <v>18.991363636363641</v>
      </c>
      <c r="P25" s="3334">
        <f t="shared" si="3"/>
        <v>87.596458551459079</v>
      </c>
      <c r="Q25" s="3334">
        <f>'Table1.A(d)'!G25</f>
        <v>309.88777786363642</v>
      </c>
      <c r="R25" s="3334">
        <f t="shared" si="7"/>
        <v>-222.29131931217734</v>
      </c>
      <c r="S25" s="2597">
        <f t="shared" si="8"/>
        <v>1</v>
      </c>
      <c r="T25" s="3340">
        <f t="shared" si="9"/>
        <v>-815.06817081131692</v>
      </c>
    </row>
    <row r="26" spans="2:20" ht="18" customHeight="1" x14ac:dyDescent="0.2">
      <c r="B26" s="1730"/>
      <c r="C26" s="1570"/>
      <c r="D26" s="36" t="s">
        <v>384</v>
      </c>
      <c r="E26" s="2595" t="s">
        <v>374</v>
      </c>
      <c r="F26" s="3346"/>
      <c r="G26" s="3326">
        <v>16541.680654300446</v>
      </c>
      <c r="H26" s="3326" t="s">
        <v>199</v>
      </c>
      <c r="I26" s="3346"/>
      <c r="J26" s="3326" t="s">
        <v>199</v>
      </c>
      <c r="K26" s="3334">
        <f t="shared" si="0"/>
        <v>16541.680654300446</v>
      </c>
      <c r="L26" s="2597">
        <f t="shared" si="6"/>
        <v>1</v>
      </c>
      <c r="M26" s="5" t="s">
        <v>97</v>
      </c>
      <c r="N26" s="3334">
        <f t="shared" si="2"/>
        <v>16541.680654300446</v>
      </c>
      <c r="O26" s="3307">
        <v>25.26136363636364</v>
      </c>
      <c r="P26" s="3334">
        <f t="shared" si="3"/>
        <v>417.86541016488519</v>
      </c>
      <c r="Q26" s="3334">
        <f>'Table1.A(d)'!G26</f>
        <v>417.86541016488519</v>
      </c>
      <c r="R26" s="3334" t="str">
        <f t="shared" si="7"/>
        <v>NO</v>
      </c>
      <c r="S26" s="2597" t="str">
        <f t="shared" si="8"/>
        <v>NA</v>
      </c>
      <c r="T26" s="3340" t="str">
        <f t="shared" si="9"/>
        <v>NO</v>
      </c>
    </row>
    <row r="27" spans="2:20" ht="18" customHeight="1" x14ac:dyDescent="0.2">
      <c r="B27" s="1730"/>
      <c r="C27" s="1570"/>
      <c r="D27" s="36" t="s">
        <v>385</v>
      </c>
      <c r="E27" s="2595" t="s">
        <v>374</v>
      </c>
      <c r="F27" s="3346"/>
      <c r="G27" s="3326" t="s">
        <v>199</v>
      </c>
      <c r="H27" s="3326" t="s">
        <v>199</v>
      </c>
      <c r="I27" s="3346"/>
      <c r="J27" s="3326" t="s">
        <v>199</v>
      </c>
      <c r="K27" s="3334" t="str">
        <f t="shared" si="0"/>
        <v>NO</v>
      </c>
      <c r="L27" s="2597" t="str">
        <f t="shared" si="6"/>
        <v>NA</v>
      </c>
      <c r="M27" s="5" t="s">
        <v>97</v>
      </c>
      <c r="N27" s="3334" t="str">
        <f t="shared" si="2"/>
        <v>NO</v>
      </c>
      <c r="O27" s="3307" t="s">
        <v>205</v>
      </c>
      <c r="P27" s="3334" t="str">
        <f t="shared" si="3"/>
        <v>NA</v>
      </c>
      <c r="Q27" s="3334" t="str">
        <f>'Table1.A(d)'!G27</f>
        <v>NA</v>
      </c>
      <c r="R27" s="3334" t="str">
        <f t="shared" si="7"/>
        <v>NO</v>
      </c>
      <c r="S27" s="2597" t="str">
        <f t="shared" si="8"/>
        <v>NA</v>
      </c>
      <c r="T27" s="3340" t="str">
        <f t="shared" si="9"/>
        <v>NO</v>
      </c>
    </row>
    <row r="28" spans="2:20" ht="18" customHeight="1" x14ac:dyDescent="0.2">
      <c r="B28" s="1730"/>
      <c r="C28" s="1571"/>
      <c r="D28" s="36" t="s">
        <v>386</v>
      </c>
      <c r="E28" s="2595" t="s">
        <v>374</v>
      </c>
      <c r="F28" s="3346"/>
      <c r="G28" s="3326">
        <v>61794.999068800003</v>
      </c>
      <c r="H28" s="3326">
        <v>2180.9599999999996</v>
      </c>
      <c r="I28" s="3346"/>
      <c r="J28" s="3326">
        <v>3363.8832986000034</v>
      </c>
      <c r="K28" s="3334">
        <f t="shared" si="0"/>
        <v>56250.155770199999</v>
      </c>
      <c r="L28" s="2597">
        <f t="shared" si="6"/>
        <v>1</v>
      </c>
      <c r="M28" s="5" t="s">
        <v>97</v>
      </c>
      <c r="N28" s="3334">
        <f t="shared" si="2"/>
        <v>56250.155770199999</v>
      </c>
      <c r="O28" s="3307">
        <v>19.03640169188705</v>
      </c>
      <c r="P28" s="3334">
        <f t="shared" si="3"/>
        <v>1070.8005604727455</v>
      </c>
      <c r="Q28" s="3334">
        <f>'Table1.A(d)'!G28</f>
        <v>540.51305614387661</v>
      </c>
      <c r="R28" s="3334">
        <f t="shared" si="7"/>
        <v>530.28750432886886</v>
      </c>
      <c r="S28" s="2597">
        <f t="shared" si="8"/>
        <v>1</v>
      </c>
      <c r="T28" s="3340">
        <f t="shared" si="9"/>
        <v>1944.3875158725193</v>
      </c>
    </row>
    <row r="29" spans="2:20" ht="18" customHeight="1" x14ac:dyDescent="0.2">
      <c r="B29" s="2366"/>
      <c r="C29" s="31" t="s">
        <v>387</v>
      </c>
      <c r="D29" s="31"/>
      <c r="E29" s="33"/>
      <c r="F29" s="3346"/>
      <c r="G29" s="3348"/>
      <c r="H29" s="3348"/>
      <c r="I29" s="3346"/>
      <c r="J29" s="3348"/>
      <c r="K29" s="3348"/>
      <c r="L29" s="114"/>
      <c r="M29" s="120"/>
      <c r="N29" s="3334" t="s">
        <v>205</v>
      </c>
      <c r="O29" s="3328"/>
      <c r="P29" s="3334" t="s">
        <v>205</v>
      </c>
      <c r="Q29" s="3334" t="s">
        <v>205</v>
      </c>
      <c r="R29" s="3334" t="str">
        <f t="shared" si="7"/>
        <v>NO</v>
      </c>
      <c r="S29" s="121"/>
      <c r="T29" s="3340" t="s">
        <v>205</v>
      </c>
    </row>
    <row r="30" spans="2:20" ht="18" customHeight="1" x14ac:dyDescent="0.2">
      <c r="B30" s="2364"/>
      <c r="C30" s="34"/>
      <c r="D30" s="34" t="s">
        <v>205</v>
      </c>
      <c r="E30" s="2595" t="s">
        <v>374</v>
      </c>
      <c r="F30" s="3349" t="s">
        <v>205</v>
      </c>
      <c r="G30" s="3326" t="s">
        <v>205</v>
      </c>
      <c r="H30" s="3326" t="s">
        <v>205</v>
      </c>
      <c r="I30" s="3349" t="s">
        <v>205</v>
      </c>
      <c r="J30" s="3326" t="s">
        <v>205</v>
      </c>
      <c r="K30" s="3334" t="s">
        <v>205</v>
      </c>
      <c r="L30" s="109" t="s">
        <v>205</v>
      </c>
      <c r="M30" s="5" t="s">
        <v>97</v>
      </c>
      <c r="N30" s="3334" t="s">
        <v>205</v>
      </c>
      <c r="O30" s="3307" t="s">
        <v>205</v>
      </c>
      <c r="P30" s="3334" t="s">
        <v>205</v>
      </c>
      <c r="Q30" s="3334" t="s">
        <v>205</v>
      </c>
      <c r="R30" s="3334" t="str">
        <f t="shared" si="7"/>
        <v>NO</v>
      </c>
      <c r="S30" s="122" t="s">
        <v>205</v>
      </c>
      <c r="T30" s="3340" t="s">
        <v>205</v>
      </c>
    </row>
    <row r="31" spans="2:20" ht="18" customHeight="1" thickBot="1" x14ac:dyDescent="0.25">
      <c r="B31" s="1250" t="s">
        <v>388</v>
      </c>
      <c r="C31" s="2368"/>
      <c r="D31" s="2368"/>
      <c r="E31" s="2369"/>
      <c r="F31" s="3350"/>
      <c r="G31" s="3350"/>
      <c r="H31" s="3350"/>
      <c r="I31" s="3350"/>
      <c r="J31" s="3350"/>
      <c r="K31" s="3351"/>
      <c r="L31" s="41"/>
      <c r="M31" s="42"/>
      <c r="N31" s="3336">
        <f>SUM(N11:N29)</f>
        <v>1804424.7325296602</v>
      </c>
      <c r="O31" s="3329"/>
      <c r="P31" s="3336">
        <f>SUM(P11:P29)</f>
        <v>34138.865080159769</v>
      </c>
      <c r="Q31" s="3336">
        <f>SUM(Q11:Q29)</f>
        <v>2407.3191439520569</v>
      </c>
      <c r="R31" s="3334">
        <f t="shared" si="7"/>
        <v>31731.545936207713</v>
      </c>
      <c r="S31" s="2598"/>
      <c r="T31" s="3342">
        <f>SUM(T11:T29)</f>
        <v>116349.00176609494</v>
      </c>
    </row>
    <row r="32" spans="2:20" ht="18" customHeight="1" x14ac:dyDescent="0.2">
      <c r="B32" s="1730" t="s">
        <v>389</v>
      </c>
      <c r="C32" s="1570" t="s">
        <v>370</v>
      </c>
      <c r="D32" s="2360" t="s">
        <v>271</v>
      </c>
      <c r="E32" s="2371"/>
      <c r="F32" s="3337"/>
      <c r="G32" s="3337"/>
      <c r="H32" s="3337"/>
      <c r="I32" s="3337"/>
      <c r="J32" s="3337"/>
      <c r="K32" s="3337"/>
      <c r="L32" s="2372"/>
      <c r="M32" s="2372"/>
      <c r="N32" s="3337"/>
      <c r="O32" s="3330"/>
      <c r="P32" s="3337"/>
      <c r="Q32" s="3337"/>
      <c r="R32" s="3337"/>
      <c r="S32" s="2372"/>
      <c r="T32" s="3343"/>
    </row>
    <row r="33" spans="2:20" ht="18" customHeight="1" x14ac:dyDescent="0.2">
      <c r="B33" s="1730" t="s">
        <v>371</v>
      </c>
      <c r="C33" s="1570" t="s">
        <v>378</v>
      </c>
      <c r="D33" s="37" t="s">
        <v>390</v>
      </c>
      <c r="E33" s="2595" t="s">
        <v>374</v>
      </c>
      <c r="F33" s="3326" t="s">
        <v>274</v>
      </c>
      <c r="G33" s="3326" t="s">
        <v>274</v>
      </c>
      <c r="H33" s="3326" t="s">
        <v>274</v>
      </c>
      <c r="I33" s="3346"/>
      <c r="J33" s="3326" t="s">
        <v>274</v>
      </c>
      <c r="K33" s="3334" t="str">
        <f t="shared" ref="K33:K38" si="10">IF((SUM(F33:G33)-SUM(H33:J33))=0,"NO",(SUM(F33:G33)-SUM(H33:J33)))</f>
        <v>NO</v>
      </c>
      <c r="L33" s="2597" t="str">
        <f t="shared" ref="L33:L38" si="11">IF(K33="NO","NA",1)</f>
        <v>NA</v>
      </c>
      <c r="M33" s="55" t="s">
        <v>97</v>
      </c>
      <c r="N33" s="3334" t="str">
        <f t="shared" ref="N33:N38" si="12">K33</f>
        <v>NO</v>
      </c>
      <c r="O33" s="3307" t="s">
        <v>205</v>
      </c>
      <c r="P33" s="3334" t="str">
        <f t="shared" ref="P33:P38" si="13">IFERROR(N33*O33/1000,"NA")</f>
        <v>NA</v>
      </c>
      <c r="Q33" s="3334" t="str">
        <f>'Table1.A(d)'!G33</f>
        <v>IE</v>
      </c>
      <c r="R33" s="3334" t="str">
        <f t="shared" si="7"/>
        <v>NO</v>
      </c>
      <c r="S33" s="2597" t="str">
        <f t="shared" ref="S33:S38" si="14">IF(R33="NO","NA",1)</f>
        <v>NA</v>
      </c>
      <c r="T33" s="3340" t="str">
        <f t="shared" ref="T33:T38" si="15">IF(R33="NO","NO",R33*S33*44/12)</f>
        <v>NO</v>
      </c>
    </row>
    <row r="34" spans="2:20" ht="18" customHeight="1" x14ac:dyDescent="0.2">
      <c r="B34" s="1730"/>
      <c r="C34" s="1570"/>
      <c r="D34" s="31" t="s">
        <v>391</v>
      </c>
      <c r="E34" s="2595" t="s">
        <v>374</v>
      </c>
      <c r="F34" s="3326" t="s">
        <v>274</v>
      </c>
      <c r="G34" s="3326" t="s">
        <v>274</v>
      </c>
      <c r="H34" s="3326" t="s">
        <v>274</v>
      </c>
      <c r="I34" s="3346"/>
      <c r="J34" s="3326" t="s">
        <v>274</v>
      </c>
      <c r="K34" s="3334" t="str">
        <f t="shared" si="10"/>
        <v>NO</v>
      </c>
      <c r="L34" s="2597" t="str">
        <f t="shared" si="11"/>
        <v>NA</v>
      </c>
      <c r="M34" s="55" t="s">
        <v>97</v>
      </c>
      <c r="N34" s="3334" t="str">
        <f t="shared" si="12"/>
        <v>NO</v>
      </c>
      <c r="O34" s="3307" t="s">
        <v>205</v>
      </c>
      <c r="P34" s="3334" t="str">
        <f t="shared" si="13"/>
        <v>NA</v>
      </c>
      <c r="Q34" s="3334" t="str">
        <f>'Table1.A(d)'!G34</f>
        <v>NA</v>
      </c>
      <c r="R34" s="3334" t="str">
        <f t="shared" si="7"/>
        <v>NO</v>
      </c>
      <c r="S34" s="2597" t="str">
        <f t="shared" si="14"/>
        <v>NA</v>
      </c>
      <c r="T34" s="3340" t="str">
        <f t="shared" si="15"/>
        <v>NO</v>
      </c>
    </row>
    <row r="35" spans="2:20" ht="18" customHeight="1" x14ac:dyDescent="0.2">
      <c r="B35" s="1730"/>
      <c r="C35" s="1570"/>
      <c r="D35" s="31" t="s">
        <v>392</v>
      </c>
      <c r="E35" s="2595" t="s">
        <v>374</v>
      </c>
      <c r="F35" s="3326">
        <v>8630247.2240887284</v>
      </c>
      <c r="G35" s="3326" t="s">
        <v>199</v>
      </c>
      <c r="H35" s="3326">
        <v>6943300</v>
      </c>
      <c r="I35" s="3326" t="s">
        <v>199</v>
      </c>
      <c r="J35" s="3326">
        <v>87400</v>
      </c>
      <c r="K35" s="3334">
        <f t="shared" si="10"/>
        <v>1599547.2240887284</v>
      </c>
      <c r="L35" s="2597">
        <f t="shared" si="11"/>
        <v>1</v>
      </c>
      <c r="M35" s="55" t="s">
        <v>97</v>
      </c>
      <c r="N35" s="3334">
        <f t="shared" si="12"/>
        <v>1599547.2240887284</v>
      </c>
      <c r="O35" s="3307">
        <v>23.442109426210848</v>
      </c>
      <c r="P35" s="3334">
        <f t="shared" si="13"/>
        <v>37496.761059479773</v>
      </c>
      <c r="Q35" s="3334">
        <f>'Table1.A(d)'!G35</f>
        <v>897.97546963636364</v>
      </c>
      <c r="R35" s="3334">
        <f t="shared" si="7"/>
        <v>36598.785589843406</v>
      </c>
      <c r="S35" s="2597">
        <f t="shared" si="14"/>
        <v>1</v>
      </c>
      <c r="T35" s="3340">
        <f t="shared" si="15"/>
        <v>134195.54716275915</v>
      </c>
    </row>
    <row r="36" spans="2:20" ht="18" customHeight="1" x14ac:dyDescent="0.2">
      <c r="B36" s="1730"/>
      <c r="C36" s="1570"/>
      <c r="D36" s="31" t="s">
        <v>393</v>
      </c>
      <c r="E36" s="2595" t="s">
        <v>374</v>
      </c>
      <c r="F36" s="3326" t="s">
        <v>274</v>
      </c>
      <c r="G36" s="3326" t="s">
        <v>274</v>
      </c>
      <c r="H36" s="3326" t="s">
        <v>274</v>
      </c>
      <c r="I36" s="3326" t="s">
        <v>199</v>
      </c>
      <c r="J36" s="3326" t="s">
        <v>274</v>
      </c>
      <c r="K36" s="3334" t="str">
        <f t="shared" si="10"/>
        <v>NO</v>
      </c>
      <c r="L36" s="2597" t="str">
        <f t="shared" si="11"/>
        <v>NA</v>
      </c>
      <c r="M36" s="55" t="s">
        <v>97</v>
      </c>
      <c r="N36" s="3334" t="str">
        <f t="shared" si="12"/>
        <v>NO</v>
      </c>
      <c r="O36" s="3307" t="s">
        <v>205</v>
      </c>
      <c r="P36" s="3334" t="str">
        <f t="shared" si="13"/>
        <v>NA</v>
      </c>
      <c r="Q36" s="3334" t="str">
        <f>'Table1.A(d)'!G36</f>
        <v>IE</v>
      </c>
      <c r="R36" s="3334" t="str">
        <f t="shared" si="7"/>
        <v>NO</v>
      </c>
      <c r="S36" s="2597" t="str">
        <f t="shared" si="14"/>
        <v>NA</v>
      </c>
      <c r="T36" s="3340" t="str">
        <f t="shared" si="15"/>
        <v>NO</v>
      </c>
    </row>
    <row r="37" spans="2:20" ht="18" customHeight="1" x14ac:dyDescent="0.2">
      <c r="B37" s="1730"/>
      <c r="C37" s="1570"/>
      <c r="D37" s="31" t="s">
        <v>394</v>
      </c>
      <c r="E37" s="2595" t="s">
        <v>374</v>
      </c>
      <c r="F37" s="3326">
        <v>643387.16535616142</v>
      </c>
      <c r="G37" s="3326" t="s">
        <v>199</v>
      </c>
      <c r="H37" s="3326" t="s">
        <v>199</v>
      </c>
      <c r="I37" s="3346"/>
      <c r="J37" s="3326">
        <v>-19100</v>
      </c>
      <c r="K37" s="3334">
        <f t="shared" si="10"/>
        <v>662487.16535616142</v>
      </c>
      <c r="L37" s="2597">
        <f t="shared" si="11"/>
        <v>1</v>
      </c>
      <c r="M37" s="55" t="s">
        <v>97</v>
      </c>
      <c r="N37" s="3334">
        <f t="shared" si="12"/>
        <v>662487.16535616142</v>
      </c>
      <c r="O37" s="3307">
        <v>27.5027439702918</v>
      </c>
      <c r="P37" s="3334">
        <f t="shared" si="13"/>
        <v>18220.214892394873</v>
      </c>
      <c r="Q37" s="3334" t="str">
        <f>'Table1.A(d)'!G37</f>
        <v>NO</v>
      </c>
      <c r="R37" s="3334">
        <f t="shared" si="7"/>
        <v>18220.214892394873</v>
      </c>
      <c r="S37" s="2597">
        <f t="shared" si="14"/>
        <v>1</v>
      </c>
      <c r="T37" s="3340">
        <f t="shared" si="15"/>
        <v>66807.454605447871</v>
      </c>
    </row>
    <row r="38" spans="2:20" ht="18" customHeight="1" x14ac:dyDescent="0.2">
      <c r="B38" s="1730"/>
      <c r="C38" s="1571"/>
      <c r="D38" s="2266" t="s">
        <v>395</v>
      </c>
      <c r="E38" s="2595" t="s">
        <v>374</v>
      </c>
      <c r="F38" s="3352" t="s">
        <v>199</v>
      </c>
      <c r="G38" s="3352" t="s">
        <v>199</v>
      </c>
      <c r="H38" s="3352" t="s">
        <v>199</v>
      </c>
      <c r="I38" s="3353"/>
      <c r="J38" s="3352" t="s">
        <v>199</v>
      </c>
      <c r="K38" s="3334" t="str">
        <f t="shared" si="10"/>
        <v>NO</v>
      </c>
      <c r="L38" s="2597" t="str">
        <f t="shared" si="11"/>
        <v>NA</v>
      </c>
      <c r="M38" s="55" t="s">
        <v>97</v>
      </c>
      <c r="N38" s="3334" t="str">
        <f t="shared" si="12"/>
        <v>NO</v>
      </c>
      <c r="O38" s="3307" t="s">
        <v>205</v>
      </c>
      <c r="P38" s="3334" t="str">
        <f t="shared" si="13"/>
        <v>NA</v>
      </c>
      <c r="Q38" s="3334" t="str">
        <f>'Table1.A(d)'!G38</f>
        <v>NA</v>
      </c>
      <c r="R38" s="3334" t="str">
        <f t="shared" si="7"/>
        <v>NO</v>
      </c>
      <c r="S38" s="2597" t="str">
        <f t="shared" si="14"/>
        <v>NA</v>
      </c>
      <c r="T38" s="3340" t="str">
        <f t="shared" si="15"/>
        <v>NO</v>
      </c>
    </row>
    <row r="39" spans="2:20" ht="18" customHeight="1" x14ac:dyDescent="0.2">
      <c r="B39" s="1730"/>
      <c r="C39" s="1729" t="s">
        <v>377</v>
      </c>
      <c r="D39" s="2373" t="s">
        <v>271</v>
      </c>
      <c r="E39" s="2374"/>
      <c r="F39" s="3335"/>
      <c r="G39" s="3335"/>
      <c r="H39" s="3335"/>
      <c r="I39" s="3335"/>
      <c r="J39" s="3335"/>
      <c r="K39" s="3335"/>
      <c r="L39" s="2361"/>
      <c r="M39" s="2361"/>
      <c r="N39" s="3335"/>
      <c r="O39" s="3327"/>
      <c r="P39" s="3335"/>
      <c r="Q39" s="3335"/>
      <c r="R39" s="3335"/>
      <c r="S39" s="2361"/>
      <c r="T39" s="3341"/>
    </row>
    <row r="40" spans="2:20" ht="18" customHeight="1" x14ac:dyDescent="0.2">
      <c r="B40" s="1730"/>
      <c r="C40" s="1570" t="s">
        <v>378</v>
      </c>
      <c r="D40" s="36" t="s">
        <v>396</v>
      </c>
      <c r="E40" s="2595" t="s">
        <v>374</v>
      </c>
      <c r="F40" s="3346"/>
      <c r="G40" s="3326" t="s">
        <v>199</v>
      </c>
      <c r="H40" s="3326" t="s">
        <v>199</v>
      </c>
      <c r="I40" s="3346"/>
      <c r="J40" s="3326" t="s">
        <v>199</v>
      </c>
      <c r="K40" s="3334" t="str">
        <f t="shared" ref="K40:K42" si="16">IF((SUM(F40:G40)-SUM(H40:J40))=0,"NO",(SUM(F40:G40)-SUM(H40:J40)))</f>
        <v>NO</v>
      </c>
      <c r="L40" s="2597" t="str">
        <f t="shared" ref="L40:L42" si="17">IF(K40="NO","NA",1)</f>
        <v>NA</v>
      </c>
      <c r="M40" s="55" t="s">
        <v>97</v>
      </c>
      <c r="N40" s="3334" t="str">
        <f t="shared" ref="N40:N42" si="18">K40</f>
        <v>NO</v>
      </c>
      <c r="O40" s="3307" t="s">
        <v>205</v>
      </c>
      <c r="P40" s="3334" t="str">
        <f t="shared" ref="P40:P42" si="19">IFERROR(N40*O40/1000,"NA")</f>
        <v>NA</v>
      </c>
      <c r="Q40" s="3334" t="str">
        <f>'Table1.A(d)'!G40</f>
        <v>NA</v>
      </c>
      <c r="R40" s="3334" t="str">
        <f t="shared" si="7"/>
        <v>NO</v>
      </c>
      <c r="S40" s="2597" t="str">
        <f t="shared" ref="S40:S42" si="20">IF(R40="NO","NA",1)</f>
        <v>NA</v>
      </c>
      <c r="T40" s="3340" t="str">
        <f t="shared" ref="T40:T42" si="21">IF(R40="NO","NO",R40*S40*44/12)</f>
        <v>NO</v>
      </c>
    </row>
    <row r="41" spans="2:20" ht="18" customHeight="1" x14ac:dyDescent="0.2">
      <c r="B41" s="1730"/>
      <c r="C41" s="1570"/>
      <c r="D41" s="31" t="s">
        <v>397</v>
      </c>
      <c r="E41" s="2595" t="s">
        <v>374</v>
      </c>
      <c r="F41" s="3346"/>
      <c r="G41" s="3326">
        <v>1300</v>
      </c>
      <c r="H41" s="3326" t="s">
        <v>199</v>
      </c>
      <c r="I41" s="3346"/>
      <c r="J41" s="3326">
        <v>18000</v>
      </c>
      <c r="K41" s="3334">
        <f t="shared" si="16"/>
        <v>-16700</v>
      </c>
      <c r="L41" s="2597">
        <f t="shared" si="17"/>
        <v>1</v>
      </c>
      <c r="M41" s="55" t="s">
        <v>97</v>
      </c>
      <c r="N41" s="3334">
        <f t="shared" si="18"/>
        <v>-16700</v>
      </c>
      <c r="O41" s="3307">
        <v>29.794565719217811</v>
      </c>
      <c r="P41" s="3334">
        <f t="shared" si="19"/>
        <v>-497.56924751093743</v>
      </c>
      <c r="Q41" s="3334">
        <f>'Table1.A(d)'!G41</f>
        <v>2090.3157934032761</v>
      </c>
      <c r="R41" s="3334">
        <f t="shared" si="7"/>
        <v>-2587.8850409142133</v>
      </c>
      <c r="S41" s="2597">
        <f t="shared" si="20"/>
        <v>1</v>
      </c>
      <c r="T41" s="3340">
        <f t="shared" si="21"/>
        <v>-9488.9118166854478</v>
      </c>
    </row>
    <row r="42" spans="2:20" ht="18" customHeight="1" x14ac:dyDescent="0.2">
      <c r="B42" s="1730"/>
      <c r="C42" s="1571"/>
      <c r="D42" s="31" t="s">
        <v>398</v>
      </c>
      <c r="E42" s="2595" t="s">
        <v>374</v>
      </c>
      <c r="F42" s="3346"/>
      <c r="G42" s="3326" t="s">
        <v>199</v>
      </c>
      <c r="H42" s="3326" t="s">
        <v>199</v>
      </c>
      <c r="I42" s="3346"/>
      <c r="J42" s="3326">
        <v>-1400</v>
      </c>
      <c r="K42" s="3334">
        <f t="shared" si="16"/>
        <v>1400</v>
      </c>
      <c r="L42" s="2597">
        <f t="shared" si="17"/>
        <v>1</v>
      </c>
      <c r="M42" s="55" t="s">
        <v>97</v>
      </c>
      <c r="N42" s="3334">
        <f t="shared" si="18"/>
        <v>1400</v>
      </c>
      <c r="O42" s="3307">
        <v>22.309090909090909</v>
      </c>
      <c r="P42" s="3334">
        <f t="shared" si="19"/>
        <v>31.232727272727271</v>
      </c>
      <c r="Q42" s="3334">
        <f>'Table1.A(d)'!G42</f>
        <v>188.1356957599445</v>
      </c>
      <c r="R42" s="3334">
        <f t="shared" si="7"/>
        <v>-156.90296848721724</v>
      </c>
      <c r="S42" s="2597">
        <f t="shared" si="20"/>
        <v>1</v>
      </c>
      <c r="T42" s="3340">
        <f t="shared" si="21"/>
        <v>-575.31088445312992</v>
      </c>
    </row>
    <row r="43" spans="2:20" ht="18" customHeight="1" x14ac:dyDescent="0.2">
      <c r="B43" s="2366"/>
      <c r="C43" s="31" t="s">
        <v>399</v>
      </c>
      <c r="D43" s="31"/>
      <c r="E43" s="33"/>
      <c r="F43" s="3346"/>
      <c r="G43" s="3348"/>
      <c r="H43" s="3348"/>
      <c r="I43" s="3346"/>
      <c r="J43" s="3348"/>
      <c r="K43" s="3348"/>
      <c r="L43" s="114"/>
      <c r="M43" s="120"/>
      <c r="N43" s="3334" t="s">
        <v>205</v>
      </c>
      <c r="O43" s="3328"/>
      <c r="P43" s="3334" t="s">
        <v>205</v>
      </c>
      <c r="Q43" s="3334" t="s">
        <v>205</v>
      </c>
      <c r="R43" s="3334" t="str">
        <f t="shared" si="7"/>
        <v>NO</v>
      </c>
      <c r="S43" s="121"/>
      <c r="T43" s="3340" t="s">
        <v>205</v>
      </c>
    </row>
    <row r="44" spans="2:20" ht="18" customHeight="1" x14ac:dyDescent="0.2">
      <c r="B44" s="2364"/>
      <c r="C44" s="34"/>
      <c r="D44" s="34" t="s">
        <v>205</v>
      </c>
      <c r="E44" s="2595" t="s">
        <v>374</v>
      </c>
      <c r="F44" s="3349" t="s">
        <v>205</v>
      </c>
      <c r="G44" s="3326" t="s">
        <v>205</v>
      </c>
      <c r="H44" s="3326" t="s">
        <v>205</v>
      </c>
      <c r="I44" s="3349" t="s">
        <v>205</v>
      </c>
      <c r="J44" s="3326" t="s">
        <v>205</v>
      </c>
      <c r="K44" s="3334" t="s">
        <v>205</v>
      </c>
      <c r="L44" s="109" t="s">
        <v>205</v>
      </c>
      <c r="M44" s="5" t="s">
        <v>97</v>
      </c>
      <c r="N44" s="3334" t="s">
        <v>205</v>
      </c>
      <c r="O44" s="3307" t="s">
        <v>205</v>
      </c>
      <c r="P44" s="3334" t="s">
        <v>205</v>
      </c>
      <c r="Q44" s="3334" t="s">
        <v>205</v>
      </c>
      <c r="R44" s="3334" t="str">
        <f t="shared" si="7"/>
        <v>NO</v>
      </c>
      <c r="S44" s="122" t="s">
        <v>205</v>
      </c>
      <c r="T44" s="3340" t="s">
        <v>205</v>
      </c>
    </row>
    <row r="45" spans="2:20" ht="18" customHeight="1" thickBot="1" x14ac:dyDescent="0.25">
      <c r="B45" s="1250" t="s">
        <v>400</v>
      </c>
      <c r="C45" s="2368"/>
      <c r="D45" s="2368"/>
      <c r="E45" s="2369"/>
      <c r="F45" s="3350"/>
      <c r="G45" s="3350"/>
      <c r="H45" s="3350"/>
      <c r="I45" s="3350"/>
      <c r="J45" s="3350"/>
      <c r="K45" s="3351"/>
      <c r="L45" s="41"/>
      <c r="M45" s="42"/>
      <c r="N45" s="3336">
        <f>SUM(N33:N43)</f>
        <v>2246734.38944489</v>
      </c>
      <c r="O45" s="3329"/>
      <c r="P45" s="3336">
        <f>SUM(P33:P43)</f>
        <v>55250.639431636431</v>
      </c>
      <c r="Q45" s="3336">
        <f>SUM(Q33:Q43)</f>
        <v>3176.4269587995841</v>
      </c>
      <c r="R45" s="3336">
        <f>SUM(R33:R43)</f>
        <v>52074.212472836851</v>
      </c>
      <c r="S45" s="41"/>
      <c r="T45" s="3342">
        <f>SUM(T33:T43)</f>
        <v>190938.77906706842</v>
      </c>
    </row>
    <row r="46" spans="2:20" ht="18" customHeight="1" x14ac:dyDescent="0.2">
      <c r="B46" s="2375" t="s">
        <v>401</v>
      </c>
      <c r="C46" s="95"/>
      <c r="D46" s="2360" t="s">
        <v>271</v>
      </c>
      <c r="E46" s="2371"/>
      <c r="F46" s="3337"/>
      <c r="G46" s="3337"/>
      <c r="H46" s="3337"/>
      <c r="I46" s="3337"/>
      <c r="J46" s="3337"/>
      <c r="K46" s="3337"/>
      <c r="L46" s="2372"/>
      <c r="M46" s="2372"/>
      <c r="N46" s="3337"/>
      <c r="O46" s="3330"/>
      <c r="P46" s="3337"/>
      <c r="Q46" s="3337"/>
      <c r="R46" s="3337"/>
      <c r="S46" s="2372"/>
      <c r="T46" s="3343"/>
    </row>
    <row r="47" spans="2:20" ht="18" customHeight="1" x14ac:dyDescent="0.2">
      <c r="B47" s="2198"/>
      <c r="C47" s="96"/>
      <c r="D47" s="2370" t="s">
        <v>402</v>
      </c>
      <c r="E47" s="2595" t="s">
        <v>374</v>
      </c>
      <c r="F47" s="3326">
        <v>1839702.5810046131</v>
      </c>
      <c r="G47" s="3326">
        <v>217672.78951200002</v>
      </c>
      <c r="H47" s="3326">
        <v>779676.07017519989</v>
      </c>
      <c r="I47" s="3326" t="s">
        <v>199</v>
      </c>
      <c r="J47" s="3326">
        <v>106875.98091676114</v>
      </c>
      <c r="K47" s="3334">
        <f t="shared" ref="K47" si="22">IF((SUM(F47:G47)-SUM(H47:J47))=0,"NO",(SUM(F47:G47)-SUM(H47:J47)))</f>
        <v>1170823.319424652</v>
      </c>
      <c r="L47" s="2597">
        <f t="shared" ref="L47" si="23">IF(K47="NO","NA",1)</f>
        <v>1</v>
      </c>
      <c r="M47" s="55" t="s">
        <v>97</v>
      </c>
      <c r="N47" s="3334">
        <f t="shared" ref="N47" si="24">K47</f>
        <v>1170823.319424652</v>
      </c>
      <c r="O47" s="3307">
        <v>14.02600817018376</v>
      </c>
      <c r="P47" s="3334">
        <f t="shared" ref="P47" si="25">IFERROR(N47*O47/1000,"NA")</f>
        <v>16421.977444091841</v>
      </c>
      <c r="Q47" s="3334">
        <f>'Table1.A(d)'!G47</f>
        <v>690.03036496204322</v>
      </c>
      <c r="R47" s="3334">
        <f t="shared" ref="R47" si="26">IF(SUM(P47,-SUM(Q47))=0,"NO",SUM(P47,-SUM(Q47)))</f>
        <v>15731.947079129797</v>
      </c>
      <c r="S47" s="2597">
        <f t="shared" ref="S47" si="27">IF(R47="NO","NA",1)</f>
        <v>1</v>
      </c>
      <c r="T47" s="3340">
        <f t="shared" ref="T47" si="28">IF(R47="NO","NO",R47*S47*44/12)</f>
        <v>57683.805956809258</v>
      </c>
    </row>
    <row r="48" spans="2:20" ht="18" customHeight="1" x14ac:dyDescent="0.2">
      <c r="B48" s="1023"/>
      <c r="C48" s="96"/>
      <c r="D48" s="40" t="s">
        <v>403</v>
      </c>
      <c r="E48" s="33"/>
      <c r="F48" s="3346"/>
      <c r="G48" s="3348"/>
      <c r="H48" s="3348"/>
      <c r="I48" s="3346"/>
      <c r="J48" s="3348"/>
      <c r="K48" s="3348"/>
      <c r="L48" s="114"/>
      <c r="M48" s="120"/>
      <c r="N48" s="3334" t="s">
        <v>205</v>
      </c>
      <c r="O48" s="3328"/>
      <c r="P48" s="3334" t="s">
        <v>205</v>
      </c>
      <c r="Q48" s="3334" t="s">
        <v>205</v>
      </c>
      <c r="R48" s="3334" t="s">
        <v>205</v>
      </c>
      <c r="S48" s="121"/>
      <c r="T48" s="3340" t="s">
        <v>205</v>
      </c>
    </row>
    <row r="49" spans="2:20" ht="18" customHeight="1" x14ac:dyDescent="0.2">
      <c r="B49" s="32"/>
      <c r="C49" s="1451"/>
      <c r="D49" s="1150" t="s">
        <v>205</v>
      </c>
      <c r="E49" s="2595" t="s">
        <v>374</v>
      </c>
      <c r="F49" s="3349" t="s">
        <v>205</v>
      </c>
      <c r="G49" s="3326" t="s">
        <v>205</v>
      </c>
      <c r="H49" s="3326" t="s">
        <v>205</v>
      </c>
      <c r="I49" s="3349" t="s">
        <v>205</v>
      </c>
      <c r="J49" s="3326" t="s">
        <v>205</v>
      </c>
      <c r="K49" s="3334" t="s">
        <v>205</v>
      </c>
      <c r="L49" s="109" t="s">
        <v>205</v>
      </c>
      <c r="M49" s="5" t="s">
        <v>97</v>
      </c>
      <c r="N49" s="3334" t="s">
        <v>205</v>
      </c>
      <c r="O49" s="3307" t="s">
        <v>205</v>
      </c>
      <c r="P49" s="3334" t="s">
        <v>205</v>
      </c>
      <c r="Q49" s="3334" t="s">
        <v>205</v>
      </c>
      <c r="R49" s="3334" t="s">
        <v>205</v>
      </c>
      <c r="S49" s="122" t="s">
        <v>205</v>
      </c>
      <c r="T49" s="3340" t="s">
        <v>205</v>
      </c>
    </row>
    <row r="50" spans="2:20" ht="18" customHeight="1" thickBot="1" x14ac:dyDescent="0.25">
      <c r="B50" s="68" t="s">
        <v>404</v>
      </c>
      <c r="C50" s="79"/>
      <c r="D50" s="80"/>
      <c r="E50" s="2378"/>
      <c r="F50" s="3354"/>
      <c r="G50" s="3354"/>
      <c r="H50" s="3354"/>
      <c r="I50" s="3350"/>
      <c r="J50" s="3354"/>
      <c r="K50" s="3354"/>
      <c r="L50" s="2379"/>
      <c r="M50" s="2380"/>
      <c r="N50" s="3336">
        <f>SUM(N47:N48)</f>
        <v>1170823.319424652</v>
      </c>
      <c r="O50" s="3331"/>
      <c r="P50" s="3336">
        <f>SUM(P47:P48)</f>
        <v>16421.977444091841</v>
      </c>
      <c r="Q50" s="3336">
        <f>SUM(Q47:Q48)</f>
        <v>690.03036496204322</v>
      </c>
      <c r="R50" s="3336">
        <f>SUM(R47:R48)</f>
        <v>15731.947079129797</v>
      </c>
      <c r="S50" s="2379"/>
      <c r="T50" s="3342">
        <f>SUM(T47:T48)</f>
        <v>57683.805956809258</v>
      </c>
    </row>
    <row r="51" spans="2:20" ht="18" customHeight="1" x14ac:dyDescent="0.2">
      <c r="B51" s="2376" t="s">
        <v>405</v>
      </c>
      <c r="C51" s="2377"/>
      <c r="D51" s="2377"/>
      <c r="E51" s="2595" t="s">
        <v>374</v>
      </c>
      <c r="F51" s="3349" t="s">
        <v>205</v>
      </c>
      <c r="G51" s="3326" t="s">
        <v>205</v>
      </c>
      <c r="H51" s="3326" t="s">
        <v>205</v>
      </c>
      <c r="I51" s="3349" t="s">
        <v>205</v>
      </c>
      <c r="J51" s="3326" t="s">
        <v>205</v>
      </c>
      <c r="K51" s="3334" t="s">
        <v>205</v>
      </c>
      <c r="L51" s="109" t="s">
        <v>205</v>
      </c>
      <c r="M51" s="5" t="s">
        <v>97</v>
      </c>
      <c r="N51" s="3334" t="s">
        <v>205</v>
      </c>
      <c r="O51" s="3307" t="s">
        <v>205</v>
      </c>
      <c r="P51" s="3334" t="s">
        <v>205</v>
      </c>
      <c r="Q51" s="3334" t="s">
        <v>205</v>
      </c>
      <c r="R51" s="3334" t="s">
        <v>205</v>
      </c>
      <c r="S51" s="122" t="s">
        <v>205</v>
      </c>
      <c r="T51" s="3340" t="s">
        <v>205</v>
      </c>
    </row>
    <row r="52" spans="2:20" ht="18" customHeight="1" x14ac:dyDescent="0.2">
      <c r="B52" s="4195" t="s">
        <v>406</v>
      </c>
      <c r="C52" s="39"/>
      <c r="D52" s="38"/>
      <c r="E52" s="2595" t="s">
        <v>374</v>
      </c>
      <c r="F52" s="3355" t="s">
        <v>199</v>
      </c>
      <c r="G52" s="3355" t="s">
        <v>199</v>
      </c>
      <c r="H52" s="3355" t="s">
        <v>199</v>
      </c>
      <c r="I52" s="3326" t="s">
        <v>199</v>
      </c>
      <c r="J52" s="3355" t="s">
        <v>199</v>
      </c>
      <c r="K52" s="3334" t="str">
        <f t="shared" ref="K52:K53" si="29">IF((SUM(F52:G52)-SUM(H52:J52))=0,"NO",(SUM(F52:G52)-SUM(H52:J52)))</f>
        <v>NO</v>
      </c>
      <c r="L52" s="2597" t="str">
        <f t="shared" ref="L52:L53" si="30">IF(K52="NO","NA",1)</f>
        <v>NA</v>
      </c>
      <c r="M52" s="55" t="s">
        <v>97</v>
      </c>
      <c r="N52" s="3334" t="str">
        <f t="shared" ref="N52:N53" si="31">K52</f>
        <v>NO</v>
      </c>
      <c r="O52" s="3307" t="s">
        <v>205</v>
      </c>
      <c r="P52" s="3334" t="str">
        <f t="shared" ref="P52:P53" si="32">IFERROR(N52*O52/1000,"NA")</f>
        <v>NA</v>
      </c>
      <c r="Q52" s="3339" t="str">
        <f>'Table1.A(d)'!G52</f>
        <v>NA</v>
      </c>
      <c r="R52" s="3334" t="str">
        <f t="shared" ref="R52:R53" si="33">IF(SUM(P52,-SUM(Q52))=0,"NO",SUM(P52,-SUM(Q52)))</f>
        <v>NO</v>
      </c>
      <c r="S52" s="2597" t="str">
        <f t="shared" ref="S52:S53" si="34">IF(R52="NO","NA",1)</f>
        <v>NA</v>
      </c>
      <c r="T52" s="3340" t="str">
        <f t="shared" ref="T52:T53" si="35">IF(R52="NO","NO",R52*S52*44/12)</f>
        <v>NO</v>
      </c>
    </row>
    <row r="53" spans="2:20" ht="18" customHeight="1" x14ac:dyDescent="0.2">
      <c r="B53" s="35" t="s">
        <v>407</v>
      </c>
      <c r="C53" s="36"/>
      <c r="D53" s="38"/>
      <c r="E53" s="2595" t="s">
        <v>374</v>
      </c>
      <c r="F53" s="3349" t="s">
        <v>199</v>
      </c>
      <c r="G53" s="3349" t="s">
        <v>199</v>
      </c>
      <c r="H53" s="3349" t="s">
        <v>199</v>
      </c>
      <c r="I53" s="3349" t="s">
        <v>199</v>
      </c>
      <c r="J53" s="3349" t="s">
        <v>199</v>
      </c>
      <c r="K53" s="3334" t="str">
        <f t="shared" si="29"/>
        <v>NO</v>
      </c>
      <c r="L53" s="2597" t="str">
        <f t="shared" si="30"/>
        <v>NA</v>
      </c>
      <c r="M53" s="55" t="s">
        <v>97</v>
      </c>
      <c r="N53" s="3334" t="str">
        <f t="shared" si="31"/>
        <v>NO</v>
      </c>
      <c r="O53" s="3307" t="s">
        <v>205</v>
      </c>
      <c r="P53" s="3334" t="str">
        <f t="shared" si="32"/>
        <v>NA</v>
      </c>
      <c r="Q53" s="3334" t="str">
        <f>'Table1.A(d)'!G53</f>
        <v>NA</v>
      </c>
      <c r="R53" s="3334" t="str">
        <f t="shared" si="33"/>
        <v>NO</v>
      </c>
      <c r="S53" s="122" t="str">
        <f t="shared" si="34"/>
        <v>NA</v>
      </c>
      <c r="T53" s="3340" t="str">
        <f t="shared" si="35"/>
        <v>NO</v>
      </c>
    </row>
    <row r="54" spans="2:20" ht="18" customHeight="1" thickBot="1" x14ac:dyDescent="0.25">
      <c r="B54" s="1250" t="s">
        <v>408</v>
      </c>
      <c r="C54" s="2368"/>
      <c r="D54" s="2368"/>
      <c r="E54" s="100"/>
      <c r="F54" s="3356"/>
      <c r="G54" s="3356"/>
      <c r="H54" s="3356"/>
      <c r="I54" s="3356"/>
      <c r="J54" s="3356"/>
      <c r="K54" s="3357"/>
      <c r="L54" s="2397"/>
      <c r="M54" s="2398"/>
      <c r="N54" s="3338">
        <f>SUM(N51:N53)</f>
        <v>0</v>
      </c>
      <c r="O54" s="3332"/>
      <c r="P54" s="3338">
        <f>SUM(P51:P53)</f>
        <v>0</v>
      </c>
      <c r="Q54" s="3338">
        <f>SUM(Q51:Q53)</f>
        <v>0</v>
      </c>
      <c r="R54" s="3338">
        <f>SUM(R51:R53)</f>
        <v>0</v>
      </c>
      <c r="S54" s="2399"/>
      <c r="T54" s="3344">
        <f>SUM(T51:T53)</f>
        <v>0</v>
      </c>
    </row>
    <row r="55" spans="2:20" ht="18" customHeight="1" thickBot="1" x14ac:dyDescent="0.25">
      <c r="B55" s="2395" t="s">
        <v>409</v>
      </c>
      <c r="C55" s="2396"/>
      <c r="D55" s="2396"/>
      <c r="E55" s="100"/>
      <c r="F55" s="3356"/>
      <c r="G55" s="3356"/>
      <c r="H55" s="3356"/>
      <c r="I55" s="3356"/>
      <c r="J55" s="3356"/>
      <c r="K55" s="3357"/>
      <c r="L55" s="2397"/>
      <c r="M55" s="2398"/>
      <c r="N55" s="3338">
        <f>SUM(N31,N45,N50,N54)</f>
        <v>5221982.4413992018</v>
      </c>
      <c r="O55" s="3332"/>
      <c r="P55" s="3338">
        <f>SUM(P31,P45,P50,P54)</f>
        <v>105811.48195588804</v>
      </c>
      <c r="Q55" s="3338">
        <f>SUM(Q31,Q45,Q50,Q54)</f>
        <v>6273.7764677136838</v>
      </c>
      <c r="R55" s="3338">
        <f>SUM(R31,R45,R50,R54)</f>
        <v>99537.705488174353</v>
      </c>
      <c r="S55" s="2399"/>
      <c r="T55" s="3344">
        <f>SUM(T31,T45,T50,T54)</f>
        <v>364971.58678997261</v>
      </c>
    </row>
    <row r="56" spans="2:20" ht="18" customHeight="1" x14ac:dyDescent="0.2">
      <c r="B56" s="1022" t="s">
        <v>410</v>
      </c>
      <c r="C56" s="95"/>
      <c r="D56" s="3371"/>
      <c r="E56" s="3372"/>
      <c r="F56" s="3373"/>
      <c r="G56" s="3373"/>
      <c r="H56" s="3373"/>
      <c r="I56" s="3373"/>
      <c r="J56" s="3373"/>
      <c r="K56" s="3374"/>
      <c r="L56" s="3372"/>
      <c r="M56" s="113"/>
      <c r="N56" s="3375" t="str">
        <f>IF(SUM(N57:N60)=0,"NA",SUM(N57:N60))</f>
        <v>NA</v>
      </c>
      <c r="O56" s="3376"/>
      <c r="P56" s="3375" t="str">
        <f>IF(SUM(P57:P60)=0,"NA",SUM(P57:P60))</f>
        <v>NA</v>
      </c>
      <c r="Q56" s="3375" t="str">
        <f>IF(SUM(Q57:Q60)=0,"NA",SUM(Q57:Q60))</f>
        <v>NA</v>
      </c>
      <c r="R56" s="3375" t="str">
        <f>IF(SUM(R57:R60)=0,"NA",SUM(R57:R60))</f>
        <v>NA</v>
      </c>
      <c r="S56" s="3372"/>
      <c r="T56" s="3377" t="str">
        <f>IF(SUM(T57:T60)=0,"NA",SUM(T57:T60))</f>
        <v>NA</v>
      </c>
    </row>
    <row r="57" spans="2:20" ht="18" customHeight="1" x14ac:dyDescent="0.2">
      <c r="B57" s="1023"/>
      <c r="C57" s="96"/>
      <c r="D57" s="39" t="s">
        <v>411</v>
      </c>
      <c r="E57" s="2595" t="s">
        <v>374</v>
      </c>
      <c r="F57" s="3326" t="s">
        <v>205</v>
      </c>
      <c r="G57" s="3326" t="s">
        <v>205</v>
      </c>
      <c r="H57" s="3326" t="s">
        <v>205</v>
      </c>
      <c r="I57" s="3346"/>
      <c r="J57" s="3326" t="s">
        <v>205</v>
      </c>
      <c r="K57" s="3334" t="s">
        <v>205</v>
      </c>
      <c r="L57" s="109" t="s">
        <v>205</v>
      </c>
      <c r="M57" s="55" t="s">
        <v>97</v>
      </c>
      <c r="N57" s="3334" t="s">
        <v>205</v>
      </c>
      <c r="O57" s="3307" t="s">
        <v>205</v>
      </c>
      <c r="P57" s="3334" t="s">
        <v>205</v>
      </c>
      <c r="Q57" s="3334" t="s">
        <v>205</v>
      </c>
      <c r="R57" s="3334" t="s">
        <v>205</v>
      </c>
      <c r="S57" s="109" t="s">
        <v>205</v>
      </c>
      <c r="T57" s="3340" t="s">
        <v>205</v>
      </c>
    </row>
    <row r="58" spans="2:20" ht="18" customHeight="1" x14ac:dyDescent="0.2">
      <c r="B58" s="1023"/>
      <c r="C58" s="96"/>
      <c r="D58" s="39" t="s">
        <v>412</v>
      </c>
      <c r="E58" s="2595" t="s">
        <v>374</v>
      </c>
      <c r="F58" s="3326" t="s">
        <v>205</v>
      </c>
      <c r="G58" s="3326" t="s">
        <v>205</v>
      </c>
      <c r="H58" s="3326" t="s">
        <v>205</v>
      </c>
      <c r="I58" s="3326" t="s">
        <v>205</v>
      </c>
      <c r="J58" s="3326" t="s">
        <v>205</v>
      </c>
      <c r="K58" s="3334" t="s">
        <v>205</v>
      </c>
      <c r="L58" s="109" t="s">
        <v>205</v>
      </c>
      <c r="M58" s="55" t="s">
        <v>97</v>
      </c>
      <c r="N58" s="3334" t="s">
        <v>205</v>
      </c>
      <c r="O58" s="3307" t="s">
        <v>205</v>
      </c>
      <c r="P58" s="3334" t="s">
        <v>205</v>
      </c>
      <c r="Q58" s="3334" t="s">
        <v>205</v>
      </c>
      <c r="R58" s="3334" t="s">
        <v>205</v>
      </c>
      <c r="S58" s="109" t="s">
        <v>205</v>
      </c>
      <c r="T58" s="3340" t="s">
        <v>205</v>
      </c>
    </row>
    <row r="59" spans="2:20" ht="18" customHeight="1" x14ac:dyDescent="0.2">
      <c r="B59" s="1023"/>
      <c r="C59" s="96"/>
      <c r="D59" s="39" t="s">
        <v>413</v>
      </c>
      <c r="E59" s="2595" t="s">
        <v>374</v>
      </c>
      <c r="F59" s="3355" t="s">
        <v>205</v>
      </c>
      <c r="G59" s="3355" t="s">
        <v>205</v>
      </c>
      <c r="H59" s="3355" t="s">
        <v>205</v>
      </c>
      <c r="I59" s="3326" t="s">
        <v>205</v>
      </c>
      <c r="J59" s="3355" t="s">
        <v>205</v>
      </c>
      <c r="K59" s="3339" t="s">
        <v>205</v>
      </c>
      <c r="L59" s="117" t="s">
        <v>205</v>
      </c>
      <c r="M59" s="55" t="s">
        <v>97</v>
      </c>
      <c r="N59" s="3339" t="s">
        <v>205</v>
      </c>
      <c r="O59" s="3306" t="s">
        <v>205</v>
      </c>
      <c r="P59" s="3339" t="s">
        <v>205</v>
      </c>
      <c r="Q59" s="3339" t="s">
        <v>205</v>
      </c>
      <c r="R59" s="3339" t="s">
        <v>205</v>
      </c>
      <c r="S59" s="117" t="s">
        <v>205</v>
      </c>
      <c r="T59" s="3345" t="s">
        <v>205</v>
      </c>
    </row>
    <row r="60" spans="2:20" ht="18" customHeight="1" thickBot="1" x14ac:dyDescent="0.25">
      <c r="B60" s="77"/>
      <c r="C60" s="101"/>
      <c r="D60" s="78" t="s">
        <v>414</v>
      </c>
      <c r="E60" s="2596" t="s">
        <v>374</v>
      </c>
      <c r="F60" s="3358" t="s">
        <v>205</v>
      </c>
      <c r="G60" s="3358" t="s">
        <v>205</v>
      </c>
      <c r="H60" s="3358" t="s">
        <v>205</v>
      </c>
      <c r="I60" s="3356"/>
      <c r="J60" s="3358" t="s">
        <v>205</v>
      </c>
      <c r="K60" s="3338" t="s">
        <v>205</v>
      </c>
      <c r="L60" s="123" t="s">
        <v>205</v>
      </c>
      <c r="M60" s="3378" t="s">
        <v>97</v>
      </c>
      <c r="N60" s="3338" t="s">
        <v>205</v>
      </c>
      <c r="O60" s="3333" t="s">
        <v>205</v>
      </c>
      <c r="P60" s="3338" t="s">
        <v>205</v>
      </c>
      <c r="Q60" s="3338" t="s">
        <v>205</v>
      </c>
      <c r="R60" s="3338" t="s">
        <v>205</v>
      </c>
      <c r="S60" s="123" t="s">
        <v>205</v>
      </c>
      <c r="T60" s="3344"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2460</v>
      </c>
    </row>
    <row r="2" spans="2:12" ht="16.5" customHeight="1" x14ac:dyDescent="0.3">
      <c r="B2" s="210" t="s">
        <v>417</v>
      </c>
      <c r="C2" s="210"/>
      <c r="D2" s="210"/>
      <c r="I2" s="14" t="s">
        <v>2461</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6"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126">
        <f>'Table1.A(b)'!N31/1000</f>
        <v>1804.4247325296603</v>
      </c>
      <c r="D10" s="4127">
        <f>C10-'Table1.A(d)'!E31/1000</f>
        <v>1681.638345764926</v>
      </c>
      <c r="E10" s="4126">
        <f>'Table1.A(b)'!T31</f>
        <v>116349.00176609494</v>
      </c>
      <c r="F10" s="4126">
        <f>'Table1.A(a)s1'!C11/1000</f>
        <v>1690.8578400692697</v>
      </c>
      <c r="G10" s="4126">
        <f>'Table1.A(a)s1'!H11</f>
        <v>115263.31985502891</v>
      </c>
      <c r="H10" s="4126">
        <f>100*((D10-F10)/F10)</f>
        <v>-0.54525543696600776</v>
      </c>
      <c r="I10" s="4128">
        <f>100*((E10-G10)/G10)</f>
        <v>0.94191448973665914</v>
      </c>
      <c r="L10"/>
    </row>
    <row r="11" spans="2:12" ht="18" customHeight="1" x14ac:dyDescent="0.2">
      <c r="B11" s="50" t="s">
        <v>430</v>
      </c>
      <c r="C11" s="4126">
        <f>'Table1.A(b)'!N45/1000</f>
        <v>2246.73438944489</v>
      </c>
      <c r="D11" s="4126">
        <f>C11-'Table1.A(d)'!E45/1000</f>
        <v>2131.1142888654463</v>
      </c>
      <c r="E11" s="4126">
        <f>'Table1.A(b)'!T45</f>
        <v>190938.77906706842</v>
      </c>
      <c r="F11" s="4126">
        <f>'Table1.A(a)s1'!C12/1000</f>
        <v>2142.8949066331575</v>
      </c>
      <c r="G11" s="4126">
        <f>'Table1.A(a)s1'!H12</f>
        <v>192199.07610452452</v>
      </c>
      <c r="H11" s="4126">
        <f t="shared" ref="H11:H13" si="0">100*((D11-F11)/F11)</f>
        <v>-0.54975247415285022</v>
      </c>
      <c r="I11" s="4128">
        <f t="shared" ref="I11:I13" si="1">100*((E11-G11)/G11)</f>
        <v>-0.65572481564412111</v>
      </c>
      <c r="L11"/>
    </row>
    <row r="12" spans="2:12" ht="18" customHeight="1" x14ac:dyDescent="0.2">
      <c r="B12" s="50" t="s">
        <v>431</v>
      </c>
      <c r="C12" s="4126">
        <f>'Table1.A(b)'!N50/1000</f>
        <v>1170.823319424652</v>
      </c>
      <c r="D12" s="4126">
        <f>C12-'Table1.A(d)'!E50/1000</f>
        <v>1121.6107745532845</v>
      </c>
      <c r="E12" s="4126">
        <f>'Table1.A(b)'!T50</f>
        <v>57683.805956809258</v>
      </c>
      <c r="F12" s="4126">
        <f>'Table1.A(a)s1'!C13/1000</f>
        <v>1113.3861983411214</v>
      </c>
      <c r="G12" s="4126">
        <f>'Table1.A(a)s1'!H13</f>
        <v>57303.782316317855</v>
      </c>
      <c r="H12" s="4126">
        <f t="shared" si="0"/>
        <v>0.73869931425566915</v>
      </c>
      <c r="I12" s="4128">
        <f t="shared" si="1"/>
        <v>0.6631737472295739</v>
      </c>
      <c r="L12"/>
    </row>
    <row r="13" spans="2:12" ht="18" customHeight="1" x14ac:dyDescent="0.2">
      <c r="B13" s="50" t="s">
        <v>432</v>
      </c>
      <c r="C13" s="4126">
        <f>'Table1.A(b)'!N54/1000</f>
        <v>0</v>
      </c>
      <c r="D13" s="4126">
        <f>C13-SUM('Table1.A(d)'!E54)/1000</f>
        <v>0</v>
      </c>
      <c r="E13" s="4126">
        <f>'Table1.A(b)'!T54</f>
        <v>0</v>
      </c>
      <c r="F13" s="4126">
        <f>'Table1.A(a)s1'!C14/1000</f>
        <v>7.4174492273924777</v>
      </c>
      <c r="G13" s="4126">
        <f>'Table1.A(a)s1'!H14</f>
        <v>667.27902836786859</v>
      </c>
      <c r="H13" s="4126">
        <f t="shared" si="0"/>
        <v>-100</v>
      </c>
      <c r="I13" s="4128">
        <f t="shared" si="1"/>
        <v>-100</v>
      </c>
      <c r="L13"/>
    </row>
    <row r="14" spans="2:12" ht="18" customHeight="1" x14ac:dyDescent="0.2">
      <c r="B14" s="50" t="s">
        <v>433</v>
      </c>
      <c r="C14" s="4126" t="s">
        <v>199</v>
      </c>
      <c r="D14" s="4126" t="s">
        <v>199</v>
      </c>
      <c r="E14" s="4126" t="s">
        <v>199</v>
      </c>
      <c r="F14" s="4126" t="s">
        <v>199</v>
      </c>
      <c r="G14" s="4126" t="str">
        <f>'Table1.A(a)s1'!H15</f>
        <v>NO</v>
      </c>
      <c r="H14" s="4126" t="s">
        <v>205</v>
      </c>
      <c r="I14" s="4128" t="s">
        <v>205</v>
      </c>
      <c r="L14"/>
    </row>
    <row r="15" spans="2:12" ht="18" customHeight="1" thickBot="1" x14ac:dyDescent="0.25">
      <c r="B15" s="2323" t="s">
        <v>434</v>
      </c>
      <c r="C15" s="4196">
        <f>SUM(C10:C14)</f>
        <v>5221.9824413992028</v>
      </c>
      <c r="D15" s="4196">
        <f>SUM(D10:D14)</f>
        <v>4934.3634091836566</v>
      </c>
      <c r="E15" s="4196">
        <f>SUM(E10:E14)</f>
        <v>364971.58678997261</v>
      </c>
      <c r="F15" s="4196">
        <f>SUM(F10:F14)</f>
        <v>4954.5563942709414</v>
      </c>
      <c r="G15" s="4196">
        <f>SUM(G10:G14)</f>
        <v>365433.45730423916</v>
      </c>
      <c r="H15" s="4197">
        <f t="shared" ref="H15" si="2">100*((D15-F15)/F15)</f>
        <v>-0.40756393671559321</v>
      </c>
      <c r="I15" s="4198">
        <f t="shared" ref="I15" si="3">100*((E15-G15)/G15)</f>
        <v>-0.12638977221016054</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500" t="s">
        <v>435</v>
      </c>
      <c r="C35" s="4501"/>
      <c r="D35" s="4501"/>
      <c r="E35" s="4501"/>
      <c r="F35" s="4501"/>
      <c r="G35" s="4501"/>
      <c r="H35" s="4501"/>
      <c r="I35" s="4502"/>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141E52C8-47E4-4DC2-8872-54DF2F6B3E75}">
  <ds:schemaRefs>
    <ds:schemaRef ds:uri="http://schemas.microsoft.com/office/2006/metadata/properties"/>
    <ds:schemaRef ds:uri="http://schemas.microsoft.com/office/infopath/2007/PartnerControls"/>
    <ds:schemaRef ds:uri="81c01dc6-2c49-4730-b140-874c95cac377"/>
    <ds:schemaRef ds:uri="f3ac41a9-262d-4755-bd43-8a680e000c6c"/>
  </ds:schemaRefs>
</ds:datastoreItem>
</file>

<file path=customXml/itemProps3.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Steven Oliver</cp:lastModifiedBy>
  <cp:revision/>
  <dcterms:created xsi:type="dcterms:W3CDTF">2011-02-23T16:15:13Z</dcterms:created>
  <dcterms:modified xsi:type="dcterms:W3CDTF">2024-04-12T00:59:41Z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ies>
</file>