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8" documentId="13_ncr:1_{AB3BA964-F1C3-444C-B94C-A7AED8425F02}" xr6:coauthVersionLast="47" xr6:coauthVersionMax="47" xr10:uidLastSave="{00FA4A5C-3456-4A0C-A57B-79EDD4029473}"/>
  <bookViews>
    <workbookView xWindow="210" yWindow="2085" windowWidth="27750" windowHeight="1267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C18" i="70"/>
  <c r="O22" i="70"/>
  <c r="C30" i="70"/>
  <c r="Q26" i="70"/>
  <c r="O50" i="70"/>
  <c r="O41" i="70"/>
  <c r="I50" i="70"/>
  <c r="I18" i="70"/>
  <c r="C41" i="70"/>
  <c r="I41" i="70"/>
  <c r="O30" i="70" l="1"/>
  <c r="O18" i="70"/>
  <c r="O12" i="70"/>
  <c r="O11" i="70" s="1"/>
  <c r="O10" i="70" s="1"/>
  <c r="I12" i="70"/>
  <c r="I11" i="70" s="1"/>
  <c r="I30" i="70"/>
  <c r="C12" i="70"/>
  <c r="C11" i="70" s="1"/>
  <c r="R26" i="70"/>
  <c r="S26" i="70"/>
  <c r="T26" i="70"/>
  <c r="C22" i="70"/>
  <c r="I22" i="70"/>
  <c r="C10" i="70" l="1"/>
  <c r="I10" i="70"/>
  <c r="C10" i="73" l="1"/>
  <c r="E34" i="73" s="1"/>
  <c r="E35" i="73" s="1"/>
  <c r="D282" i="56" l="1"/>
  <c r="D302" i="56"/>
  <c r="D281" i="56"/>
  <c r="D423" i="56"/>
  <c r="D415" i="56"/>
  <c r="C17" i="124"/>
  <c r="C11" i="124"/>
  <c r="C10" i="124" s="1"/>
  <c r="D411" i="56" l="1"/>
  <c r="D331" i="56"/>
  <c r="D327" i="56" s="1"/>
  <c r="D277" i="56"/>
  <c r="R18" i="50"/>
  <c r="R13" i="50" s="1"/>
  <c r="R10" i="50" s="1"/>
  <c r="Q17" i="52"/>
  <c r="Q11" i="52" s="1"/>
  <c r="Q10" i="52" s="1"/>
  <c r="Q11" i="53"/>
  <c r="P11" i="53"/>
  <c r="R21" i="51"/>
  <c r="R15" i="51" s="1"/>
  <c r="R10" i="51" s="1"/>
  <c r="N11" i="53" l="1"/>
  <c r="D22" i="51"/>
  <c r="E21" i="51"/>
  <c r="K22" i="51"/>
  <c r="L22" i="51"/>
  <c r="F21" i="51"/>
  <c r="D15" i="52"/>
  <c r="E14" i="52"/>
  <c r="K15" i="52"/>
  <c r="D18" i="52"/>
  <c r="K18" i="52"/>
  <c r="K16" i="52"/>
  <c r="D16" i="52"/>
  <c r="Q21" i="51"/>
  <c r="S22" i="51"/>
  <c r="S21" i="51" s="1"/>
  <c r="S19" i="50"/>
  <c r="S18" i="50" s="1"/>
  <c r="Q18" i="50"/>
  <c r="I35" i="47"/>
  <c r="K12" i="51"/>
  <c r="D12" i="51"/>
  <c r="F18" i="50"/>
  <c r="L19" i="50"/>
  <c r="E18" i="50"/>
  <c r="K18" i="50" s="1"/>
  <c r="D19" i="50"/>
  <c r="K19" i="50"/>
  <c r="P17" i="52"/>
  <c r="P11" i="52" s="1"/>
  <c r="P10" i="52" s="1"/>
  <c r="P11" i="51"/>
  <c r="N11" i="51" l="1"/>
  <c r="O19" i="52"/>
  <c r="S19" i="52" s="1"/>
  <c r="N17" i="52"/>
  <c r="N11" i="52" s="1"/>
  <c r="H18" i="52"/>
  <c r="J18" i="52"/>
  <c r="G18" i="52"/>
  <c r="H19" i="50"/>
  <c r="G19" i="50"/>
  <c r="D18" i="50"/>
  <c r="I19" i="50"/>
  <c r="J19" i="50"/>
  <c r="K14" i="52"/>
  <c r="O18" i="51"/>
  <c r="S18" i="51" s="1"/>
  <c r="I15" i="52"/>
  <c r="H15" i="52"/>
  <c r="J15" i="52"/>
  <c r="D14" i="52"/>
  <c r="G15" i="52"/>
  <c r="L21" i="51"/>
  <c r="F15" i="51"/>
  <c r="L18" i="50"/>
  <c r="F13" i="50"/>
  <c r="O12" i="51"/>
  <c r="M11" i="51"/>
  <c r="I16" i="52"/>
  <c r="J16" i="52"/>
  <c r="H16" i="52"/>
  <c r="G16" i="52"/>
  <c r="K21" i="51"/>
  <c r="D21" i="51"/>
  <c r="J22" i="51"/>
  <c r="G22" i="51"/>
  <c r="H22" i="51"/>
  <c r="I22" i="51"/>
  <c r="G12" i="51"/>
  <c r="H12" i="51"/>
  <c r="J12" i="51"/>
  <c r="O18" i="52"/>
  <c r="M17" i="52"/>
  <c r="M11" i="52" s="1"/>
  <c r="O12" i="53"/>
  <c r="M11" i="53"/>
  <c r="P22" i="49"/>
  <c r="U22" i="49" s="1"/>
  <c r="G45" i="59"/>
  <c r="G22" i="59"/>
  <c r="G16" i="59"/>
  <c r="O11" i="53" l="1"/>
  <c r="S12" i="53"/>
  <c r="S11" i="53" s="1"/>
  <c r="H18" i="50"/>
  <c r="G18" i="50"/>
  <c r="J18" i="50"/>
  <c r="I18" i="50"/>
  <c r="G18" i="59"/>
  <c r="F17" i="59"/>
  <c r="G17" i="59" s="1"/>
  <c r="F50" i="59"/>
  <c r="G51" i="59"/>
  <c r="I18" i="52"/>
  <c r="O17" i="52"/>
  <c r="O11" i="52" s="1"/>
  <c r="S18" i="52"/>
  <c r="S17" i="52" s="1"/>
  <c r="S11" i="52" s="1"/>
  <c r="J14" i="52"/>
  <c r="I14" i="52"/>
  <c r="G14" i="52"/>
  <c r="H14" i="52"/>
  <c r="G24" i="59"/>
  <c r="F23" i="59"/>
  <c r="G23" i="59" s="1"/>
  <c r="H21" i="51"/>
  <c r="J21" i="51"/>
  <c r="I21" i="51"/>
  <c r="G21" i="51"/>
  <c r="G14" i="59"/>
  <c r="P14" i="49"/>
  <c r="I12" i="51"/>
  <c r="S12" i="51"/>
  <c r="F38" i="59"/>
  <c r="G39" i="59"/>
  <c r="P15" i="49"/>
  <c r="U15" i="49" s="1"/>
  <c r="F10" i="51"/>
  <c r="L10" i="51" s="1"/>
  <c r="L15" i="51"/>
  <c r="F10" i="50"/>
  <c r="L10" i="50" s="1"/>
  <c r="L13" i="50"/>
  <c r="O14" i="51"/>
  <c r="S14" i="51" s="1"/>
  <c r="F49" i="59" l="1"/>
  <c r="G50" i="59"/>
  <c r="G38" i="59"/>
  <c r="F37" i="59"/>
  <c r="O11" i="51"/>
  <c r="C24" i="47"/>
  <c r="C21" i="47"/>
  <c r="T23" i="49"/>
  <c r="T16" i="49" s="1"/>
  <c r="T10" i="49" s="1"/>
  <c r="Q16" i="51"/>
  <c r="Q15" i="51" s="1"/>
  <c r="D21" i="49"/>
  <c r="Q14" i="53"/>
  <c r="Q13" i="53" s="1"/>
  <c r="Q10" i="53" s="1"/>
  <c r="R14" i="53"/>
  <c r="R13" i="53" s="1"/>
  <c r="R10" i="53" s="1"/>
  <c r="Q14" i="50"/>
  <c r="Q13" i="50" s="1"/>
  <c r="S25" i="49"/>
  <c r="S17" i="49"/>
  <c r="S11" i="49"/>
  <c r="L13" i="49" l="1"/>
  <c r="D13" i="49"/>
  <c r="M24" i="49"/>
  <c r="F23" i="49"/>
  <c r="D24" i="49"/>
  <c r="F32" i="59"/>
  <c r="G33" i="59"/>
  <c r="L12" i="49"/>
  <c r="D12" i="49"/>
  <c r="K16" i="53"/>
  <c r="D16" i="53"/>
  <c r="E14" i="53"/>
  <c r="D18" i="49"/>
  <c r="E17" i="49"/>
  <c r="L18" i="49"/>
  <c r="D15" i="50"/>
  <c r="K15" i="50"/>
  <c r="E14" i="50"/>
  <c r="G37" i="59"/>
  <c r="F66" i="59"/>
  <c r="G67" i="59"/>
  <c r="F43" i="59"/>
  <c r="G44" i="59"/>
  <c r="K37" i="52"/>
  <c r="E36" i="52"/>
  <c r="D37" i="52"/>
  <c r="F20" i="59"/>
  <c r="G21" i="59"/>
  <c r="H21" i="59"/>
  <c r="I21" i="59"/>
  <c r="E25" i="49"/>
  <c r="D26" i="49"/>
  <c r="L26" i="49"/>
  <c r="F14" i="53"/>
  <c r="L15" i="53"/>
  <c r="D15" i="53"/>
  <c r="E16" i="51"/>
  <c r="D17" i="51"/>
  <c r="K17" i="51"/>
  <c r="F48" i="59"/>
  <c r="G48" i="59" s="1"/>
  <c r="G49" i="59"/>
  <c r="Q17" i="49"/>
  <c r="R25" i="49"/>
  <c r="R17" i="49"/>
  <c r="O25" i="49"/>
  <c r="N14" i="50"/>
  <c r="N13" i="50" s="1"/>
  <c r="N16" i="51"/>
  <c r="N15" i="51" s="1"/>
  <c r="N10" i="51" s="1"/>
  <c r="N36" i="52"/>
  <c r="N35" i="52" s="1"/>
  <c r="N23" i="52" s="1"/>
  <c r="N10" i="52" s="1"/>
  <c r="O17" i="49"/>
  <c r="P14" i="50"/>
  <c r="P13" i="50" s="1"/>
  <c r="P10" i="50" s="1"/>
  <c r="O23" i="49"/>
  <c r="Q23" i="49"/>
  <c r="Q25" i="49"/>
  <c r="Q19" i="49"/>
  <c r="J21" i="49"/>
  <c r="N14" i="53"/>
  <c r="N13" i="53" s="1"/>
  <c r="N10" i="53" s="1"/>
  <c r="O16" i="53"/>
  <c r="R23" i="49"/>
  <c r="R11" i="49"/>
  <c r="P13" i="49"/>
  <c r="U13" i="49" s="1"/>
  <c r="K21" i="49"/>
  <c r="L21" i="49"/>
  <c r="O11" i="49"/>
  <c r="Q16" i="49" l="1"/>
  <c r="J12" i="49"/>
  <c r="G12" i="49"/>
  <c r="H12" i="49"/>
  <c r="K12" i="49"/>
  <c r="N11" i="49"/>
  <c r="P12" i="49"/>
  <c r="M16" i="51"/>
  <c r="M15" i="51" s="1"/>
  <c r="M10" i="51" s="1"/>
  <c r="O17" i="51"/>
  <c r="L14" i="53"/>
  <c r="F13" i="53"/>
  <c r="O15" i="50"/>
  <c r="M14" i="50"/>
  <c r="M13" i="50" s="1"/>
  <c r="C23" i="57"/>
  <c r="E13" i="50"/>
  <c r="K13" i="50" s="1"/>
  <c r="K14" i="50"/>
  <c r="D25" i="49"/>
  <c r="K26" i="49"/>
  <c r="H26" i="49"/>
  <c r="G26" i="49"/>
  <c r="J26" i="49"/>
  <c r="G43" i="59"/>
  <c r="F42" i="59"/>
  <c r="L25" i="49"/>
  <c r="C18" i="57"/>
  <c r="J15" i="50"/>
  <c r="D14" i="50"/>
  <c r="G15" i="50"/>
  <c r="H15" i="50"/>
  <c r="N25" i="49"/>
  <c r="P26" i="49"/>
  <c r="F31" i="59"/>
  <c r="G32" i="59"/>
  <c r="S19" i="49"/>
  <c r="S16" i="49" s="1"/>
  <c r="S10" i="49" s="1"/>
  <c r="N23" i="49"/>
  <c r="P24" i="49"/>
  <c r="J16" i="53"/>
  <c r="C15" i="57"/>
  <c r="E16" i="49"/>
  <c r="L16" i="49" s="1"/>
  <c r="L17" i="49"/>
  <c r="G15" i="59"/>
  <c r="F13" i="59"/>
  <c r="G66" i="59"/>
  <c r="F65" i="59"/>
  <c r="H18" i="49"/>
  <c r="J18" i="49"/>
  <c r="K18" i="49"/>
  <c r="D17" i="49"/>
  <c r="G18" i="49"/>
  <c r="D23" i="49"/>
  <c r="J24" i="49"/>
  <c r="H24" i="49"/>
  <c r="K24" i="49"/>
  <c r="G24" i="49"/>
  <c r="R19" i="49"/>
  <c r="R16" i="49" s="1"/>
  <c r="R10" i="49" s="1"/>
  <c r="P16" i="51"/>
  <c r="P15" i="51" s="1"/>
  <c r="P10" i="51" s="1"/>
  <c r="F19" i="59"/>
  <c r="G20" i="59"/>
  <c r="K14" i="53"/>
  <c r="E13" i="53"/>
  <c r="K13" i="53" s="1"/>
  <c r="C50" i="57"/>
  <c r="M23" i="49"/>
  <c r="F16" i="49"/>
  <c r="M14" i="53"/>
  <c r="M13" i="53" s="1"/>
  <c r="M10" i="53" s="1"/>
  <c r="O15" i="53"/>
  <c r="N17" i="49"/>
  <c r="P18" i="49"/>
  <c r="H17" i="51"/>
  <c r="I17" i="51"/>
  <c r="D16" i="51"/>
  <c r="G17" i="51"/>
  <c r="J37" i="52"/>
  <c r="H37" i="52"/>
  <c r="G37" i="52"/>
  <c r="D36" i="52"/>
  <c r="H16" i="53"/>
  <c r="G16" i="53"/>
  <c r="I16" i="53"/>
  <c r="O37" i="52"/>
  <c r="I37" i="52" s="1"/>
  <c r="M36" i="52"/>
  <c r="M35" i="52" s="1"/>
  <c r="M23" i="52" s="1"/>
  <c r="M10" i="52" s="1"/>
  <c r="L22" i="52"/>
  <c r="D22" i="52"/>
  <c r="F21" i="52"/>
  <c r="C32" i="57"/>
  <c r="E15" i="51"/>
  <c r="K15" i="51" s="1"/>
  <c r="K16" i="51"/>
  <c r="K36" i="52"/>
  <c r="E35" i="52"/>
  <c r="K13" i="49"/>
  <c r="G13" i="49"/>
  <c r="H13" i="49"/>
  <c r="J13" i="49"/>
  <c r="I13" i="49"/>
  <c r="D20" i="49"/>
  <c r="L20" i="49"/>
  <c r="E19" i="49"/>
  <c r="H21" i="49"/>
  <c r="D14" i="53"/>
  <c r="G15" i="53"/>
  <c r="H15" i="53"/>
  <c r="I15" i="53"/>
  <c r="O19" i="49"/>
  <c r="O16" i="49" s="1"/>
  <c r="O10" i="49" s="1"/>
  <c r="S17" i="51" l="1"/>
  <c r="S16" i="51" s="1"/>
  <c r="S15" i="51" s="1"/>
  <c r="C19" i="47" s="1"/>
  <c r="O16" i="51"/>
  <c r="O15" i="51" s="1"/>
  <c r="O10" i="51" s="1"/>
  <c r="E23" i="52"/>
  <c r="K23" i="52" s="1"/>
  <c r="K35" i="52"/>
  <c r="I24" i="49"/>
  <c r="P23" i="49"/>
  <c r="I23" i="49" s="1"/>
  <c r="U24" i="49"/>
  <c r="U23" i="49" s="1"/>
  <c r="G14" i="50"/>
  <c r="J14" i="50"/>
  <c r="H14" i="50"/>
  <c r="D13" i="50"/>
  <c r="P11" i="49"/>
  <c r="U12" i="49"/>
  <c r="D13" i="53"/>
  <c r="G14" i="53"/>
  <c r="H14" i="53"/>
  <c r="S15" i="53"/>
  <c r="S14" i="53" s="1"/>
  <c r="S13" i="53" s="1"/>
  <c r="O14" i="53"/>
  <c r="O13" i="53" s="1"/>
  <c r="O10" i="53" s="1"/>
  <c r="G25" i="49"/>
  <c r="K25" i="49"/>
  <c r="J25" i="49"/>
  <c r="H25" i="49"/>
  <c r="P17" i="49"/>
  <c r="I17" i="49" s="1"/>
  <c r="U18" i="49"/>
  <c r="U17" i="49" s="1"/>
  <c r="J36" i="52"/>
  <c r="H36" i="52"/>
  <c r="D35" i="52"/>
  <c r="G36" i="52"/>
  <c r="F10" i="49"/>
  <c r="M10" i="49" s="1"/>
  <c r="M16" i="49"/>
  <c r="G65" i="59"/>
  <c r="F59" i="59"/>
  <c r="G42" i="59"/>
  <c r="F36" i="59"/>
  <c r="G36" i="59" s="1"/>
  <c r="S37" i="52"/>
  <c r="S36" i="52" s="1"/>
  <c r="S35" i="52" s="1"/>
  <c r="S23" i="52" s="1"/>
  <c r="O36" i="52"/>
  <c r="O35" i="52" s="1"/>
  <c r="O23" i="52" s="1"/>
  <c r="O10" i="52" s="1"/>
  <c r="P21" i="49"/>
  <c r="G21" i="49"/>
  <c r="L19" i="49"/>
  <c r="C16" i="57"/>
  <c r="C30" i="57"/>
  <c r="C21" i="57"/>
  <c r="I12" i="49"/>
  <c r="L21" i="52"/>
  <c r="F17" i="52"/>
  <c r="C48" i="57"/>
  <c r="F12" i="59"/>
  <c r="G13" i="59"/>
  <c r="G20" i="49"/>
  <c r="D19" i="49"/>
  <c r="H20" i="49"/>
  <c r="J20" i="49"/>
  <c r="K20" i="49"/>
  <c r="J23" i="49"/>
  <c r="G23" i="49"/>
  <c r="H23" i="49"/>
  <c r="K23" i="49"/>
  <c r="D15" i="51"/>
  <c r="J16" i="51"/>
  <c r="H16" i="51"/>
  <c r="I16" i="51"/>
  <c r="G16" i="51"/>
  <c r="I18" i="49"/>
  <c r="S16" i="53"/>
  <c r="F25" i="59"/>
  <c r="G25" i="59" s="1"/>
  <c r="G31" i="59"/>
  <c r="L13" i="53"/>
  <c r="F10" i="53"/>
  <c r="L10" i="53" s="1"/>
  <c r="D21" i="52"/>
  <c r="H22" i="52"/>
  <c r="J22" i="52"/>
  <c r="G22" i="52"/>
  <c r="I22" i="52"/>
  <c r="I15" i="50"/>
  <c r="S15" i="50"/>
  <c r="S14" i="50" s="1"/>
  <c r="S13" i="50" s="1"/>
  <c r="C16" i="47" s="1"/>
  <c r="O14" i="50"/>
  <c r="O13" i="50" s="1"/>
  <c r="P20" i="49"/>
  <c r="N19" i="49"/>
  <c r="N16" i="49" s="1"/>
  <c r="N10" i="49" s="1"/>
  <c r="J17" i="51"/>
  <c r="P25" i="49"/>
  <c r="I25" i="49" s="1"/>
  <c r="U26" i="49"/>
  <c r="U25" i="49" s="1"/>
  <c r="I26" i="49"/>
  <c r="J17" i="49"/>
  <c r="G17" i="49"/>
  <c r="H17" i="49"/>
  <c r="K17" i="49"/>
  <c r="J15" i="53"/>
  <c r="P14" i="53"/>
  <c r="P13" i="53" s="1"/>
  <c r="P10" i="53" s="1"/>
  <c r="P19" i="49" l="1"/>
  <c r="I19" i="49" s="1"/>
  <c r="U20" i="49"/>
  <c r="U19" i="49" s="1"/>
  <c r="U16" i="49" s="1"/>
  <c r="C13" i="47" s="1"/>
  <c r="U21" i="49"/>
  <c r="I21" i="49"/>
  <c r="I36" i="52"/>
  <c r="I20" i="49"/>
  <c r="L17" i="52"/>
  <c r="F11" i="52"/>
  <c r="C22" i="47"/>
  <c r="C20" i="47" s="1"/>
  <c r="S10" i="52"/>
  <c r="J35" i="52"/>
  <c r="G35" i="52"/>
  <c r="D23" i="52"/>
  <c r="H35" i="52"/>
  <c r="I35" i="52"/>
  <c r="J14" i="53"/>
  <c r="C25" i="47"/>
  <c r="S10" i="53"/>
  <c r="I14" i="53"/>
  <c r="D16" i="49"/>
  <c r="J19" i="49"/>
  <c r="K19" i="49"/>
  <c r="G19" i="49"/>
  <c r="H19" i="49"/>
  <c r="C20" i="57"/>
  <c r="P16" i="49"/>
  <c r="P10" i="49" s="1"/>
  <c r="J13" i="53"/>
  <c r="H13" i="53"/>
  <c r="G13" i="53"/>
  <c r="I13" i="53"/>
  <c r="H21" i="52"/>
  <c r="J21" i="52"/>
  <c r="G21" i="52"/>
  <c r="I21" i="52"/>
  <c r="G59" i="59"/>
  <c r="J15" i="51"/>
  <c r="I15" i="51"/>
  <c r="H15" i="51"/>
  <c r="G15" i="51"/>
  <c r="I14" i="50"/>
  <c r="I13" i="50"/>
  <c r="G13" i="50"/>
  <c r="H13" i="50"/>
  <c r="J13" i="50"/>
  <c r="D12" i="53"/>
  <c r="E11" i="53"/>
  <c r="K12" i="53"/>
  <c r="F11" i="59"/>
  <c r="G12" i="59"/>
  <c r="C13" i="57"/>
  <c r="M17" i="48"/>
  <c r="M12" i="48"/>
  <c r="E20" i="48"/>
  <c r="E21" i="48" s="1"/>
  <c r="H30" i="57" l="1"/>
  <c r="D32" i="57"/>
  <c r="D30" i="57" s="1"/>
  <c r="F30" i="57" s="1"/>
  <c r="D14" i="49"/>
  <c r="L14" i="49"/>
  <c r="E11" i="49"/>
  <c r="D12" i="50"/>
  <c r="E11" i="50"/>
  <c r="D20" i="52"/>
  <c r="K20" i="52"/>
  <c r="E17" i="52"/>
  <c r="M15" i="48"/>
  <c r="C20" i="48"/>
  <c r="M10" i="48"/>
  <c r="K16" i="49"/>
  <c r="J16" i="49"/>
  <c r="G16" i="49"/>
  <c r="H16" i="49"/>
  <c r="I16" i="49"/>
  <c r="C46" i="109"/>
  <c r="F10" i="52"/>
  <c r="L10" i="52" s="1"/>
  <c r="L11" i="52"/>
  <c r="M13" i="48"/>
  <c r="M18" i="48"/>
  <c r="K20" i="48"/>
  <c r="F10" i="59"/>
  <c r="C23" i="47"/>
  <c r="D13" i="51"/>
  <c r="E11" i="51"/>
  <c r="C47" i="57"/>
  <c r="E10" i="53"/>
  <c r="K10" i="53" s="1"/>
  <c r="K11" i="53"/>
  <c r="D11" i="53"/>
  <c r="H12" i="53"/>
  <c r="J12" i="53"/>
  <c r="I12" i="53"/>
  <c r="G12" i="53"/>
  <c r="E10" i="54"/>
  <c r="D11" i="54"/>
  <c r="D10" i="54" s="1"/>
  <c r="F20" i="48"/>
  <c r="F21" i="48" s="1"/>
  <c r="H20" i="48"/>
  <c r="H21" i="48" s="1"/>
  <c r="H23" i="52"/>
  <c r="I23" i="52"/>
  <c r="G23" i="52"/>
  <c r="J23" i="52"/>
  <c r="J20" i="48"/>
  <c r="J21" i="48" s="1"/>
  <c r="H70" i="34"/>
  <c r="G72" i="34"/>
  <c r="G76" i="34"/>
  <c r="G67" i="34"/>
  <c r="G69" i="34"/>
  <c r="H67" i="34"/>
  <c r="H69" i="34"/>
  <c r="I76" i="34"/>
  <c r="I67" i="34"/>
  <c r="I69" i="34"/>
  <c r="H66" i="34"/>
  <c r="H73" i="34"/>
  <c r="H75" i="34"/>
  <c r="G65" i="34"/>
  <c r="I66" i="34"/>
  <c r="G68" i="34"/>
  <c r="I73" i="34"/>
  <c r="H68" i="34"/>
  <c r="G70" i="34"/>
  <c r="G80" i="34"/>
  <c r="G82" i="34"/>
  <c r="G84" i="34"/>
  <c r="G86" i="34"/>
  <c r="G88" i="34"/>
  <c r="G78" i="34"/>
  <c r="H80" i="34"/>
  <c r="I78" i="34"/>
  <c r="I80" i="34"/>
  <c r="I82" i="34"/>
  <c r="I84" i="34"/>
  <c r="G79" i="34"/>
  <c r="G81" i="34"/>
  <c r="G83" i="34"/>
  <c r="G85" i="34"/>
  <c r="G87" i="34"/>
  <c r="G89" i="34"/>
  <c r="I81" i="34"/>
  <c r="I83" i="34"/>
  <c r="I89" i="34"/>
  <c r="I55" i="34"/>
  <c r="I57" i="34"/>
  <c r="H59" i="34"/>
  <c r="G61" i="34"/>
  <c r="G63" i="34"/>
  <c r="I61" i="34"/>
  <c r="H63" i="34"/>
  <c r="G54" i="34"/>
  <c r="G56" i="34"/>
  <c r="G58" i="34"/>
  <c r="H54" i="34"/>
  <c r="H56" i="34"/>
  <c r="I54" i="34"/>
  <c r="I56" i="34"/>
  <c r="I58" i="34"/>
  <c r="H60" i="34"/>
  <c r="H62" i="34"/>
  <c r="G52" i="34"/>
  <c r="H53" i="34"/>
  <c r="G55" i="34"/>
  <c r="G57" i="34"/>
  <c r="H55" i="34"/>
  <c r="H57" i="34"/>
  <c r="G59" i="34"/>
  <c r="I94" i="34"/>
  <c r="I102" i="34"/>
  <c r="J109" i="34"/>
  <c r="J113" i="34"/>
  <c r="J115" i="34"/>
  <c r="K107" i="34"/>
  <c r="K109" i="34"/>
  <c r="K111" i="34"/>
  <c r="K113" i="34"/>
  <c r="K115" i="34"/>
  <c r="M107" i="34"/>
  <c r="M109" i="34"/>
  <c r="M111" i="34"/>
  <c r="M113" i="34"/>
  <c r="M115" i="34"/>
  <c r="I95" i="34"/>
  <c r="I97" i="34"/>
  <c r="I103" i="34"/>
  <c r="J112" i="34"/>
  <c r="J114" i="34"/>
  <c r="J116" i="34"/>
  <c r="K106" i="34"/>
  <c r="K108" i="34"/>
  <c r="K110" i="34"/>
  <c r="K112" i="34"/>
  <c r="K114" i="34"/>
  <c r="K116" i="34"/>
  <c r="M106" i="34"/>
  <c r="M108" i="34"/>
  <c r="M110" i="34"/>
  <c r="M112" i="34"/>
  <c r="M114" i="34"/>
  <c r="M116" i="34"/>
  <c r="L91" i="34"/>
  <c r="L90" i="34" s="1"/>
  <c r="G123" i="34"/>
  <c r="I121" i="34"/>
  <c r="I123" i="34"/>
  <c r="I127" i="34"/>
  <c r="G119" i="34"/>
  <c r="G127" i="34"/>
  <c r="H129" i="34"/>
  <c r="G120" i="34"/>
  <c r="G122" i="34"/>
  <c r="H120" i="34"/>
  <c r="H124" i="34"/>
  <c r="H126" i="34"/>
  <c r="O29" i="25"/>
  <c r="H128" i="34"/>
  <c r="I120" i="34"/>
  <c r="I126" i="34"/>
  <c r="G128" i="34"/>
  <c r="G118" i="34"/>
  <c r="G121" i="34"/>
  <c r="I118" i="34"/>
  <c r="G30" i="25"/>
  <c r="G137" i="34"/>
  <c r="G134" i="34"/>
  <c r="H142" i="34"/>
  <c r="H134" i="34"/>
  <c r="G139" i="34"/>
  <c r="T30" i="25"/>
  <c r="G132" i="34"/>
  <c r="F30" i="25"/>
  <c r="G136" i="34"/>
  <c r="G141" i="34"/>
  <c r="G133" i="34"/>
  <c r="G138" i="34"/>
  <c r="G140" i="34"/>
  <c r="H138" i="34"/>
  <c r="G143" i="34"/>
  <c r="G135" i="34"/>
  <c r="H143" i="34"/>
  <c r="H135" i="34"/>
  <c r="K30" i="25"/>
  <c r="O30" i="25"/>
  <c r="G142" i="34"/>
  <c r="I154" i="34"/>
  <c r="H149" i="34"/>
  <c r="I149" i="34"/>
  <c r="H151" i="34"/>
  <c r="I151" i="34"/>
  <c r="I153" i="34"/>
  <c r="H155" i="34"/>
  <c r="I155" i="34"/>
  <c r="H157" i="34"/>
  <c r="I150" i="34"/>
  <c r="H152" i="34"/>
  <c r="H154" i="34"/>
  <c r="I16" i="59"/>
  <c r="D18" i="57"/>
  <c r="J47" i="34"/>
  <c r="J41" i="34"/>
  <c r="F27" i="25" s="1"/>
  <c r="M48" i="34"/>
  <c r="K50" i="34"/>
  <c r="L41" i="34"/>
  <c r="J43" i="34"/>
  <c r="M50" i="34"/>
  <c r="M41" i="34"/>
  <c r="K43" i="34"/>
  <c r="M43" i="34"/>
  <c r="K45" i="34"/>
  <c r="K47" i="34"/>
  <c r="M47" i="34"/>
  <c r="K42" i="34"/>
  <c r="M45" i="34"/>
  <c r="L47" i="34"/>
  <c r="J49" i="34"/>
  <c r="K49" i="34"/>
  <c r="K40" i="34"/>
  <c r="M49" i="34"/>
  <c r="M40" i="34"/>
  <c r="K41" i="34"/>
  <c r="L50" i="34"/>
  <c r="M42" i="34"/>
  <c r="K44" i="34"/>
  <c r="J46" i="34"/>
  <c r="M46" i="34"/>
  <c r="L44" i="34"/>
  <c r="K46" i="34"/>
  <c r="M44" i="34"/>
  <c r="K48" i="34"/>
  <c r="J50" i="34"/>
  <c r="L42" i="34"/>
  <c r="L45" i="34"/>
  <c r="L43" i="34"/>
  <c r="L48" i="34"/>
  <c r="L49" i="34"/>
  <c r="L46" i="34"/>
  <c r="L40" i="34"/>
  <c r="I27" i="34"/>
  <c r="I29" i="34"/>
  <c r="G33" i="34"/>
  <c r="G35" i="34"/>
  <c r="I31" i="34"/>
  <c r="H26" i="34"/>
  <c r="G28" i="34"/>
  <c r="I26" i="34"/>
  <c r="H28" i="34"/>
  <c r="I28" i="34"/>
  <c r="H30" i="34"/>
  <c r="H32" i="34"/>
  <c r="G34" i="34"/>
  <c r="G26" i="34"/>
  <c r="H37" i="34"/>
  <c r="I36" i="34"/>
  <c r="G27" i="34"/>
  <c r="G29" i="34"/>
  <c r="I33" i="34"/>
  <c r="D16" i="57"/>
  <c r="I22" i="59"/>
  <c r="I45" i="59"/>
  <c r="I15" i="59"/>
  <c r="H16" i="59"/>
  <c r="H22" i="59"/>
  <c r="H15" i="59"/>
  <c r="H45" i="59"/>
  <c r="D12" i="57"/>
  <c r="L20" i="59"/>
  <c r="I12" i="57"/>
  <c r="Q11" i="50"/>
  <c r="Q10" i="50" s="1"/>
  <c r="L23" i="59" l="1"/>
  <c r="I23" i="59" s="1"/>
  <c r="I24" i="59"/>
  <c r="I15" i="57"/>
  <c r="G13" i="57"/>
  <c r="E15" i="57"/>
  <c r="K131" i="34"/>
  <c r="K130" i="34" s="1"/>
  <c r="K117" i="34"/>
  <c r="J106" i="34"/>
  <c r="D28" i="25"/>
  <c r="E106" i="34"/>
  <c r="H106" i="34" s="1"/>
  <c r="H93" i="34"/>
  <c r="M91" i="34"/>
  <c r="M105" i="34"/>
  <c r="M104" i="34" s="1"/>
  <c r="J91" i="34"/>
  <c r="J105" i="34"/>
  <c r="H92" i="34"/>
  <c r="E105" i="34"/>
  <c r="H105" i="34" s="1"/>
  <c r="G60" i="34"/>
  <c r="H79" i="34"/>
  <c r="M77" i="34"/>
  <c r="J77" i="34"/>
  <c r="H78" i="34"/>
  <c r="H71" i="34"/>
  <c r="I74" i="34"/>
  <c r="H65" i="34"/>
  <c r="H31" i="34"/>
  <c r="D43" i="34"/>
  <c r="G43" i="34" s="1"/>
  <c r="G17" i="34"/>
  <c r="M27" i="25"/>
  <c r="T27" i="25"/>
  <c r="I21" i="34"/>
  <c r="F47" i="34"/>
  <c r="I47" i="34" s="1"/>
  <c r="J39" i="34"/>
  <c r="J12" i="34"/>
  <c r="I152" i="34"/>
  <c r="G155" i="34"/>
  <c r="O31" i="25"/>
  <c r="G149" i="34"/>
  <c r="F31" i="25"/>
  <c r="H156" i="34"/>
  <c r="H118" i="34"/>
  <c r="D116" i="34"/>
  <c r="G116" i="34" s="1"/>
  <c r="G103" i="34"/>
  <c r="D105" i="34"/>
  <c r="G105" i="34" s="1"/>
  <c r="G92" i="34"/>
  <c r="I88" i="34"/>
  <c r="G66" i="34"/>
  <c r="C46" i="57"/>
  <c r="K17" i="52"/>
  <c r="E11" i="52"/>
  <c r="I20" i="59"/>
  <c r="M25" i="34"/>
  <c r="E48" i="34"/>
  <c r="H48" i="34" s="1"/>
  <c r="H22" i="34"/>
  <c r="I19" i="34"/>
  <c r="F45" i="34"/>
  <c r="I45" i="34" s="1"/>
  <c r="T29" i="25"/>
  <c r="I101" i="34"/>
  <c r="G101" i="34"/>
  <c r="D114" i="34"/>
  <c r="G114" i="34" s="1"/>
  <c r="I100" i="34"/>
  <c r="G102" i="34"/>
  <c r="D115" i="34"/>
  <c r="G115" i="34" s="1"/>
  <c r="M51" i="34"/>
  <c r="I87" i="34"/>
  <c r="I86" i="34"/>
  <c r="G74" i="34"/>
  <c r="E10" i="51"/>
  <c r="C29" i="57"/>
  <c r="U14" i="49"/>
  <c r="U11" i="49" s="1"/>
  <c r="Q11" i="49"/>
  <c r="Q10" i="49" s="1"/>
  <c r="I32" i="57"/>
  <c r="G30" i="57"/>
  <c r="E32" i="57"/>
  <c r="K17" i="59"/>
  <c r="H17" i="59" s="1"/>
  <c r="H18" i="59"/>
  <c r="G148" i="34"/>
  <c r="D31" i="25"/>
  <c r="I158" i="34"/>
  <c r="G152" i="34"/>
  <c r="I31" i="25"/>
  <c r="I124" i="34"/>
  <c r="H122" i="34"/>
  <c r="I125" i="34"/>
  <c r="I99" i="34"/>
  <c r="G99" i="34"/>
  <c r="D112" i="34"/>
  <c r="G112" i="34" s="1"/>
  <c r="I98" i="34"/>
  <c r="D113" i="34"/>
  <c r="G113" i="34" s="1"/>
  <c r="G100" i="34"/>
  <c r="I85" i="34"/>
  <c r="K64" i="34"/>
  <c r="I72" i="34"/>
  <c r="J13" i="51"/>
  <c r="H13" i="51"/>
  <c r="G13" i="51"/>
  <c r="I13" i="51"/>
  <c r="D11" i="51"/>
  <c r="C46" i="65"/>
  <c r="H20" i="52"/>
  <c r="G20" i="52"/>
  <c r="I20" i="52"/>
  <c r="J20" i="52"/>
  <c r="D17" i="52"/>
  <c r="D23" i="57"/>
  <c r="D21" i="57" s="1"/>
  <c r="H21" i="57"/>
  <c r="H20" i="57" s="1"/>
  <c r="G22" i="34"/>
  <c r="D48" i="34"/>
  <c r="G48" i="34" s="1"/>
  <c r="G147" i="34"/>
  <c r="C31" i="25"/>
  <c r="J146" i="34"/>
  <c r="M131" i="34"/>
  <c r="M130" i="34" s="1"/>
  <c r="I122" i="34"/>
  <c r="D110" i="34"/>
  <c r="G110" i="34" s="1"/>
  <c r="G97" i="34"/>
  <c r="I96" i="34"/>
  <c r="G98" i="34"/>
  <c r="D111" i="34"/>
  <c r="G111" i="34" s="1"/>
  <c r="K51" i="34"/>
  <c r="C47" i="109"/>
  <c r="K12" i="50"/>
  <c r="D49" i="34"/>
  <c r="G49" i="34" s="1"/>
  <c r="G23" i="34"/>
  <c r="I23" i="57"/>
  <c r="G21" i="57"/>
  <c r="E23" i="57"/>
  <c r="I24" i="34"/>
  <c r="F50" i="34"/>
  <c r="I50" i="34" s="1"/>
  <c r="O27" i="25"/>
  <c r="O26" i="25" s="1"/>
  <c r="J48" i="34"/>
  <c r="R27" i="25" s="1"/>
  <c r="R26" i="25" s="1"/>
  <c r="H27" i="25"/>
  <c r="K38" i="59"/>
  <c r="H39" i="59"/>
  <c r="G31" i="34"/>
  <c r="G36" i="34"/>
  <c r="G18" i="34"/>
  <c r="D44" i="34"/>
  <c r="G44" i="34" s="1"/>
  <c r="K13" i="51"/>
  <c r="S13" i="51"/>
  <c r="S11" i="51" s="1"/>
  <c r="Q11" i="51"/>
  <c r="Q10" i="51" s="1"/>
  <c r="I18" i="57"/>
  <c r="E18" i="57"/>
  <c r="K20" i="59"/>
  <c r="L25" i="34"/>
  <c r="J25" i="34"/>
  <c r="M39" i="34"/>
  <c r="M38" i="34" s="1"/>
  <c r="M12" i="34"/>
  <c r="H148" i="34"/>
  <c r="G151" i="34"/>
  <c r="H31" i="25"/>
  <c r="I156" i="34"/>
  <c r="I128" i="34"/>
  <c r="M117" i="34"/>
  <c r="G95" i="34"/>
  <c r="D108" i="34"/>
  <c r="G108" i="34" s="1"/>
  <c r="D109" i="34"/>
  <c r="G109" i="34" s="1"/>
  <c r="G96" i="34"/>
  <c r="I71" i="34"/>
  <c r="I65" i="34"/>
  <c r="I68" i="34"/>
  <c r="K11" i="50"/>
  <c r="E10" i="50"/>
  <c r="K10" i="50" s="1"/>
  <c r="F46" i="34"/>
  <c r="I46" i="34" s="1"/>
  <c r="I20" i="34"/>
  <c r="M146" i="34"/>
  <c r="G28" i="57"/>
  <c r="D15" i="57"/>
  <c r="D13" i="57" s="1"/>
  <c r="F13" i="57" s="1"/>
  <c r="H13" i="57"/>
  <c r="H11" i="57" s="1"/>
  <c r="F39" i="34"/>
  <c r="I39" i="34" s="1"/>
  <c r="I13" i="34"/>
  <c r="K23" i="59"/>
  <c r="H23" i="59" s="1"/>
  <c r="H24" i="59"/>
  <c r="G37" i="34"/>
  <c r="G15" i="34"/>
  <c r="D41" i="34"/>
  <c r="G41" i="34" s="1"/>
  <c r="G16" i="34"/>
  <c r="D42" i="34"/>
  <c r="G42" i="34" s="1"/>
  <c r="H29" i="34"/>
  <c r="H34" i="34"/>
  <c r="H35" i="34"/>
  <c r="E49" i="34"/>
  <c r="H49" i="34" s="1"/>
  <c r="H23" i="34"/>
  <c r="E46" i="34"/>
  <c r="H46" i="34" s="1"/>
  <c r="H20" i="34"/>
  <c r="E42" i="34"/>
  <c r="H42" i="34" s="1"/>
  <c r="H16" i="34"/>
  <c r="H14" i="34"/>
  <c r="E40" i="34"/>
  <c r="H40" i="34" s="1"/>
  <c r="I157" i="34"/>
  <c r="L38" i="59"/>
  <c r="I39" i="59"/>
  <c r="L43" i="59"/>
  <c r="I44" i="59"/>
  <c r="H27" i="34"/>
  <c r="I32" i="34"/>
  <c r="H33" i="34"/>
  <c r="I18" i="34"/>
  <c r="F44" i="34"/>
  <c r="I44" i="34" s="1"/>
  <c r="I14" i="34"/>
  <c r="F40" i="34"/>
  <c r="I40" i="34" s="1"/>
  <c r="J45" i="34"/>
  <c r="K27" i="25" s="1"/>
  <c r="K26" i="25" s="1"/>
  <c r="E45" i="34"/>
  <c r="H45" i="34" s="1"/>
  <c r="H19" i="34"/>
  <c r="G154" i="34"/>
  <c r="M31" i="25"/>
  <c r="H147" i="34"/>
  <c r="D30" i="25"/>
  <c r="R30" i="25"/>
  <c r="H141" i="34"/>
  <c r="H132" i="34"/>
  <c r="I119" i="34"/>
  <c r="G129" i="34"/>
  <c r="C29" i="25"/>
  <c r="J117" i="34"/>
  <c r="I93" i="34"/>
  <c r="G93" i="34"/>
  <c r="D106" i="34"/>
  <c r="G106" i="34" s="1"/>
  <c r="K105" i="34"/>
  <c r="K104" i="34" s="1"/>
  <c r="K91" i="34"/>
  <c r="I92" i="34"/>
  <c r="G94" i="34"/>
  <c r="D107" i="34"/>
  <c r="G107" i="34" s="1"/>
  <c r="I53" i="34"/>
  <c r="I52" i="34"/>
  <c r="I79" i="34"/>
  <c r="K77" i="34"/>
  <c r="I75" i="34"/>
  <c r="J12" i="50"/>
  <c r="D11" i="50"/>
  <c r="I16" i="57"/>
  <c r="E16" i="57"/>
  <c r="F49" i="34"/>
  <c r="I49" i="34" s="1"/>
  <c r="I23" i="34"/>
  <c r="H136" i="34"/>
  <c r="U29" i="25"/>
  <c r="R29" i="25"/>
  <c r="U28" i="25"/>
  <c r="H103" i="34"/>
  <c r="E116" i="34"/>
  <c r="H116" i="34" s="1"/>
  <c r="T28" i="25"/>
  <c r="E115" i="34"/>
  <c r="H115" i="34" s="1"/>
  <c r="H102" i="34"/>
  <c r="G53" i="34"/>
  <c r="I63" i="34"/>
  <c r="L77" i="34"/>
  <c r="H89" i="34"/>
  <c r="H88" i="34"/>
  <c r="G71" i="34"/>
  <c r="H74" i="34"/>
  <c r="C12" i="57"/>
  <c r="L11" i="49"/>
  <c r="E10" i="49"/>
  <c r="L10" i="49" s="1"/>
  <c r="I30" i="34"/>
  <c r="L146" i="34"/>
  <c r="M29" i="25"/>
  <c r="H127" i="34"/>
  <c r="R28" i="25"/>
  <c r="H101" i="34"/>
  <c r="E114" i="34"/>
  <c r="H114" i="34" s="1"/>
  <c r="O28" i="25"/>
  <c r="H100" i="34"/>
  <c r="E113" i="34"/>
  <c r="H113" i="34" s="1"/>
  <c r="H52" i="34"/>
  <c r="H58" i="34"/>
  <c r="H61" i="34"/>
  <c r="H87" i="34"/>
  <c r="H86" i="34"/>
  <c r="G75" i="34"/>
  <c r="M64" i="34"/>
  <c r="F48" i="34"/>
  <c r="I48" i="34" s="1"/>
  <c r="I22" i="34"/>
  <c r="H15" i="34"/>
  <c r="E41" i="34"/>
  <c r="H41" i="34" s="1"/>
  <c r="G24" i="34"/>
  <c r="D50" i="34"/>
  <c r="G50" i="34" s="1"/>
  <c r="K13" i="59"/>
  <c r="H14" i="59"/>
  <c r="H13" i="34"/>
  <c r="E39" i="34"/>
  <c r="H39" i="34" s="1"/>
  <c r="H21" i="34"/>
  <c r="E47" i="34"/>
  <c r="H47" i="34" s="1"/>
  <c r="G150" i="34"/>
  <c r="G31" i="25"/>
  <c r="U31" i="25"/>
  <c r="G158" i="34"/>
  <c r="U30" i="25"/>
  <c r="D11" i="57"/>
  <c r="H36" i="34"/>
  <c r="L39" i="34"/>
  <c r="L38" i="34" s="1"/>
  <c r="L12" i="34"/>
  <c r="G21" i="34"/>
  <c r="D47" i="34"/>
  <c r="G47" i="34" s="1"/>
  <c r="H150" i="34"/>
  <c r="G153" i="34"/>
  <c r="K31" i="25"/>
  <c r="I30" i="25"/>
  <c r="J131" i="34"/>
  <c r="J130" i="34" s="1"/>
  <c r="C30" i="25"/>
  <c r="L117" i="34"/>
  <c r="K29" i="25"/>
  <c r="G126" i="34"/>
  <c r="G125" i="34"/>
  <c r="I29" i="25"/>
  <c r="H125" i="34"/>
  <c r="M28" i="25"/>
  <c r="H99" i="34"/>
  <c r="E112" i="34"/>
  <c r="H112" i="34" s="1"/>
  <c r="J111" i="34"/>
  <c r="K28" i="25"/>
  <c r="H98" i="34"/>
  <c r="E111" i="34"/>
  <c r="H111" i="34" s="1"/>
  <c r="I62" i="34"/>
  <c r="L51" i="34"/>
  <c r="I59" i="34"/>
  <c r="H85" i="34"/>
  <c r="H84" i="34"/>
  <c r="G73" i="34"/>
  <c r="H72" i="34"/>
  <c r="K21" i="48"/>
  <c r="I14" i="49"/>
  <c r="H14" i="49"/>
  <c r="J14" i="49"/>
  <c r="G14" i="49"/>
  <c r="K14" i="49"/>
  <c r="D11" i="49"/>
  <c r="H18" i="34"/>
  <c r="E44" i="34"/>
  <c r="H44" i="34" s="1"/>
  <c r="J42" i="34"/>
  <c r="G27" i="25" s="1"/>
  <c r="L13" i="59"/>
  <c r="I14" i="59"/>
  <c r="I37" i="34"/>
  <c r="L17" i="59"/>
  <c r="I17" i="59" s="1"/>
  <c r="I18" i="59"/>
  <c r="K25" i="34"/>
  <c r="G32" i="34"/>
  <c r="I17" i="34"/>
  <c r="F43" i="34"/>
  <c r="I43" i="34" s="1"/>
  <c r="J40" i="34"/>
  <c r="D27" i="25" s="1"/>
  <c r="D26" i="25" s="1"/>
  <c r="G14" i="34"/>
  <c r="D40" i="34"/>
  <c r="G40" i="34" s="1"/>
  <c r="K146" i="34"/>
  <c r="H30" i="25"/>
  <c r="M30" i="25"/>
  <c r="I34" i="34"/>
  <c r="I35" i="34"/>
  <c r="G30" i="34"/>
  <c r="U27" i="25"/>
  <c r="U26" i="25" s="1"/>
  <c r="I15" i="34"/>
  <c r="F41" i="34"/>
  <c r="I41" i="34" s="1"/>
  <c r="J44" i="34"/>
  <c r="I27" i="25" s="1"/>
  <c r="I26" i="25" s="1"/>
  <c r="G20" i="34"/>
  <c r="D46" i="34"/>
  <c r="G46" i="34" s="1"/>
  <c r="D39" i="34"/>
  <c r="G39" i="34" s="1"/>
  <c r="G13" i="34"/>
  <c r="D45" i="34"/>
  <c r="G45" i="34" s="1"/>
  <c r="G19" i="34"/>
  <c r="G157" i="34"/>
  <c r="T31" i="25"/>
  <c r="I148" i="34"/>
  <c r="H158" i="34"/>
  <c r="I147" i="34"/>
  <c r="H140" i="34"/>
  <c r="H137" i="34"/>
  <c r="F29" i="25"/>
  <c r="H29" i="25"/>
  <c r="G124" i="34"/>
  <c r="H119" i="34"/>
  <c r="G29" i="25"/>
  <c r="H123" i="34"/>
  <c r="J110" i="34"/>
  <c r="I28" i="25" s="1"/>
  <c r="E110" i="34"/>
  <c r="H110" i="34" s="1"/>
  <c r="H97" i="34"/>
  <c r="H28" i="25"/>
  <c r="H96" i="34"/>
  <c r="E109" i="34"/>
  <c r="H109" i="34" s="1"/>
  <c r="I60" i="34"/>
  <c r="H83" i="34"/>
  <c r="H82" i="34"/>
  <c r="J64" i="34"/>
  <c r="I70" i="34"/>
  <c r="D10" i="53"/>
  <c r="H11" i="53"/>
  <c r="I11" i="53"/>
  <c r="J11" i="53"/>
  <c r="G11" i="53"/>
  <c r="M20" i="48"/>
  <c r="M21" i="48"/>
  <c r="C21" i="48"/>
  <c r="H24" i="34"/>
  <c r="E50" i="34"/>
  <c r="H50" i="34" s="1"/>
  <c r="K12" i="34"/>
  <c r="K39" i="34"/>
  <c r="K38" i="34" s="1"/>
  <c r="F42" i="34"/>
  <c r="I42" i="34" s="1"/>
  <c r="I16" i="34"/>
  <c r="H17" i="34"/>
  <c r="E43" i="34"/>
  <c r="H43" i="34" s="1"/>
  <c r="H153" i="34"/>
  <c r="G156" i="34"/>
  <c r="R31" i="25"/>
  <c r="H133" i="34"/>
  <c r="H139" i="34"/>
  <c r="D29" i="25"/>
  <c r="I129" i="34"/>
  <c r="H121" i="34"/>
  <c r="J108" i="34"/>
  <c r="G28" i="25" s="1"/>
  <c r="H95" i="34"/>
  <c r="E108" i="34"/>
  <c r="H108" i="34" s="1"/>
  <c r="J107" i="34"/>
  <c r="F28" i="25" s="1"/>
  <c r="F26" i="25" s="1"/>
  <c r="H94" i="34"/>
  <c r="E107" i="34"/>
  <c r="H107" i="34" s="1"/>
  <c r="G62" i="34"/>
  <c r="J51" i="34"/>
  <c r="H81" i="34"/>
  <c r="L64" i="34"/>
  <c r="H76" i="34"/>
  <c r="F14" i="124"/>
  <c r="D14" i="124" s="1"/>
  <c r="F10" i="25" l="1"/>
  <c r="F43" i="25"/>
  <c r="F39" i="25" s="1"/>
  <c r="K10" i="25"/>
  <c r="K43" i="25"/>
  <c r="K39" i="25" s="1"/>
  <c r="R10" i="25"/>
  <c r="R43" i="25"/>
  <c r="R39" i="25" s="1"/>
  <c r="G26" i="25"/>
  <c r="I43" i="25"/>
  <c r="I39" i="25" s="1"/>
  <c r="I10" i="25"/>
  <c r="D10" i="25"/>
  <c r="D43" i="25"/>
  <c r="D39" i="25" s="1"/>
  <c r="C30" i="47"/>
  <c r="I32" i="47"/>
  <c r="F49" i="22"/>
  <c r="K90" i="34"/>
  <c r="G20" i="57"/>
  <c r="I21" i="57"/>
  <c r="E21" i="57"/>
  <c r="K10" i="51"/>
  <c r="C27" i="25"/>
  <c r="M90" i="34"/>
  <c r="I10" i="53"/>
  <c r="G10" i="53"/>
  <c r="J10" i="53"/>
  <c r="H10" i="53"/>
  <c r="J302" i="56"/>
  <c r="J281" i="56"/>
  <c r="G306" i="56"/>
  <c r="G281" i="56" s="1"/>
  <c r="M11" i="34"/>
  <c r="M10" i="34" s="1"/>
  <c r="S10" i="51"/>
  <c r="C18" i="47"/>
  <c r="C17" i="47" s="1"/>
  <c r="L32" i="59"/>
  <c r="I33" i="59"/>
  <c r="J282" i="56"/>
  <c r="G307" i="56"/>
  <c r="G282" i="56" s="1"/>
  <c r="C11" i="57"/>
  <c r="E12" i="57"/>
  <c r="D10" i="50"/>
  <c r="J10" i="50" s="1"/>
  <c r="J11" i="50"/>
  <c r="J38" i="34"/>
  <c r="J11" i="34" s="1"/>
  <c r="I29" i="57"/>
  <c r="E18" i="47" s="1"/>
  <c r="H28" i="57"/>
  <c r="D29" i="57"/>
  <c r="D28" i="57" s="1"/>
  <c r="F28" i="57" s="1"/>
  <c r="U43" i="25"/>
  <c r="U39" i="25" s="1"/>
  <c r="U10" i="25"/>
  <c r="K11" i="34"/>
  <c r="K10" i="34" s="1"/>
  <c r="J415" i="56"/>
  <c r="J423" i="56"/>
  <c r="J416" i="56" s="1"/>
  <c r="G427" i="56"/>
  <c r="K50" i="59"/>
  <c r="H51" i="59"/>
  <c r="K32" i="59"/>
  <c r="H33" i="59"/>
  <c r="E30" i="47"/>
  <c r="E50" i="109" s="1"/>
  <c r="E50" i="65" s="1"/>
  <c r="P49" i="70" s="1"/>
  <c r="Q49" i="70" s="1"/>
  <c r="I31" i="47"/>
  <c r="L12" i="59"/>
  <c r="I13" i="59"/>
  <c r="L42" i="59"/>
  <c r="I42" i="59" s="1"/>
  <c r="I43" i="59"/>
  <c r="K37" i="59"/>
  <c r="H38" i="59"/>
  <c r="F50" i="22"/>
  <c r="D45" i="70"/>
  <c r="E45" i="70" s="1"/>
  <c r="K19" i="59"/>
  <c r="H20" i="59"/>
  <c r="H26" i="25"/>
  <c r="I11" i="51"/>
  <c r="H11" i="51"/>
  <c r="G11" i="51"/>
  <c r="D10" i="51"/>
  <c r="J11" i="51"/>
  <c r="T26" i="25"/>
  <c r="F48" i="22"/>
  <c r="L37" i="59"/>
  <c r="I38" i="59"/>
  <c r="I28" i="57"/>
  <c r="C47" i="65"/>
  <c r="I30" i="57"/>
  <c r="E19" i="47" s="1"/>
  <c r="E30" i="57"/>
  <c r="L19" i="59"/>
  <c r="I19" i="59" s="1"/>
  <c r="M26" i="25"/>
  <c r="K11" i="52"/>
  <c r="E10" i="52"/>
  <c r="K10" i="52" s="1"/>
  <c r="L50" i="59"/>
  <c r="I51" i="59"/>
  <c r="K43" i="59"/>
  <c r="H44" i="59"/>
  <c r="L11" i="34"/>
  <c r="L10" i="34" s="1"/>
  <c r="O43" i="25"/>
  <c r="O39" i="25" s="1"/>
  <c r="O10" i="25"/>
  <c r="C28" i="25"/>
  <c r="F47" i="22" s="1"/>
  <c r="G11" i="57"/>
  <c r="I13" i="57"/>
  <c r="E13" i="47" s="1"/>
  <c r="E13" i="57"/>
  <c r="U10" i="49"/>
  <c r="C12" i="47"/>
  <c r="J104" i="34"/>
  <c r="J90" i="34" s="1"/>
  <c r="F21" i="57"/>
  <c r="D20" i="57"/>
  <c r="F20" i="57" s="1"/>
  <c r="K12" i="59"/>
  <c r="H13" i="59"/>
  <c r="H17" i="52"/>
  <c r="G17" i="52"/>
  <c r="I17" i="52"/>
  <c r="J17" i="52"/>
  <c r="D11" i="52"/>
  <c r="K11" i="51"/>
  <c r="C10" i="127"/>
  <c r="D10" i="49"/>
  <c r="H11" i="49"/>
  <c r="I11" i="49"/>
  <c r="J11" i="49"/>
  <c r="G11" i="49"/>
  <c r="K11" i="49"/>
  <c r="F11" i="57"/>
  <c r="E29" i="57"/>
  <c r="C28" i="57"/>
  <c r="E28" i="57" s="1"/>
  <c r="G10" i="126"/>
  <c r="H10" i="126"/>
  <c r="C30" i="128"/>
  <c r="C21" i="128"/>
  <c r="C10" i="128" s="1"/>
  <c r="C23" i="128"/>
  <c r="C67" i="109"/>
  <c r="F16" i="124"/>
  <c r="D16" i="124" s="1"/>
  <c r="I11" i="52" l="1"/>
  <c r="J11" i="52"/>
  <c r="D10" i="52"/>
  <c r="G11" i="52"/>
  <c r="H11" i="52"/>
  <c r="H10" i="25"/>
  <c r="H43" i="25"/>
  <c r="H39" i="25" s="1"/>
  <c r="C50" i="109"/>
  <c r="I30" i="47"/>
  <c r="I11" i="57"/>
  <c r="O67" i="109"/>
  <c r="C66" i="65"/>
  <c r="J10" i="49"/>
  <c r="H10" i="49"/>
  <c r="I10" i="49"/>
  <c r="G10" i="49"/>
  <c r="K10" i="49"/>
  <c r="K11" i="59"/>
  <c r="D12" i="47"/>
  <c r="H12" i="59"/>
  <c r="D46" i="70"/>
  <c r="E46" i="70" s="1"/>
  <c r="R49" i="70"/>
  <c r="D13" i="47"/>
  <c r="I13" i="47" s="1"/>
  <c r="H19" i="59"/>
  <c r="E17" i="47"/>
  <c r="E45" i="109" s="1"/>
  <c r="E45" i="65" s="1"/>
  <c r="P44" i="70" s="1"/>
  <c r="Q44" i="70" s="1"/>
  <c r="L31" i="59"/>
  <c r="I32" i="59"/>
  <c r="K42" i="59"/>
  <c r="H43" i="59"/>
  <c r="K31" i="59"/>
  <c r="H32" i="59"/>
  <c r="J10" i="34"/>
  <c r="O12" i="50"/>
  <c r="M11" i="50"/>
  <c r="G12" i="50"/>
  <c r="L36" i="59"/>
  <c r="I36" i="59" s="1"/>
  <c r="I37" i="59"/>
  <c r="F45" i="70"/>
  <c r="N11" i="50"/>
  <c r="H12" i="50"/>
  <c r="C26" i="25"/>
  <c r="C43" i="25" s="1"/>
  <c r="F46" i="22"/>
  <c r="C11" i="126"/>
  <c r="C11" i="47"/>
  <c r="L49" i="59"/>
  <c r="I50" i="59"/>
  <c r="O50" i="22"/>
  <c r="D25" i="73"/>
  <c r="E25" i="73" s="1"/>
  <c r="K49" i="59"/>
  <c r="H50" i="59"/>
  <c r="C45" i="109"/>
  <c r="G43" i="25"/>
  <c r="G39" i="25" s="1"/>
  <c r="G10" i="25"/>
  <c r="G11" i="124"/>
  <c r="F13" i="124"/>
  <c r="D23" i="73"/>
  <c r="E23" i="73" s="1"/>
  <c r="O48" i="22"/>
  <c r="T43" i="25"/>
  <c r="T39" i="25" s="1"/>
  <c r="T10" i="25"/>
  <c r="G423" i="56"/>
  <c r="G415" i="56"/>
  <c r="E16" i="47"/>
  <c r="E14" i="47" s="1"/>
  <c r="E44" i="109" s="1"/>
  <c r="E44" i="65" s="1"/>
  <c r="P43" i="70" s="1"/>
  <c r="Q43" i="70" s="1"/>
  <c r="M43" i="25"/>
  <c r="M39" i="25" s="1"/>
  <c r="M10" i="25"/>
  <c r="G10" i="51"/>
  <c r="J10" i="51"/>
  <c r="H10" i="51"/>
  <c r="I10" i="51"/>
  <c r="J411" i="56"/>
  <c r="J404" i="56" s="1"/>
  <c r="J331" i="56"/>
  <c r="J327" i="56" s="1"/>
  <c r="J320" i="56" s="1"/>
  <c r="D22" i="47" s="1"/>
  <c r="I22" i="47" s="1"/>
  <c r="I20" i="57"/>
  <c r="E20" i="57"/>
  <c r="F11" i="126"/>
  <c r="F10" i="126" s="1"/>
  <c r="D12" i="1" s="1"/>
  <c r="O47" i="22"/>
  <c r="D22" i="73"/>
  <c r="E22" i="73" s="1"/>
  <c r="E11" i="57"/>
  <c r="C10" i="57"/>
  <c r="J277" i="56"/>
  <c r="J295" i="56"/>
  <c r="G302" i="56"/>
  <c r="O49" i="22"/>
  <c r="D24" i="73"/>
  <c r="E24" i="73" s="1"/>
  <c r="D18" i="47"/>
  <c r="H37" i="59"/>
  <c r="L11" i="59"/>
  <c r="I12" i="59"/>
  <c r="E12" i="47"/>
  <c r="E11" i="47" s="1"/>
  <c r="F18" i="124"/>
  <c r="C45" i="65" l="1"/>
  <c r="J12" i="1"/>
  <c r="D11" i="1"/>
  <c r="G411" i="56"/>
  <c r="G331" i="56"/>
  <c r="G327" i="56" s="1"/>
  <c r="N10" i="50"/>
  <c r="H10" i="50" s="1"/>
  <c r="H11" i="50"/>
  <c r="D16" i="47"/>
  <c r="K25" i="59"/>
  <c r="H25" i="59" s="1"/>
  <c r="H31" i="59"/>
  <c r="F46" i="70"/>
  <c r="R43" i="70"/>
  <c r="W43" i="25"/>
  <c r="I11" i="59"/>
  <c r="K48" i="59"/>
  <c r="H48" i="59" s="1"/>
  <c r="H49" i="59"/>
  <c r="K36" i="59"/>
  <c r="H36" i="59" s="1"/>
  <c r="D19" i="47"/>
  <c r="I19" i="47" s="1"/>
  <c r="H42" i="59"/>
  <c r="D11" i="47"/>
  <c r="O50" i="109"/>
  <c r="C50" i="65"/>
  <c r="E43" i="109"/>
  <c r="E43" i="65" s="1"/>
  <c r="P42" i="70" s="1"/>
  <c r="Q42" i="70" s="1"/>
  <c r="F22" i="73"/>
  <c r="F25" i="73"/>
  <c r="H11" i="59"/>
  <c r="F24" i="73"/>
  <c r="L25" i="59"/>
  <c r="I25" i="59" s="1"/>
  <c r="I31" i="59"/>
  <c r="R44" i="70"/>
  <c r="J270" i="56"/>
  <c r="J269" i="56" s="1"/>
  <c r="J10" i="56" s="1"/>
  <c r="G277" i="56"/>
  <c r="F11" i="124"/>
  <c r="D13" i="124"/>
  <c r="D11" i="124" s="1"/>
  <c r="I12" i="47"/>
  <c r="I18" i="47"/>
  <c r="I10" i="52"/>
  <c r="J10" i="52"/>
  <c r="G10" i="52"/>
  <c r="H10" i="52"/>
  <c r="F23" i="73"/>
  <c r="L48" i="59"/>
  <c r="I48" i="59" s="1"/>
  <c r="E21" i="47"/>
  <c r="E20" i="47" s="1"/>
  <c r="E46" i="109" s="1"/>
  <c r="E46" i="65" s="1"/>
  <c r="P45" i="70" s="1"/>
  <c r="Q45" i="70" s="1"/>
  <c r="I49" i="59"/>
  <c r="D18" i="124"/>
  <c r="D17" i="124" s="1"/>
  <c r="F17" i="124"/>
  <c r="G17" i="124" s="1"/>
  <c r="G10" i="124" s="1"/>
  <c r="C29" i="47" s="1"/>
  <c r="C43" i="109"/>
  <c r="I11" i="47"/>
  <c r="E11" i="126"/>
  <c r="C10" i="126"/>
  <c r="E10" i="126" s="1"/>
  <c r="M10" i="50"/>
  <c r="G10" i="50" s="1"/>
  <c r="G11" i="50"/>
  <c r="O46" i="22"/>
  <c r="F45" i="22"/>
  <c r="D21" i="73"/>
  <c r="E21" i="73" s="1"/>
  <c r="S12" i="50"/>
  <c r="S11" i="50" s="1"/>
  <c r="O11" i="50"/>
  <c r="I12" i="50"/>
  <c r="D65" i="70"/>
  <c r="E65" i="70" s="1"/>
  <c r="K66" i="65"/>
  <c r="C15" i="47" l="1"/>
  <c r="S10" i="50"/>
  <c r="R45" i="70"/>
  <c r="F10" i="124"/>
  <c r="C49" i="109"/>
  <c r="I29" i="47"/>
  <c r="F21" i="73"/>
  <c r="D14" i="47"/>
  <c r="D44" i="109" s="1"/>
  <c r="D44" i="65" s="1"/>
  <c r="J43" i="70" s="1"/>
  <c r="K43" i="70" s="1"/>
  <c r="I16" i="47"/>
  <c r="D21" i="47"/>
  <c r="F65" i="70"/>
  <c r="O10" i="50"/>
  <c r="I10" i="50" s="1"/>
  <c r="I11" i="50"/>
  <c r="R42" i="70"/>
  <c r="D52" i="109"/>
  <c r="J11" i="1"/>
  <c r="C43" i="65"/>
  <c r="D49" i="70"/>
  <c r="E49" i="70" s="1"/>
  <c r="K50" i="65"/>
  <c r="D17" i="47"/>
  <c r="F28" i="109"/>
  <c r="O45" i="22"/>
  <c r="D10" i="124"/>
  <c r="D43" i="109"/>
  <c r="D43" i="65" s="1"/>
  <c r="J42" i="70" s="1"/>
  <c r="K42" i="70" s="1"/>
  <c r="D44" i="70"/>
  <c r="E44" i="70" s="1"/>
  <c r="D12" i="43" l="1"/>
  <c r="F44" i="70"/>
  <c r="F10" i="127"/>
  <c r="D11" i="127"/>
  <c r="D27" i="128"/>
  <c r="G23" i="128"/>
  <c r="D23" i="128" s="1"/>
  <c r="D52" i="65"/>
  <c r="O52" i="109"/>
  <c r="F11" i="129"/>
  <c r="D23" i="1"/>
  <c r="J23" i="1" s="1"/>
  <c r="C49" i="65"/>
  <c r="O49" i="109"/>
  <c r="L42" i="70"/>
  <c r="F28" i="65"/>
  <c r="K28" i="65" s="1"/>
  <c r="O28" i="109"/>
  <c r="D45" i="109"/>
  <c r="I17" i="47"/>
  <c r="G10" i="127"/>
  <c r="E11" i="127"/>
  <c r="D31" i="128"/>
  <c r="G30" i="128"/>
  <c r="D30" i="128" s="1"/>
  <c r="E18" i="43"/>
  <c r="F49" i="70"/>
  <c r="D22" i="128"/>
  <c r="G21" i="128"/>
  <c r="H21" i="128"/>
  <c r="E22" i="128"/>
  <c r="D13" i="46"/>
  <c r="O43" i="109"/>
  <c r="D20" i="47"/>
  <c r="I21" i="47"/>
  <c r="D22" i="1"/>
  <c r="F10" i="129"/>
  <c r="G10" i="129"/>
  <c r="E22" i="1"/>
  <c r="E21" i="1" s="1"/>
  <c r="E55" i="109" s="1"/>
  <c r="E55" i="65" s="1"/>
  <c r="P54" i="70" s="1"/>
  <c r="Q54" i="70" s="1"/>
  <c r="K43" i="65"/>
  <c r="D42" i="70"/>
  <c r="E42" i="70" s="1"/>
  <c r="F22" i="128"/>
  <c r="I21" i="128"/>
  <c r="L43" i="70"/>
  <c r="C14" i="47"/>
  <c r="I15" i="47"/>
  <c r="E14" i="43"/>
  <c r="C46" i="38"/>
  <c r="E38" i="38"/>
  <c r="J38" i="38" s="1"/>
  <c r="E37" i="38"/>
  <c r="J37" i="38" s="1"/>
  <c r="E23" i="43"/>
  <c r="D12" i="46"/>
  <c r="E39" i="38"/>
  <c r="J39" i="38" s="1"/>
  <c r="E22" i="43" l="1"/>
  <c r="F21" i="43"/>
  <c r="E42" i="38" s="1"/>
  <c r="J42" i="38" s="1"/>
  <c r="D46" i="109"/>
  <c r="I20" i="47"/>
  <c r="J46" i="38"/>
  <c r="C39" i="109"/>
  <c r="E17" i="43"/>
  <c r="F42" i="70"/>
  <c r="D45" i="65"/>
  <c r="O45" i="109"/>
  <c r="E40" i="38"/>
  <c r="J40" i="38" s="1"/>
  <c r="E19" i="43"/>
  <c r="E16" i="43"/>
  <c r="D21" i="128"/>
  <c r="G10" i="128"/>
  <c r="D16" i="1"/>
  <c r="D10" i="127"/>
  <c r="R54" i="70"/>
  <c r="D11" i="46"/>
  <c r="E10" i="46"/>
  <c r="C45" i="38" s="1"/>
  <c r="F21" i="128"/>
  <c r="I10" i="128"/>
  <c r="J51" i="70"/>
  <c r="K51" i="70" s="1"/>
  <c r="K52" i="65"/>
  <c r="H10" i="128"/>
  <c r="E21" i="128"/>
  <c r="F12" i="43"/>
  <c r="E36" i="38" s="1"/>
  <c r="J36" i="38" s="1"/>
  <c r="E13" i="43"/>
  <c r="E11" i="43"/>
  <c r="E35" i="38"/>
  <c r="F10" i="43"/>
  <c r="D48" i="70"/>
  <c r="E48" i="70" s="1"/>
  <c r="K49" i="65"/>
  <c r="E12" i="43"/>
  <c r="E16" i="1"/>
  <c r="E15" i="1" s="1"/>
  <c r="E10" i="127"/>
  <c r="J22" i="1"/>
  <c r="D21" i="1"/>
  <c r="I14" i="47"/>
  <c r="C44" i="109"/>
  <c r="C10" i="47"/>
  <c r="P22" i="12"/>
  <c r="K42" i="12"/>
  <c r="K19" i="12"/>
  <c r="F42" i="15"/>
  <c r="K26" i="12"/>
  <c r="F28" i="15"/>
  <c r="K13" i="12"/>
  <c r="K40" i="12"/>
  <c r="F41" i="15"/>
  <c r="K11" i="12"/>
  <c r="P34" i="12"/>
  <c r="E50" i="15"/>
  <c r="K37" i="12"/>
  <c r="F13" i="33"/>
  <c r="K17" i="12" l="1"/>
  <c r="L42" i="12"/>
  <c r="N42" i="12"/>
  <c r="P42" i="12" s="1"/>
  <c r="L40" i="12"/>
  <c r="N40" i="12"/>
  <c r="P40" i="12" s="1"/>
  <c r="R40" i="12" s="1"/>
  <c r="S40" i="12" s="1"/>
  <c r="T40" i="12" s="1"/>
  <c r="E34" i="38"/>
  <c r="J35" i="38"/>
  <c r="N11" i="12"/>
  <c r="L11" i="12"/>
  <c r="E64" i="132"/>
  <c r="H64" i="132"/>
  <c r="C31" i="22" s="1"/>
  <c r="G50" i="15"/>
  <c r="H50" i="15" s="1"/>
  <c r="Q47" i="12"/>
  <c r="H47" i="15"/>
  <c r="L13" i="12"/>
  <c r="N13" i="12"/>
  <c r="P13" i="12" s="1"/>
  <c r="R13" i="12" s="1"/>
  <c r="S13" i="12" s="1"/>
  <c r="T13" i="12" s="1"/>
  <c r="K16" i="12"/>
  <c r="C42" i="109"/>
  <c r="J44" i="70"/>
  <c r="K44" i="70" s="1"/>
  <c r="K45" i="65"/>
  <c r="Q42" i="12"/>
  <c r="R42" i="12" s="1"/>
  <c r="S42" i="12" s="1"/>
  <c r="T42" i="12" s="1"/>
  <c r="H42" i="15"/>
  <c r="Q35" i="12"/>
  <c r="H35" i="15"/>
  <c r="C44" i="65"/>
  <c r="O44" i="109"/>
  <c r="N26" i="12"/>
  <c r="P26" i="12" s="1"/>
  <c r="L26" i="12"/>
  <c r="K24" i="12"/>
  <c r="K47" i="12"/>
  <c r="H24" i="15"/>
  <c r="Q24" i="12"/>
  <c r="H22" i="15"/>
  <c r="Q22" i="12"/>
  <c r="G31" i="15"/>
  <c r="N19" i="12"/>
  <c r="P19" i="12" s="1"/>
  <c r="R19" i="12" s="1"/>
  <c r="S19" i="12" s="1"/>
  <c r="T19" i="12" s="1"/>
  <c r="L19" i="12"/>
  <c r="J21" i="1"/>
  <c r="D55" i="109"/>
  <c r="J16" i="1"/>
  <c r="D15" i="1"/>
  <c r="L37" i="12"/>
  <c r="N37" i="12"/>
  <c r="P37" i="12" s="1"/>
  <c r="Q41" i="12"/>
  <c r="H41" i="15"/>
  <c r="K52" i="12"/>
  <c r="E31" i="15"/>
  <c r="E55" i="15" s="1"/>
  <c r="Q26" i="12"/>
  <c r="H26" i="15"/>
  <c r="H28" i="15"/>
  <c r="Q28" i="12"/>
  <c r="E10" i="128"/>
  <c r="D19" i="1"/>
  <c r="D18" i="1" s="1"/>
  <c r="D54" i="109" s="1"/>
  <c r="D54" i="65" s="1"/>
  <c r="J53" i="70" s="1"/>
  <c r="C19" i="1"/>
  <c r="D10" i="128"/>
  <c r="C39" i="65"/>
  <c r="O39" i="109"/>
  <c r="C13" i="25"/>
  <c r="C12" i="25" s="1"/>
  <c r="C11" i="25" s="1"/>
  <c r="G12" i="33"/>
  <c r="G11" i="33" s="1"/>
  <c r="G10" i="33" s="1"/>
  <c r="F47" i="15"/>
  <c r="I50" i="15"/>
  <c r="F50" i="15" s="1"/>
  <c r="K35" i="12"/>
  <c r="K28" i="12"/>
  <c r="F35" i="15"/>
  <c r="I45" i="15"/>
  <c r="F45" i="15" s="1"/>
  <c r="G45" i="15"/>
  <c r="H45" i="15" s="1"/>
  <c r="H34" i="15"/>
  <c r="Q34" i="12"/>
  <c r="E53" i="109"/>
  <c r="E53" i="65" s="1"/>
  <c r="P52" i="70" s="1"/>
  <c r="Q52" i="70" s="1"/>
  <c r="L51" i="70"/>
  <c r="Q37" i="12"/>
  <c r="H37" i="15"/>
  <c r="F26" i="15"/>
  <c r="I31" i="15"/>
  <c r="K15" i="12"/>
  <c r="F10" i="128"/>
  <c r="E19" i="1"/>
  <c r="E18" i="1" s="1"/>
  <c r="E54" i="109" s="1"/>
  <c r="E54" i="65" s="1"/>
  <c r="P53" i="70" s="1"/>
  <c r="D46" i="65"/>
  <c r="O46" i="109"/>
  <c r="H25" i="15"/>
  <c r="Q25" i="12"/>
  <c r="H36" i="132"/>
  <c r="H35" i="132"/>
  <c r="C24" i="22" s="1"/>
  <c r="H39" i="132"/>
  <c r="H45" i="132"/>
  <c r="H42" i="132" s="1"/>
  <c r="C25" i="42"/>
  <c r="K21" i="12"/>
  <c r="K20" i="12"/>
  <c r="K25" i="12"/>
  <c r="K41" i="12"/>
  <c r="E45" i="15"/>
  <c r="C53" i="11"/>
  <c r="F48" i="70"/>
  <c r="C38" i="109"/>
  <c r="C10" i="38"/>
  <c r="J45" i="38"/>
  <c r="E33" i="132"/>
  <c r="K22" i="132"/>
  <c r="L22" i="132"/>
  <c r="F28" i="33"/>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J20" i="41"/>
  <c r="J15" i="41" s="1"/>
  <c r="J10" i="41" s="1"/>
  <c r="R37" i="41"/>
  <c r="I28" i="41"/>
  <c r="I27" i="41" s="1"/>
  <c r="J28" i="41"/>
  <c r="J27" i="41" s="1"/>
  <c r="J30" i="41"/>
  <c r="K28" i="41"/>
  <c r="K27" i="41" s="1"/>
  <c r="K30" i="41"/>
  <c r="R22" i="41"/>
  <c r="L28" i="41"/>
  <c r="L27" i="41" s="1"/>
  <c r="L30" i="41"/>
  <c r="O28" i="41"/>
  <c r="O27" i="41" s="1"/>
  <c r="Q28" i="41"/>
  <c r="Q27" i="41" s="1"/>
  <c r="N30" i="41"/>
  <c r="N48" i="41" s="1"/>
  <c r="O30" i="41"/>
  <c r="O48" i="41" s="1"/>
  <c r="R33" i="41"/>
  <c r="Q30" i="41"/>
  <c r="G22" i="40"/>
  <c r="E22" i="41" s="1"/>
  <c r="G29" i="40"/>
  <c r="E29" i="41" s="1"/>
  <c r="G23" i="40"/>
  <c r="E23" i="41" s="1"/>
  <c r="G26" i="40"/>
  <c r="E26" i="41" s="1"/>
  <c r="G21" i="40"/>
  <c r="E21" i="41" s="1"/>
  <c r="J49" i="41"/>
  <c r="K49" i="41"/>
  <c r="L49" i="41"/>
  <c r="C104" i="10"/>
  <c r="C50" i="10"/>
  <c r="H98" i="132"/>
  <c r="C58" i="22" s="1"/>
  <c r="G28" i="39"/>
  <c r="G27" i="39" s="1"/>
  <c r="D19" i="38" s="1"/>
  <c r="J19" i="38" s="1"/>
  <c r="G45" i="39"/>
  <c r="K28" i="40"/>
  <c r="K27" i="40" s="1"/>
  <c r="D29" i="38" s="1"/>
  <c r="C22" i="22"/>
  <c r="O22" i="22" s="1"/>
  <c r="G25" i="39"/>
  <c r="G24" i="39" s="1"/>
  <c r="D18" i="38" s="1"/>
  <c r="J18" i="38" s="1"/>
  <c r="K25" i="40"/>
  <c r="K24" i="40" s="1"/>
  <c r="D28" i="38" s="1"/>
  <c r="J28" i="38" s="1"/>
  <c r="K45" i="40"/>
  <c r="G39" i="39"/>
  <c r="G30" i="39"/>
  <c r="D20" i="38" s="1"/>
  <c r="J20" i="38" s="1"/>
  <c r="X30" i="41"/>
  <c r="E30" i="38" s="1"/>
  <c r="G20" i="39"/>
  <c r="G15" i="39" s="1"/>
  <c r="Y17" i="25"/>
  <c r="Y16" i="25" s="1"/>
  <c r="F98" i="10" l="1"/>
  <c r="G98" i="10"/>
  <c r="C30" i="22"/>
  <c r="G69" i="10"/>
  <c r="C68" i="10"/>
  <c r="C60" i="10" s="1"/>
  <c r="C29" i="10"/>
  <c r="F69" i="10"/>
  <c r="C17" i="22"/>
  <c r="C105" i="10"/>
  <c r="C102" i="10"/>
  <c r="C23" i="10"/>
  <c r="C34" i="41"/>
  <c r="F34" i="39"/>
  <c r="C34" i="40"/>
  <c r="J34" i="40" s="1"/>
  <c r="C35" i="40"/>
  <c r="J35" i="40" s="1"/>
  <c r="F35" i="39"/>
  <c r="C35" i="41"/>
  <c r="R23" i="41"/>
  <c r="K20" i="41"/>
  <c r="K15" i="41" s="1"/>
  <c r="K10" i="41" s="1"/>
  <c r="R43" i="41"/>
  <c r="F21" i="45"/>
  <c r="G24" i="132"/>
  <c r="L25" i="12"/>
  <c r="N25" i="12"/>
  <c r="P25" i="12" s="1"/>
  <c r="H31" i="15"/>
  <c r="G55" i="15"/>
  <c r="H55" i="15" s="1"/>
  <c r="C12" i="10"/>
  <c r="C96" i="10"/>
  <c r="C88" i="10" s="1"/>
  <c r="N49" i="41"/>
  <c r="C33" i="41"/>
  <c r="F33" i="39"/>
  <c r="C33" i="40"/>
  <c r="J33" i="40" s="1"/>
  <c r="Q48" i="41"/>
  <c r="Q49" i="41" s="1"/>
  <c r="L20" i="12"/>
  <c r="N20" i="12"/>
  <c r="P20" i="12" s="1"/>
  <c r="R20" i="12" s="1"/>
  <c r="S20" i="12" s="1"/>
  <c r="T20" i="12" s="1"/>
  <c r="E10" i="1"/>
  <c r="E51" i="109" s="1"/>
  <c r="E51" i="65" s="1"/>
  <c r="P50" i="70" s="1"/>
  <c r="Q50" i="70" s="1"/>
  <c r="C10" i="25"/>
  <c r="C40" i="25"/>
  <c r="N52" i="12"/>
  <c r="L52" i="12"/>
  <c r="R22" i="12"/>
  <c r="S22" i="12" s="1"/>
  <c r="T22" i="12" s="1"/>
  <c r="Q31" i="12"/>
  <c r="F28" i="41"/>
  <c r="R29" i="41"/>
  <c r="N21" i="12"/>
  <c r="P21" i="12" s="1"/>
  <c r="R21" i="12" s="1"/>
  <c r="S21" i="12" s="1"/>
  <c r="T21" i="12" s="1"/>
  <c r="L21" i="12"/>
  <c r="R52" i="70"/>
  <c r="J45" i="70"/>
  <c r="K45" i="70" s="1"/>
  <c r="K46" i="65"/>
  <c r="Y41" i="25"/>
  <c r="Y39" i="25" s="1"/>
  <c r="Y10" i="25"/>
  <c r="C21" i="10"/>
  <c r="C30" i="10"/>
  <c r="C81" i="10"/>
  <c r="C32" i="40"/>
  <c r="F32" i="39"/>
  <c r="C32" i="41"/>
  <c r="J48" i="41"/>
  <c r="Q45" i="12"/>
  <c r="R34" i="12"/>
  <c r="D38" i="70"/>
  <c r="E38" i="70" s="1"/>
  <c r="K39" i="65"/>
  <c r="K48" i="41"/>
  <c r="F20" i="41"/>
  <c r="R21" i="41"/>
  <c r="L44" i="70"/>
  <c r="P11" i="12"/>
  <c r="C15" i="39"/>
  <c r="F21" i="39"/>
  <c r="C21" i="41"/>
  <c r="C21" i="40"/>
  <c r="F14" i="45"/>
  <c r="F10" i="45" s="1"/>
  <c r="C31" i="109"/>
  <c r="N15" i="12"/>
  <c r="P15" i="12" s="1"/>
  <c r="R15" i="12" s="1"/>
  <c r="S15" i="12" s="1"/>
  <c r="T15" i="12" s="1"/>
  <c r="L15" i="12"/>
  <c r="C18" i="1"/>
  <c r="J19" i="1"/>
  <c r="N47" i="12"/>
  <c r="L47" i="12"/>
  <c r="AJ18" i="25"/>
  <c r="AJ16" i="25" s="1"/>
  <c r="I31" i="22"/>
  <c r="R32" i="41"/>
  <c r="C22" i="10"/>
  <c r="F84" i="10"/>
  <c r="G84" i="10"/>
  <c r="C23" i="40"/>
  <c r="J23" i="40" s="1"/>
  <c r="C23" i="41"/>
  <c r="U23" i="41" s="1"/>
  <c r="F23" i="39"/>
  <c r="M20" i="41"/>
  <c r="M15" i="41" s="1"/>
  <c r="M10" i="41" s="1"/>
  <c r="R26" i="41"/>
  <c r="M25" i="41"/>
  <c r="K162" i="34"/>
  <c r="E73" i="132"/>
  <c r="O38" i="109"/>
  <c r="C38" i="65"/>
  <c r="F31" i="15"/>
  <c r="I55" i="15"/>
  <c r="F55" i="15" s="1"/>
  <c r="J15" i="1"/>
  <c r="D53" i="109"/>
  <c r="D10" i="1"/>
  <c r="N24" i="12"/>
  <c r="P24" i="12" s="1"/>
  <c r="R24" i="12" s="1"/>
  <c r="S24" i="12" s="1"/>
  <c r="T24" i="12" s="1"/>
  <c r="L24" i="12"/>
  <c r="C42" i="65"/>
  <c r="J34" i="38"/>
  <c r="E33" i="38"/>
  <c r="J162" i="34"/>
  <c r="I53" i="22"/>
  <c r="AJ34" i="25"/>
  <c r="N16" i="12"/>
  <c r="P16" i="12" s="1"/>
  <c r="R16" i="12" s="1"/>
  <c r="S16" i="12" s="1"/>
  <c r="T16" i="12" s="1"/>
  <c r="L16" i="12"/>
  <c r="K20" i="40"/>
  <c r="K15" i="40" s="1"/>
  <c r="G10" i="39"/>
  <c r="D17" i="38"/>
  <c r="C100" i="10"/>
  <c r="C99" i="10" s="1"/>
  <c r="C112" i="10"/>
  <c r="C111" i="10" s="1"/>
  <c r="C22" i="41"/>
  <c r="F22" i="39"/>
  <c r="C22" i="40"/>
  <c r="J22" i="40" s="1"/>
  <c r="R46" i="41"/>
  <c r="M45" i="41"/>
  <c r="R45" i="41" s="1"/>
  <c r="E63" i="132"/>
  <c r="L28" i="12"/>
  <c r="N28" i="12"/>
  <c r="P28" i="12" s="1"/>
  <c r="R28" i="12" s="1"/>
  <c r="S28" i="12" s="1"/>
  <c r="T28" i="12" s="1"/>
  <c r="O55" i="109"/>
  <c r="D55" i="65"/>
  <c r="X17" i="25"/>
  <c r="X16" i="25" s="1"/>
  <c r="G24" i="33"/>
  <c r="G23" i="33" s="1"/>
  <c r="G22" i="33" s="1"/>
  <c r="I35" i="132"/>
  <c r="I45" i="132"/>
  <c r="I42" i="132" s="1"/>
  <c r="X20" i="41"/>
  <c r="U21" i="41"/>
  <c r="C16" i="10"/>
  <c r="V47" i="41"/>
  <c r="D50" i="57"/>
  <c r="D48" i="57" s="1"/>
  <c r="F48" i="57" s="1"/>
  <c r="H48" i="57"/>
  <c r="K39" i="40"/>
  <c r="K30" i="40" s="1"/>
  <c r="D30" i="38" s="1"/>
  <c r="J30" i="38" s="1"/>
  <c r="O58" i="22"/>
  <c r="C57" i="22"/>
  <c r="C27" i="10"/>
  <c r="C15" i="10" s="1"/>
  <c r="C26" i="10"/>
  <c r="C13" i="10" s="1"/>
  <c r="W47" i="41"/>
  <c r="F43" i="39"/>
  <c r="C43" i="41"/>
  <c r="C43" i="40"/>
  <c r="C39" i="39"/>
  <c r="F39" i="39" s="1"/>
  <c r="L20" i="41"/>
  <c r="L15" i="41" s="1"/>
  <c r="L10" i="41" s="1"/>
  <c r="L48" i="41" s="1"/>
  <c r="F26" i="33"/>
  <c r="F25" i="33"/>
  <c r="H164" i="34"/>
  <c r="F46" i="132"/>
  <c r="E46" i="132"/>
  <c r="R37" i="12"/>
  <c r="S37" i="12" s="1"/>
  <c r="T37" i="12" s="1"/>
  <c r="L35" i="12"/>
  <c r="N35" i="12"/>
  <c r="C29" i="40"/>
  <c r="F29" i="39"/>
  <c r="C29" i="41"/>
  <c r="C28" i="41" s="1"/>
  <c r="C27" i="41" s="1"/>
  <c r="C28" i="39"/>
  <c r="F26" i="39"/>
  <c r="C26" i="40"/>
  <c r="C26" i="41"/>
  <c r="C25" i="41" s="1"/>
  <c r="C24" i="41" s="1"/>
  <c r="C25" i="39"/>
  <c r="J22" i="132"/>
  <c r="E18" i="22"/>
  <c r="G120" i="10"/>
  <c r="F120" i="10"/>
  <c r="C103" i="10"/>
  <c r="I54" i="22"/>
  <c r="AJ35" i="25"/>
  <c r="C46" i="41"/>
  <c r="C45" i="41" s="1"/>
  <c r="C45" i="39"/>
  <c r="F45" i="39" s="1"/>
  <c r="C46" i="40"/>
  <c r="F46" i="39"/>
  <c r="L66" i="59"/>
  <c r="I67" i="59"/>
  <c r="C38" i="40"/>
  <c r="J38" i="40" s="1"/>
  <c r="C38" i="41"/>
  <c r="U38" i="41" s="1"/>
  <c r="I30" i="41"/>
  <c r="I48" i="41" s="1"/>
  <c r="I49" i="41" s="1"/>
  <c r="R38" i="41"/>
  <c r="I164" i="34"/>
  <c r="F27" i="45"/>
  <c r="D43" i="70"/>
  <c r="E43" i="70" s="1"/>
  <c r="K44" i="65"/>
  <c r="X28" i="41"/>
  <c r="E31" i="38"/>
  <c r="J31" i="38" s="1"/>
  <c r="C36" i="22"/>
  <c r="H72" i="132"/>
  <c r="C40" i="10"/>
  <c r="C36" i="40"/>
  <c r="J36" i="40" s="1"/>
  <c r="C36" i="41"/>
  <c r="F36" i="39"/>
  <c r="C37" i="40"/>
  <c r="J37" i="40" s="1"/>
  <c r="C37" i="41"/>
  <c r="F37" i="39"/>
  <c r="G164" i="34"/>
  <c r="G23" i="132"/>
  <c r="E23" i="132"/>
  <c r="F23" i="132"/>
  <c r="L41" i="12"/>
  <c r="N41" i="12"/>
  <c r="P41" i="12" s="1"/>
  <c r="R41" i="12" s="1"/>
  <c r="S41" i="12" s="1"/>
  <c r="T41" i="12" s="1"/>
  <c r="R25" i="12"/>
  <c r="S25" i="12" s="1"/>
  <c r="T25" i="12" s="1"/>
  <c r="R26" i="12"/>
  <c r="S26" i="12" s="1"/>
  <c r="T26" i="12" s="1"/>
  <c r="Q50" i="12"/>
  <c r="N17" i="12"/>
  <c r="P17" i="12" s="1"/>
  <c r="R17" i="12" s="1"/>
  <c r="S17" i="12" s="1"/>
  <c r="T17" i="12" s="1"/>
  <c r="L17" i="12"/>
  <c r="C99" i="11"/>
  <c r="C14" i="20"/>
  <c r="M10" i="20" s="1"/>
  <c r="L10" i="20" s="1"/>
  <c r="D16" i="20"/>
  <c r="C10" i="20"/>
  <c r="M9" i="20" s="1"/>
  <c r="L9" i="20" s="1"/>
  <c r="G24" i="114"/>
  <c r="E38" i="7"/>
  <c r="F23" i="114"/>
  <c r="G26" i="114"/>
  <c r="G23" i="114"/>
  <c r="F26" i="114"/>
  <c r="F25" i="114"/>
  <c r="D14" i="16"/>
  <c r="F38" i="114"/>
  <c r="G30" i="114"/>
  <c r="G38" i="114"/>
  <c r="G12" i="114"/>
  <c r="D13" i="16"/>
  <c r="I27" i="114"/>
  <c r="G25" i="114"/>
  <c r="F24" i="114"/>
  <c r="E35" i="114"/>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N62" i="109" l="1"/>
  <c r="F36" i="10"/>
  <c r="I26" i="10"/>
  <c r="E41" i="10"/>
  <c r="H40" i="10"/>
  <c r="J60" i="10"/>
  <c r="G61" i="10"/>
  <c r="G97" i="10"/>
  <c r="J96" i="10"/>
  <c r="J14" i="10" s="1"/>
  <c r="J81" i="9"/>
  <c r="E121" i="10"/>
  <c r="H104" i="10"/>
  <c r="E104" i="10" s="1"/>
  <c r="F89" i="10"/>
  <c r="J22" i="10"/>
  <c r="G22" i="10" s="1"/>
  <c r="G32" i="10"/>
  <c r="E108" i="10"/>
  <c r="H102" i="10"/>
  <c r="E102" i="10" s="1"/>
  <c r="H105" i="10"/>
  <c r="J26" i="8"/>
  <c r="I30" i="8"/>
  <c r="J13" i="9"/>
  <c r="J45" i="9"/>
  <c r="E21" i="7" s="1"/>
  <c r="D15" i="16"/>
  <c r="I10" i="114"/>
  <c r="C43" i="7" s="1"/>
  <c r="E19" i="16"/>
  <c r="G18" i="16"/>
  <c r="E18" i="16" s="1"/>
  <c r="J16" i="114"/>
  <c r="G18" i="114"/>
  <c r="P35" i="12"/>
  <c r="N45" i="12"/>
  <c r="C11" i="13" s="1"/>
  <c r="D11" i="13" s="1"/>
  <c r="C39" i="41"/>
  <c r="K10" i="40"/>
  <c r="D27" i="38"/>
  <c r="C15" i="68"/>
  <c r="D51" i="109"/>
  <c r="D51" i="65" s="1"/>
  <c r="J50" i="70" s="1"/>
  <c r="K50" i="70" s="1"/>
  <c r="F15" i="39"/>
  <c r="C10" i="39"/>
  <c r="F10" i="39" s="1"/>
  <c r="L45" i="70"/>
  <c r="W40" i="25"/>
  <c r="C39" i="25"/>
  <c r="H25" i="8"/>
  <c r="I40" i="10"/>
  <c r="F41" i="10"/>
  <c r="I81" i="10"/>
  <c r="D27" i="7" s="1"/>
  <c r="F82" i="10"/>
  <c r="I60" i="10"/>
  <c r="F61" i="10"/>
  <c r="E31" i="10"/>
  <c r="H21" i="10"/>
  <c r="H30" i="10"/>
  <c r="I16" i="10"/>
  <c r="D25" i="7" s="1"/>
  <c r="F17" i="10"/>
  <c r="E97" i="10"/>
  <c r="H96" i="10"/>
  <c r="H88" i="10" s="1"/>
  <c r="C28" i="7" s="1"/>
  <c r="J50" i="10"/>
  <c r="G51" i="10"/>
  <c r="E120" i="10"/>
  <c r="H103" i="10"/>
  <c r="E103" i="10" s="1"/>
  <c r="E82" i="10"/>
  <c r="H81" i="10"/>
  <c r="C27" i="7" s="1"/>
  <c r="J27" i="10"/>
  <c r="G37" i="10"/>
  <c r="H16" i="10"/>
  <c r="C25" i="7" s="1"/>
  <c r="E17" i="10"/>
  <c r="J95" i="9"/>
  <c r="E19" i="132"/>
  <c r="I52" i="9"/>
  <c r="D22" i="7" s="1"/>
  <c r="J27" i="114"/>
  <c r="G13" i="114"/>
  <c r="H14" i="114"/>
  <c r="C109" i="11"/>
  <c r="C108" i="11" s="1"/>
  <c r="C94" i="11"/>
  <c r="C93" i="11" s="1"/>
  <c r="X27" i="41"/>
  <c r="U28" i="41"/>
  <c r="D53" i="65"/>
  <c r="O53" i="109"/>
  <c r="C10" i="1"/>
  <c r="J18" i="1"/>
  <c r="C54" i="109"/>
  <c r="E12" i="10"/>
  <c r="G12" i="10"/>
  <c r="F12" i="10"/>
  <c r="H22" i="132"/>
  <c r="G36" i="10"/>
  <c r="J26" i="10"/>
  <c r="H30" i="8"/>
  <c r="I102" i="9"/>
  <c r="I62" i="9"/>
  <c r="H99" i="11"/>
  <c r="E99" i="11" s="1"/>
  <c r="E114" i="11"/>
  <c r="J100" i="10"/>
  <c r="G113" i="10"/>
  <c r="J112" i="10"/>
  <c r="J111" i="10" s="1"/>
  <c r="F32" i="10"/>
  <c r="I22" i="10"/>
  <c r="F22" i="10" s="1"/>
  <c r="F51" i="10"/>
  <c r="I50" i="10"/>
  <c r="H24" i="9"/>
  <c r="C18" i="7" s="1"/>
  <c r="I61" i="9"/>
  <c r="E19" i="109"/>
  <c r="E19" i="65" s="1"/>
  <c r="P19" i="70" s="1"/>
  <c r="Q19" i="70" s="1"/>
  <c r="U29" i="41"/>
  <c r="E16" i="22"/>
  <c r="O18" i="22"/>
  <c r="X15" i="41"/>
  <c r="N31" i="12"/>
  <c r="C30" i="39"/>
  <c r="F30" i="39" s="1"/>
  <c r="R50" i="70"/>
  <c r="C16" i="22"/>
  <c r="O17" i="22"/>
  <c r="F113" i="10"/>
  <c r="I100" i="10"/>
  <c r="I112" i="10"/>
  <c r="I111" i="10" s="1"/>
  <c r="G108" i="10"/>
  <c r="J105" i="10"/>
  <c r="J102" i="10"/>
  <c r="G102" i="10" s="1"/>
  <c r="E32" i="10"/>
  <c r="H22" i="10"/>
  <c r="E22" i="10" s="1"/>
  <c r="I27" i="10"/>
  <c r="F37" i="10"/>
  <c r="I60" i="9"/>
  <c r="I67" i="9"/>
  <c r="I119" i="9"/>
  <c r="I118" i="9" s="1"/>
  <c r="J31" i="9"/>
  <c r="E19" i="7" s="1"/>
  <c r="H102" i="9"/>
  <c r="I95" i="9"/>
  <c r="J102" i="9"/>
  <c r="K32" i="114"/>
  <c r="K31" i="114" s="1"/>
  <c r="E45" i="7" s="1"/>
  <c r="H35" i="114"/>
  <c r="H37" i="114"/>
  <c r="K36" i="114"/>
  <c r="AJ33" i="25"/>
  <c r="AJ44" i="25" s="1"/>
  <c r="P31" i="12"/>
  <c r="R11" i="12"/>
  <c r="S11" i="12" s="1"/>
  <c r="T11" i="12" s="1"/>
  <c r="T31" i="12" s="1"/>
  <c r="C30" i="41"/>
  <c r="U30" i="41" s="1"/>
  <c r="I81" i="9"/>
  <c r="J36" i="114"/>
  <c r="G37" i="114"/>
  <c r="G14" i="114"/>
  <c r="K10" i="114"/>
  <c r="E43" i="7" s="1"/>
  <c r="E42" i="7" s="1"/>
  <c r="E20" i="109" s="1"/>
  <c r="E20" i="65" s="1"/>
  <c r="P20" i="70" s="1"/>
  <c r="Q20" i="70" s="1"/>
  <c r="L65" i="59"/>
  <c r="I66" i="59"/>
  <c r="C24" i="39"/>
  <c r="F24" i="39" s="1"/>
  <c r="F25" i="39"/>
  <c r="D24" i="22"/>
  <c r="I22" i="132"/>
  <c r="V27" i="73"/>
  <c r="W27" i="73" s="1"/>
  <c r="I52" i="22"/>
  <c r="O53" i="22"/>
  <c r="C28" i="10"/>
  <c r="C14" i="10" s="1"/>
  <c r="F29" i="10"/>
  <c r="G29" i="10"/>
  <c r="E36" i="10"/>
  <c r="H26" i="10"/>
  <c r="J119" i="9"/>
  <c r="J118" i="9" s="1"/>
  <c r="H17" i="9"/>
  <c r="C17" i="7" s="1"/>
  <c r="J52" i="9"/>
  <c r="E22" i="7" s="1"/>
  <c r="C10" i="16"/>
  <c r="I36" i="114"/>
  <c r="F37" i="114"/>
  <c r="K21" i="114"/>
  <c r="E44" i="7" s="1"/>
  <c r="H22" i="114"/>
  <c r="C30" i="109"/>
  <c r="O57" i="22"/>
  <c r="K38" i="65"/>
  <c r="D37" i="70"/>
  <c r="E37" i="70" s="1"/>
  <c r="C31" i="65"/>
  <c r="J32" i="40"/>
  <c r="E15" i="19"/>
  <c r="C49" i="7" s="1"/>
  <c r="E27" i="19"/>
  <c r="E28" i="19" s="1"/>
  <c r="F43" i="70"/>
  <c r="C45" i="40"/>
  <c r="J45" i="40" s="1"/>
  <c r="J46" i="40"/>
  <c r="C25" i="40"/>
  <c r="J26" i="40"/>
  <c r="X41" i="25"/>
  <c r="X10" i="25"/>
  <c r="J33" i="38"/>
  <c r="E35" i="109"/>
  <c r="E51" i="10"/>
  <c r="H50" i="10"/>
  <c r="F33" i="10"/>
  <c r="I23" i="10"/>
  <c r="F23" i="10" s="1"/>
  <c r="J104" i="10"/>
  <c r="G104" i="10" s="1"/>
  <c r="G121" i="10"/>
  <c r="G82" i="10"/>
  <c r="J81" i="10"/>
  <c r="E27" i="7" s="1"/>
  <c r="E113" i="10"/>
  <c r="H112" i="10"/>
  <c r="H111" i="10" s="1"/>
  <c r="H100" i="10"/>
  <c r="J61" i="9"/>
  <c r="G31" i="10"/>
  <c r="J21" i="10"/>
  <c r="J67" i="9"/>
  <c r="J60" i="9"/>
  <c r="K66" i="59"/>
  <c r="H67" i="59"/>
  <c r="F11" i="16"/>
  <c r="J32" i="114"/>
  <c r="J31" i="114" s="1"/>
  <c r="D45" i="7" s="1"/>
  <c r="G35" i="114"/>
  <c r="K55" i="65"/>
  <c r="J54" i="70"/>
  <c r="K54" i="70" s="1"/>
  <c r="F15" i="41"/>
  <c r="F10" i="41" s="1"/>
  <c r="R20" i="41"/>
  <c r="R15" i="41" s="1"/>
  <c r="R10" i="41" s="1"/>
  <c r="R28" i="41"/>
  <c r="F27" i="41"/>
  <c r="H52" i="132"/>
  <c r="G41" i="10"/>
  <c r="J40" i="10"/>
  <c r="E69" i="10"/>
  <c r="H29" i="10"/>
  <c r="H68" i="10"/>
  <c r="H60" i="10" s="1"/>
  <c r="I104" i="10"/>
  <c r="F104" i="10" s="1"/>
  <c r="F121" i="10"/>
  <c r="F31" i="10"/>
  <c r="I30" i="10"/>
  <c r="I21" i="10"/>
  <c r="H31" i="9"/>
  <c r="C19" i="7" s="1"/>
  <c r="H45" i="9"/>
  <c r="C21" i="7" s="1"/>
  <c r="H81" i="9"/>
  <c r="J25" i="8"/>
  <c r="I26" i="8"/>
  <c r="H46" i="57"/>
  <c r="H10" i="57" s="1"/>
  <c r="D47" i="57"/>
  <c r="D46" i="57" s="1"/>
  <c r="E34" i="22"/>
  <c r="E27" i="22" s="1"/>
  <c r="E25" i="109" s="1"/>
  <c r="E25" i="65" s="1"/>
  <c r="P25" i="70" s="1"/>
  <c r="Q25" i="70" s="1"/>
  <c r="J52" i="132"/>
  <c r="E15" i="16"/>
  <c r="G22" i="114"/>
  <c r="J21" i="114"/>
  <c r="D44" i="7" s="1"/>
  <c r="F14" i="114"/>
  <c r="C27" i="39"/>
  <c r="F27" i="39" s="1"/>
  <c r="F28" i="39"/>
  <c r="O31" i="22"/>
  <c r="V14" i="73"/>
  <c r="I27" i="22"/>
  <c r="C20" i="10"/>
  <c r="Q55" i="12"/>
  <c r="C27" i="22"/>
  <c r="I38" i="9"/>
  <c r="D20" i="7" s="1"/>
  <c r="I50" i="57"/>
  <c r="G48" i="57"/>
  <c r="E50" i="57"/>
  <c r="J38" i="9"/>
  <c r="E20" i="7" s="1"/>
  <c r="G11" i="16"/>
  <c r="E12" i="16"/>
  <c r="D19" i="16"/>
  <c r="F18" i="16"/>
  <c r="D18" i="16" s="1"/>
  <c r="E23" i="19"/>
  <c r="E29" i="19" s="1"/>
  <c r="C58" i="7"/>
  <c r="L24" i="114"/>
  <c r="L21" i="114" s="1"/>
  <c r="C17" i="19"/>
  <c r="C11" i="19"/>
  <c r="C16" i="19"/>
  <c r="D11" i="38"/>
  <c r="J17" i="38"/>
  <c r="D41" i="70"/>
  <c r="E41" i="70" s="1"/>
  <c r="R25" i="41"/>
  <c r="M24" i="41"/>
  <c r="R24" i="41" s="1"/>
  <c r="AJ41" i="25"/>
  <c r="AJ39" i="25" s="1"/>
  <c r="AJ10" i="25"/>
  <c r="C20" i="40"/>
  <c r="J21" i="40"/>
  <c r="I102" i="10"/>
  <c r="F102" i="10" s="1"/>
  <c r="I105" i="10"/>
  <c r="F108" i="10"/>
  <c r="E33" i="10"/>
  <c r="H23" i="10"/>
  <c r="E23" i="10" s="1"/>
  <c r="H61" i="9"/>
  <c r="H60" i="9"/>
  <c r="H67" i="9"/>
  <c r="I65" i="9"/>
  <c r="F22" i="114"/>
  <c r="I21" i="114"/>
  <c r="C44" i="7" s="1"/>
  <c r="V28" i="73"/>
  <c r="W28" i="73" s="1"/>
  <c r="O54" i="22"/>
  <c r="C20" i="41"/>
  <c r="C15" i="41" s="1"/>
  <c r="C10" i="41" s="1"/>
  <c r="F38" i="70"/>
  <c r="F20" i="45"/>
  <c r="H119" i="9"/>
  <c r="H118" i="9" s="1"/>
  <c r="J65" i="9"/>
  <c r="J12" i="9"/>
  <c r="H38" i="9"/>
  <c r="C20" i="7" s="1"/>
  <c r="I47" i="57"/>
  <c r="E24" i="47" s="1"/>
  <c r="I24" i="47" s="1"/>
  <c r="G46" i="57"/>
  <c r="E47" i="57"/>
  <c r="D34" i="22"/>
  <c r="D27" i="22" s="1"/>
  <c r="D25" i="109" s="1"/>
  <c r="D25" i="65" s="1"/>
  <c r="J25" i="70" s="1"/>
  <c r="K25" i="70" s="1"/>
  <c r="I52" i="132"/>
  <c r="F11" i="20"/>
  <c r="I10" i="20"/>
  <c r="E53" i="7" s="1"/>
  <c r="J16" i="10"/>
  <c r="E25" i="7" s="1"/>
  <c r="G17" i="10"/>
  <c r="G89" i="10"/>
  <c r="J88" i="10"/>
  <c r="E28" i="7" s="1"/>
  <c r="F97" i="10"/>
  <c r="I96" i="10"/>
  <c r="I14" i="10" s="1"/>
  <c r="F14" i="10" s="1"/>
  <c r="J11" i="9"/>
  <c r="J17" i="9"/>
  <c r="E17" i="7" s="1"/>
  <c r="H95" i="9"/>
  <c r="J24" i="9"/>
  <c r="E18" i="7" s="1"/>
  <c r="J66" i="8"/>
  <c r="H38" i="114"/>
  <c r="J10" i="114"/>
  <c r="D43" i="7" s="1"/>
  <c r="F35" i="114"/>
  <c r="I32" i="114"/>
  <c r="I31" i="114" s="1"/>
  <c r="C45" i="7" s="1"/>
  <c r="O36" i="22"/>
  <c r="C35" i="22"/>
  <c r="G103" i="10"/>
  <c r="F103" i="10"/>
  <c r="C28" i="40"/>
  <c r="J29" i="40"/>
  <c r="J43" i="40"/>
  <c r="C39" i="40"/>
  <c r="J39" i="40" s="1"/>
  <c r="C11" i="10"/>
  <c r="C10" i="10" s="1"/>
  <c r="P47" i="12"/>
  <c r="N50" i="12"/>
  <c r="C12" i="13" s="1"/>
  <c r="D12" i="13" s="1"/>
  <c r="S34" i="12"/>
  <c r="T34" i="12" s="1"/>
  <c r="N54" i="12"/>
  <c r="C13" i="13" s="1"/>
  <c r="D13" i="13" s="1"/>
  <c r="P52" i="12"/>
  <c r="M39" i="41"/>
  <c r="E20" i="132"/>
  <c r="E21" i="132"/>
  <c r="I12" i="9"/>
  <c r="H32" i="8"/>
  <c r="J61" i="8"/>
  <c r="H53" i="8"/>
  <c r="C14" i="7" s="1"/>
  <c r="J68" i="8"/>
  <c r="I82" i="8"/>
  <c r="E47" i="10"/>
  <c r="N63" i="109"/>
  <c r="E95" i="10"/>
  <c r="M63" i="109"/>
  <c r="K63" i="109"/>
  <c r="L63" i="109"/>
  <c r="J63" i="8" l="1"/>
  <c r="H23" i="11"/>
  <c r="I45" i="9"/>
  <c r="D21" i="7" s="1"/>
  <c r="J21" i="7" s="1"/>
  <c r="I27" i="8"/>
  <c r="H62" i="8"/>
  <c r="D32" i="109"/>
  <c r="J11" i="38"/>
  <c r="R20" i="70"/>
  <c r="U15" i="41"/>
  <c r="E27" i="38"/>
  <c r="X10" i="41"/>
  <c r="D21" i="38"/>
  <c r="D33" i="109" s="1"/>
  <c r="D22" i="38"/>
  <c r="J27" i="38"/>
  <c r="G52" i="7"/>
  <c r="L61" i="109" s="1"/>
  <c r="L62" i="109"/>
  <c r="O35" i="22"/>
  <c r="C26" i="109"/>
  <c r="X28" i="73"/>
  <c r="J18" i="8"/>
  <c r="I11" i="10"/>
  <c r="I20" i="10"/>
  <c r="D26" i="7" s="1"/>
  <c r="F21" i="10"/>
  <c r="K62" i="109"/>
  <c r="F52" i="7"/>
  <c r="K61" i="109" s="1"/>
  <c r="H44" i="11"/>
  <c r="I53" i="8"/>
  <c r="D14" i="7" s="1"/>
  <c r="J14" i="7" s="1"/>
  <c r="I13" i="9"/>
  <c r="C13" i="22"/>
  <c r="O13" i="22" s="1"/>
  <c r="E12" i="132"/>
  <c r="J45" i="7"/>
  <c r="J44" i="7"/>
  <c r="C25" i="109"/>
  <c r="G100" i="10"/>
  <c r="J99" i="10"/>
  <c r="E29" i="7" s="1"/>
  <c r="H11" i="10"/>
  <c r="E21" i="10"/>
  <c r="I99" i="10"/>
  <c r="D29" i="7" s="1"/>
  <c r="F100" i="10"/>
  <c r="E10" i="22"/>
  <c r="E22" i="109" s="1"/>
  <c r="E22" i="65" s="1"/>
  <c r="P22" i="70" s="1"/>
  <c r="Q22" i="70" s="1"/>
  <c r="E24" i="109"/>
  <c r="E24" i="65" s="1"/>
  <c r="P24" i="70" s="1"/>
  <c r="Q24" i="70" s="1"/>
  <c r="J20" i="7"/>
  <c r="I48" i="57"/>
  <c r="E25" i="47" s="1"/>
  <c r="E23" i="47" s="1"/>
  <c r="E48" i="57"/>
  <c r="L54" i="70"/>
  <c r="E100" i="10"/>
  <c r="H99" i="10"/>
  <c r="C29" i="7" s="1"/>
  <c r="J29" i="7" s="1"/>
  <c r="C47" i="7"/>
  <c r="J49" i="7"/>
  <c r="I29" i="109"/>
  <c r="O52" i="22"/>
  <c r="I88" i="10"/>
  <c r="D28" i="7" s="1"/>
  <c r="J28" i="7" s="1"/>
  <c r="I21" i="8"/>
  <c r="H26" i="8"/>
  <c r="P50" i="12"/>
  <c r="R47" i="12"/>
  <c r="J30" i="8"/>
  <c r="J21" i="8"/>
  <c r="C15" i="40"/>
  <c r="J20" i="40"/>
  <c r="R25" i="70"/>
  <c r="O35" i="109"/>
  <c r="E35" i="65"/>
  <c r="C30" i="40"/>
  <c r="J30" i="40" s="1"/>
  <c r="X27" i="73"/>
  <c r="I59" i="9"/>
  <c r="D23" i="7" s="1"/>
  <c r="E37" i="7"/>
  <c r="E18" i="109" s="1"/>
  <c r="E18" i="65" s="1"/>
  <c r="P18" i="70" s="1"/>
  <c r="Q18" i="70" s="1"/>
  <c r="J18" i="7"/>
  <c r="C54" i="65"/>
  <c r="O54" i="109"/>
  <c r="P45" i="12"/>
  <c r="R35" i="12"/>
  <c r="P54" i="12"/>
  <c r="R52" i="12"/>
  <c r="I14" i="20"/>
  <c r="E54" i="7" s="1"/>
  <c r="E63" i="109" s="1"/>
  <c r="E62" i="65" s="1"/>
  <c r="P61" i="70" s="1"/>
  <c r="Q61" i="70" s="1"/>
  <c r="F15" i="20"/>
  <c r="H65" i="9"/>
  <c r="I24" i="9"/>
  <c r="D18" i="7" s="1"/>
  <c r="H27" i="10"/>
  <c r="E37" i="10"/>
  <c r="I16" i="9"/>
  <c r="C12" i="22"/>
  <c r="H10" i="132"/>
  <c r="E11" i="132"/>
  <c r="D42" i="7"/>
  <c r="D20" i="109" s="1"/>
  <c r="D20" i="65" s="1"/>
  <c r="J20" i="70" s="1"/>
  <c r="K20" i="70" s="1"/>
  <c r="H82" i="8"/>
  <c r="H12" i="9"/>
  <c r="C14" i="22"/>
  <c r="O14" i="22" s="1"/>
  <c r="E13" i="132"/>
  <c r="E62" i="109"/>
  <c r="E61" i="65" s="1"/>
  <c r="P60" i="70" s="1"/>
  <c r="Q60" i="70" s="1"/>
  <c r="E52" i="7"/>
  <c r="E61" i="109" s="1"/>
  <c r="E60" i="65" s="1"/>
  <c r="P59" i="70" s="1"/>
  <c r="Q59" i="70" s="1"/>
  <c r="C57" i="7"/>
  <c r="J58" i="7"/>
  <c r="J59" i="9"/>
  <c r="E23" i="7" s="1"/>
  <c r="C24" i="109"/>
  <c r="R19" i="70"/>
  <c r="F25" i="22"/>
  <c r="W39" i="25"/>
  <c r="G33" i="10"/>
  <c r="J23" i="10"/>
  <c r="G23" i="10" s="1"/>
  <c r="G10" i="16"/>
  <c r="C39" i="7" s="1"/>
  <c r="E11" i="16"/>
  <c r="J62" i="8"/>
  <c r="J60" i="8" s="1"/>
  <c r="E15" i="7" s="1"/>
  <c r="I32" i="8"/>
  <c r="I25" i="8"/>
  <c r="H21" i="8"/>
  <c r="I61" i="8"/>
  <c r="I68" i="8"/>
  <c r="H66" i="8"/>
  <c r="D15" i="20"/>
  <c r="G14" i="20"/>
  <c r="C54" i="7" s="1"/>
  <c r="H52" i="7"/>
  <c r="M61" i="109" s="1"/>
  <c r="M62" i="109"/>
  <c r="I75" i="8"/>
  <c r="I25" i="109"/>
  <c r="I25" i="65" s="1"/>
  <c r="I10" i="22"/>
  <c r="I22" i="109" s="1"/>
  <c r="H28" i="10"/>
  <c r="H14" i="10" s="1"/>
  <c r="E14" i="10" s="1"/>
  <c r="E29" i="10"/>
  <c r="D16" i="22"/>
  <c r="O24" i="22"/>
  <c r="E10" i="13"/>
  <c r="J10" i="1"/>
  <c r="C51" i="109"/>
  <c r="J32" i="8"/>
  <c r="J27" i="8"/>
  <c r="I11" i="9"/>
  <c r="I17" i="9"/>
  <c r="D17" i="7" s="1"/>
  <c r="E16" i="7"/>
  <c r="E14" i="109" s="1"/>
  <c r="E14" i="65" s="1"/>
  <c r="P14" i="70" s="1"/>
  <c r="Q14" i="70" s="1"/>
  <c r="I62" i="8"/>
  <c r="W14" i="73"/>
  <c r="V10" i="73"/>
  <c r="W10" i="73" s="1"/>
  <c r="F46" i="57"/>
  <c r="D10" i="57"/>
  <c r="F10" i="57" s="1"/>
  <c r="F10" i="16"/>
  <c r="D39" i="7" s="1"/>
  <c r="D38" i="7" s="1"/>
  <c r="G30" i="22"/>
  <c r="AH41" i="25"/>
  <c r="X39" i="25"/>
  <c r="D30" i="70"/>
  <c r="E30" i="70" s="1"/>
  <c r="R31" i="12"/>
  <c r="P55" i="12"/>
  <c r="F27" i="10"/>
  <c r="I15" i="10"/>
  <c r="F15" i="10" s="1"/>
  <c r="H13" i="9"/>
  <c r="J19" i="8"/>
  <c r="I13" i="10"/>
  <c r="F13" i="10" s="1"/>
  <c r="F26" i="10"/>
  <c r="E15" i="20"/>
  <c r="H14" i="20"/>
  <c r="D54" i="7" s="1"/>
  <c r="D63" i="109" s="1"/>
  <c r="D62" i="65" s="1"/>
  <c r="J61" i="70" s="1"/>
  <c r="K61" i="70" s="1"/>
  <c r="I63" i="8"/>
  <c r="H61" i="8"/>
  <c r="H68" i="8"/>
  <c r="H52" i="9"/>
  <c r="C22" i="7" s="1"/>
  <c r="J22" i="7" s="1"/>
  <c r="C27" i="40"/>
  <c r="J27" i="40" s="1"/>
  <c r="J28" i="40"/>
  <c r="J52" i="70"/>
  <c r="K52" i="70" s="1"/>
  <c r="K53" i="65"/>
  <c r="H18" i="132"/>
  <c r="H14" i="132" s="1"/>
  <c r="C15" i="22" s="1"/>
  <c r="O15" i="22" s="1"/>
  <c r="J25" i="7"/>
  <c r="J75" i="8"/>
  <c r="J82" i="8"/>
  <c r="I31" i="9"/>
  <c r="D19" i="7" s="1"/>
  <c r="J19" i="7" s="1"/>
  <c r="H11" i="16"/>
  <c r="D12" i="16"/>
  <c r="J10" i="9"/>
  <c r="L25" i="70"/>
  <c r="F37" i="70"/>
  <c r="H16" i="9"/>
  <c r="E11" i="20"/>
  <c r="H10" i="20"/>
  <c r="D53" i="7" s="1"/>
  <c r="I66" i="8"/>
  <c r="H75" i="8"/>
  <c r="J16" i="9"/>
  <c r="R39" i="41"/>
  <c r="M30" i="41"/>
  <c r="R30" i="41" s="1"/>
  <c r="J30" i="10"/>
  <c r="C24" i="40"/>
  <c r="J24" i="40" s="1"/>
  <c r="J25" i="40"/>
  <c r="H11" i="9"/>
  <c r="H13" i="10"/>
  <c r="E13" i="10" s="1"/>
  <c r="E26" i="10"/>
  <c r="H23" i="8"/>
  <c r="J43" i="7"/>
  <c r="C42" i="7"/>
  <c r="I52" i="7"/>
  <c r="N61" i="109" s="1"/>
  <c r="D11" i="20"/>
  <c r="G10" i="20"/>
  <c r="C53" i="7" s="1"/>
  <c r="F41" i="70"/>
  <c r="G21" i="10"/>
  <c r="J17" i="7"/>
  <c r="L59" i="59"/>
  <c r="I65" i="59"/>
  <c r="C10" i="13"/>
  <c r="N55" i="12"/>
  <c r="H62" i="9"/>
  <c r="J13" i="10"/>
  <c r="G13" i="10" s="1"/>
  <c r="G26" i="10"/>
  <c r="U27" i="41"/>
  <c r="E29" i="38"/>
  <c r="J29" i="38" s="1"/>
  <c r="G27" i="10"/>
  <c r="J15" i="10"/>
  <c r="G15" i="10" s="1"/>
  <c r="D24" i="7"/>
  <c r="D15" i="109" s="1"/>
  <c r="D15" i="65" s="1"/>
  <c r="J15" i="70" s="1"/>
  <c r="K15" i="70" s="1"/>
  <c r="L50" i="70"/>
  <c r="G14" i="10"/>
  <c r="H27" i="8"/>
  <c r="I46" i="57"/>
  <c r="E46" i="57"/>
  <c r="G10" i="57"/>
  <c r="O34" i="22"/>
  <c r="R27" i="41"/>
  <c r="F48" i="41"/>
  <c r="K65" i="59"/>
  <c r="H66" i="59"/>
  <c r="C30" i="65"/>
  <c r="O30" i="109"/>
  <c r="U20" i="41"/>
  <c r="J53" i="8"/>
  <c r="E14" i="7" s="1"/>
  <c r="J27" i="7"/>
  <c r="J20" i="10" l="1"/>
  <c r="E26" i="7" s="1"/>
  <c r="E24" i="7" s="1"/>
  <c r="E15" i="109" s="1"/>
  <c r="E15" i="65" s="1"/>
  <c r="P15" i="70" s="1"/>
  <c r="Q15" i="70" s="1"/>
  <c r="J24" i="8"/>
  <c r="E13" i="7" s="1"/>
  <c r="E12" i="7" s="1"/>
  <c r="J20" i="8"/>
  <c r="C38" i="7"/>
  <c r="J39" i="7"/>
  <c r="C24" i="65"/>
  <c r="D24" i="70" s="1"/>
  <c r="E24" i="70" s="1"/>
  <c r="H15" i="10"/>
  <c r="E15" i="10" s="1"/>
  <c r="E27" i="10"/>
  <c r="D53" i="70"/>
  <c r="E53" i="70" s="1"/>
  <c r="K54" i="65"/>
  <c r="J47" i="7"/>
  <c r="C21" i="109"/>
  <c r="R24" i="70"/>
  <c r="I10" i="57"/>
  <c r="E10" i="57"/>
  <c r="H10" i="9"/>
  <c r="H60" i="8"/>
  <c r="C15" i="7" s="1"/>
  <c r="J15" i="7" s="1"/>
  <c r="H19" i="8"/>
  <c r="R22" i="70"/>
  <c r="X10" i="73"/>
  <c r="O51" i="109"/>
  <c r="C51" i="65"/>
  <c r="R18" i="70"/>
  <c r="H16" i="11"/>
  <c r="H16" i="8" s="1"/>
  <c r="C56" i="7" s="1"/>
  <c r="I23" i="8"/>
  <c r="X14" i="73"/>
  <c r="Z14" i="73"/>
  <c r="Y14" i="73"/>
  <c r="I60" i="8"/>
  <c r="D15" i="7" s="1"/>
  <c r="J15" i="40"/>
  <c r="C10" i="40"/>
  <c r="J10" i="40" s="1"/>
  <c r="H63" i="8"/>
  <c r="D32" i="65"/>
  <c r="O32" i="109"/>
  <c r="I19" i="8"/>
  <c r="J57" i="7"/>
  <c r="C66" i="109"/>
  <c r="H20" i="10"/>
  <c r="C26" i="7" s="1"/>
  <c r="F11" i="10"/>
  <c r="I10" i="10"/>
  <c r="H14" i="8"/>
  <c r="D11" i="73"/>
  <c r="F16" i="22"/>
  <c r="O25" i="22"/>
  <c r="L20" i="70"/>
  <c r="C62" i="109"/>
  <c r="J53" i="7"/>
  <c r="C52" i="7"/>
  <c r="D52" i="7"/>
  <c r="D61" i="109" s="1"/>
  <c r="D60" i="65" s="1"/>
  <c r="J59" i="70" s="1"/>
  <c r="K59" i="70" s="1"/>
  <c r="D62" i="109"/>
  <c r="D61" i="65" s="1"/>
  <c r="J60" i="70" s="1"/>
  <c r="K60" i="70" s="1"/>
  <c r="H20" i="8"/>
  <c r="L52" i="70"/>
  <c r="H59" i="9"/>
  <c r="C23" i="7" s="1"/>
  <c r="J23" i="7" s="1"/>
  <c r="R59" i="70"/>
  <c r="R61" i="70"/>
  <c r="I14" i="8"/>
  <c r="E11" i="10"/>
  <c r="H10" i="10"/>
  <c r="D33" i="65"/>
  <c r="J14" i="8"/>
  <c r="E47" i="109"/>
  <c r="E47" i="65" s="1"/>
  <c r="P46" i="70" s="1"/>
  <c r="Q46" i="70" s="1"/>
  <c r="E10" i="47"/>
  <c r="E42" i="109" s="1"/>
  <c r="E42" i="65" s="1"/>
  <c r="P41" i="70" s="1"/>
  <c r="Q41" i="70" s="1"/>
  <c r="X50" i="41"/>
  <c r="U50" i="41" s="1"/>
  <c r="U10" i="41"/>
  <c r="L61" i="70"/>
  <c r="K30" i="65"/>
  <c r="D29" i="70"/>
  <c r="E29" i="70" s="1"/>
  <c r="R14" i="70"/>
  <c r="D10" i="22"/>
  <c r="D24" i="109"/>
  <c r="D24" i="65" s="1"/>
  <c r="J24" i="70" s="1"/>
  <c r="K24" i="70" s="1"/>
  <c r="C63" i="109"/>
  <c r="J54" i="7"/>
  <c r="I24" i="8"/>
  <c r="D13" i="7" s="1"/>
  <c r="D12" i="7" s="1"/>
  <c r="I18" i="8"/>
  <c r="S52" i="12"/>
  <c r="T52" i="12" s="1"/>
  <c r="T54" i="12" s="1"/>
  <c r="E13" i="13" s="1"/>
  <c r="R54" i="12"/>
  <c r="C11" i="22"/>
  <c r="O12" i="22"/>
  <c r="E22" i="38"/>
  <c r="J22" i="38" s="1"/>
  <c r="E21" i="38"/>
  <c r="J11" i="10"/>
  <c r="R55" i="12"/>
  <c r="H10" i="16"/>
  <c r="D11" i="16"/>
  <c r="D10" i="13"/>
  <c r="C15" i="13"/>
  <c r="C20" i="109"/>
  <c r="J42" i="7"/>
  <c r="F30" i="70"/>
  <c r="R60" i="70"/>
  <c r="D25" i="47"/>
  <c r="K59" i="59"/>
  <c r="H65" i="59"/>
  <c r="I59" i="59"/>
  <c r="L10" i="59"/>
  <c r="I10" i="59" s="1"/>
  <c r="J13" i="73"/>
  <c r="AH39" i="25"/>
  <c r="D16" i="7"/>
  <c r="D14" i="109" s="1"/>
  <c r="D14" i="65" s="1"/>
  <c r="J14" i="70" s="1"/>
  <c r="K14" i="70" s="1"/>
  <c r="S35" i="12"/>
  <c r="T35" i="12" s="1"/>
  <c r="T45" i="12" s="1"/>
  <c r="R45" i="12"/>
  <c r="P34" i="70"/>
  <c r="Q34" i="70" s="1"/>
  <c r="K35" i="65"/>
  <c r="J23" i="8"/>
  <c r="I10" i="9"/>
  <c r="I22" i="65"/>
  <c r="I10" i="109"/>
  <c r="I10" i="65" s="1"/>
  <c r="R50" i="12"/>
  <c r="S47" i="12"/>
  <c r="T47" i="12" s="1"/>
  <c r="T50" i="12" s="1"/>
  <c r="E12" i="13" s="1"/>
  <c r="I29" i="65"/>
  <c r="K29" i="65" s="1"/>
  <c r="O29" i="109"/>
  <c r="H24" i="8"/>
  <c r="C13" i="7" s="1"/>
  <c r="I20" i="8"/>
  <c r="L15" i="70"/>
  <c r="G27" i="22"/>
  <c r="O30" i="22"/>
  <c r="D19" i="109"/>
  <c r="D19" i="65" s="1"/>
  <c r="J19" i="70" s="1"/>
  <c r="K19" i="70" s="1"/>
  <c r="D37" i="7"/>
  <c r="D18" i="109" s="1"/>
  <c r="D18" i="65" s="1"/>
  <c r="J18" i="70" s="1"/>
  <c r="K18" i="70" s="1"/>
  <c r="O16" i="22"/>
  <c r="H18" i="8"/>
  <c r="C25" i="65"/>
  <c r="D25" i="70" s="1"/>
  <c r="E25" i="70" s="1"/>
  <c r="C26" i="65"/>
  <c r="O26" i="109"/>
  <c r="D26" i="70" l="1"/>
  <c r="E26" i="70" s="1"/>
  <c r="K26" i="65"/>
  <c r="L14" i="70"/>
  <c r="H17" i="8"/>
  <c r="L19" i="70"/>
  <c r="D23" i="47"/>
  <c r="I25" i="47"/>
  <c r="D13" i="109"/>
  <c r="D13" i="65" s="1"/>
  <c r="J13" i="70" s="1"/>
  <c r="K13" i="70" s="1"/>
  <c r="J26" i="7"/>
  <c r="C24" i="7"/>
  <c r="R34" i="70"/>
  <c r="E11" i="13"/>
  <c r="E15" i="13" s="1"/>
  <c r="T55" i="12"/>
  <c r="C12" i="7"/>
  <c r="J13" i="7"/>
  <c r="J17" i="8"/>
  <c r="D50" i="70"/>
  <c r="E50" i="70" s="1"/>
  <c r="K51" i="65"/>
  <c r="C65" i="65"/>
  <c r="O66" i="109"/>
  <c r="J10" i="10"/>
  <c r="G11" i="10"/>
  <c r="L24" i="70"/>
  <c r="F24" i="70"/>
  <c r="D22" i="109"/>
  <c r="D22" i="65" s="1"/>
  <c r="J22" i="70" s="1"/>
  <c r="K22" i="70" s="1"/>
  <c r="C12" i="68"/>
  <c r="R41" i="70"/>
  <c r="C19" i="109"/>
  <c r="J38" i="7"/>
  <c r="C37" i="7"/>
  <c r="R46" i="70"/>
  <c r="F25" i="70"/>
  <c r="F24" i="109"/>
  <c r="F24" i="65" s="1"/>
  <c r="K24" i="65" s="1"/>
  <c r="F10" i="22"/>
  <c r="F22" i="109" s="1"/>
  <c r="L60" i="70"/>
  <c r="D10" i="73"/>
  <c r="E10" i="73" s="1"/>
  <c r="E11" i="73"/>
  <c r="L59" i="70"/>
  <c r="K32" i="65"/>
  <c r="J31" i="70"/>
  <c r="K31" i="70" s="1"/>
  <c r="C65" i="109"/>
  <c r="J56" i="7"/>
  <c r="C21" i="65"/>
  <c r="O21" i="109"/>
  <c r="E13" i="109"/>
  <c r="E13" i="65" s="1"/>
  <c r="P13" i="70" s="1"/>
  <c r="Q13" i="70" s="1"/>
  <c r="J52" i="7"/>
  <c r="C61" i="109"/>
  <c r="G13" i="13"/>
  <c r="I13" i="13" s="1"/>
  <c r="G25" i="109"/>
  <c r="G10" i="22"/>
  <c r="G22" i="109" s="1"/>
  <c r="O27" i="22"/>
  <c r="J21" i="38"/>
  <c r="E33" i="109"/>
  <c r="K13" i="73"/>
  <c r="J10" i="73"/>
  <c r="K10" i="73" s="1"/>
  <c r="C23" i="109"/>
  <c r="C10" i="22"/>
  <c r="O11" i="22"/>
  <c r="J32" i="70"/>
  <c r="K32" i="70" s="1"/>
  <c r="R15" i="70"/>
  <c r="O63" i="109"/>
  <c r="C62" i="65"/>
  <c r="F29" i="70"/>
  <c r="O20" i="109"/>
  <c r="C20" i="65"/>
  <c r="L18" i="70"/>
  <c r="H59" i="59"/>
  <c r="K10" i="59"/>
  <c r="H10" i="59" s="1"/>
  <c r="D15" i="13"/>
  <c r="I17" i="8"/>
  <c r="C61" i="65"/>
  <c r="O62" i="109"/>
  <c r="F53" i="70"/>
  <c r="C16" i="7"/>
  <c r="D20" i="70" l="1"/>
  <c r="E20" i="70" s="1"/>
  <c r="K20" i="65"/>
  <c r="D47" i="109"/>
  <c r="I23" i="47"/>
  <c r="D10" i="47"/>
  <c r="L13" i="73"/>
  <c r="F10" i="109"/>
  <c r="F10" i="65" s="1"/>
  <c r="F22" i="65"/>
  <c r="C18" i="109"/>
  <c r="J37" i="7"/>
  <c r="C13" i="109"/>
  <c r="J12" i="7"/>
  <c r="C19" i="65"/>
  <c r="O19" i="109"/>
  <c r="L10" i="73"/>
  <c r="O24" i="109"/>
  <c r="O23" i="109"/>
  <c r="C23" i="65"/>
  <c r="R13" i="70"/>
  <c r="F11" i="73"/>
  <c r="H11" i="73"/>
  <c r="G11" i="73"/>
  <c r="K65" i="65"/>
  <c r="D64" i="70"/>
  <c r="C64" i="70" s="1"/>
  <c r="E64" i="70" s="1"/>
  <c r="E33" i="65"/>
  <c r="O33" i="109"/>
  <c r="F10" i="73"/>
  <c r="L22" i="70"/>
  <c r="J24" i="7"/>
  <c r="C15" i="109"/>
  <c r="O10" i="22"/>
  <c r="C22" i="109"/>
  <c r="K62" i="65"/>
  <c r="D61" i="70"/>
  <c r="E61" i="70" s="1"/>
  <c r="K61" i="65"/>
  <c r="D60" i="70"/>
  <c r="E60" i="70" s="1"/>
  <c r="K21" i="65"/>
  <c r="D21" i="70"/>
  <c r="E21" i="70" s="1"/>
  <c r="F50" i="70"/>
  <c r="J16" i="7"/>
  <c r="C14" i="109"/>
  <c r="C60" i="65"/>
  <c r="O61" i="109"/>
  <c r="G10" i="109"/>
  <c r="G10" i="65" s="1"/>
  <c r="G22" i="65"/>
  <c r="C64" i="65"/>
  <c r="O65" i="109"/>
  <c r="L13" i="70"/>
  <c r="L32" i="70"/>
  <c r="G25" i="65"/>
  <c r="K25" i="65" s="1"/>
  <c r="O25" i="109"/>
  <c r="L31" i="70"/>
  <c r="F26" i="70"/>
  <c r="D23" i="70" l="1"/>
  <c r="E23" i="70" s="1"/>
  <c r="K23" i="65"/>
  <c r="C18" i="65"/>
  <c r="O18" i="109"/>
  <c r="K64" i="65"/>
  <c r="D63" i="70"/>
  <c r="E63" i="70" s="1"/>
  <c r="P32" i="70"/>
  <c r="Q32" i="70" s="1"/>
  <c r="K33" i="65"/>
  <c r="D59" i="70"/>
  <c r="E59" i="70" s="1"/>
  <c r="K60" i="65"/>
  <c r="O22" i="109"/>
  <c r="C22" i="65"/>
  <c r="H64" i="70"/>
  <c r="F64" i="70"/>
  <c r="G64" i="70"/>
  <c r="O14" i="109"/>
  <c r="C14" i="65"/>
  <c r="D42" i="109"/>
  <c r="C14" i="68"/>
  <c r="I10" i="47"/>
  <c r="F60" i="70"/>
  <c r="F61" i="70"/>
  <c r="O15" i="109"/>
  <c r="C15" i="65"/>
  <c r="K19" i="65"/>
  <c r="D19" i="70"/>
  <c r="E19" i="70" s="1"/>
  <c r="D47" i="65"/>
  <c r="O47" i="109"/>
  <c r="F21" i="70"/>
  <c r="H21" i="70"/>
  <c r="G21" i="70"/>
  <c r="O13" i="109"/>
  <c r="C13" i="65"/>
  <c r="F20" i="70"/>
  <c r="D22" i="70" l="1"/>
  <c r="E22" i="70" s="1"/>
  <c r="K22" i="65"/>
  <c r="F59" i="70"/>
  <c r="R32" i="70"/>
  <c r="D42" i="65"/>
  <c r="O42" i="109"/>
  <c r="F63" i="70"/>
  <c r="J46" i="70"/>
  <c r="K46" i="70" s="1"/>
  <c r="K47" i="65"/>
  <c r="K14" i="65"/>
  <c r="D14" i="70"/>
  <c r="E14" i="70" s="1"/>
  <c r="F19" i="70"/>
  <c r="D15" i="70"/>
  <c r="E15" i="70" s="1"/>
  <c r="K15" i="65"/>
  <c r="K18" i="65"/>
  <c r="D18" i="70"/>
  <c r="E18" i="70" s="1"/>
  <c r="K13" i="65"/>
  <c r="D13" i="70"/>
  <c r="E13" i="70" s="1"/>
  <c r="F23" i="70"/>
  <c r="F15" i="70" l="1"/>
  <c r="J41" i="70"/>
  <c r="K41" i="70" s="1"/>
  <c r="K42" i="65"/>
  <c r="F18" i="70"/>
  <c r="F14" i="70"/>
  <c r="F13" i="70"/>
  <c r="L46" i="70"/>
  <c r="F22" i="70"/>
  <c r="G16" i="45"/>
  <c r="G17" i="45"/>
  <c r="H12" i="45"/>
  <c r="G12" i="45"/>
  <c r="G19" i="45"/>
  <c r="H29" i="45"/>
  <c r="G13" i="45"/>
  <c r="H26" i="45"/>
  <c r="H19" i="45"/>
  <c r="H17" i="45"/>
  <c r="H18" i="45"/>
  <c r="H16" i="45"/>
  <c r="G18" i="45"/>
  <c r="G26" i="45"/>
  <c r="G29" i="45"/>
  <c r="H13" i="45"/>
  <c r="I21" i="45" l="1"/>
  <c r="G22" i="45"/>
  <c r="G10" i="42"/>
  <c r="D32" i="38"/>
  <c r="F11" i="42"/>
  <c r="J10" i="45"/>
  <c r="H11" i="45"/>
  <c r="G11" i="45"/>
  <c r="J21" i="45"/>
  <c r="H22" i="45"/>
  <c r="I27" i="45"/>
  <c r="G27" i="45" s="1"/>
  <c r="G28" i="45"/>
  <c r="L41" i="70"/>
  <c r="J27" i="45"/>
  <c r="H27" i="45" s="1"/>
  <c r="H28" i="45"/>
  <c r="I14" i="45"/>
  <c r="G14" i="45" s="1"/>
  <c r="G15" i="45"/>
  <c r="J14" i="45"/>
  <c r="H14" i="45" s="1"/>
  <c r="H15" i="45"/>
  <c r="C41" i="11"/>
  <c r="C63" i="8" l="1"/>
  <c r="G71" i="8"/>
  <c r="F71" i="8"/>
  <c r="E71" i="8"/>
  <c r="G85" i="8"/>
  <c r="F85" i="8"/>
  <c r="E85" i="8"/>
  <c r="J20" i="45"/>
  <c r="H20" i="45" s="1"/>
  <c r="H21" i="45"/>
  <c r="F77" i="8"/>
  <c r="E77" i="8"/>
  <c r="G77" i="8"/>
  <c r="E56" i="8"/>
  <c r="G56" i="8"/>
  <c r="F56" i="8"/>
  <c r="E84" i="8"/>
  <c r="F84" i="8"/>
  <c r="G84" i="8"/>
  <c r="C26" i="8"/>
  <c r="F34" i="8"/>
  <c r="G34" i="8"/>
  <c r="E34" i="8"/>
  <c r="I10" i="45"/>
  <c r="C66" i="8"/>
  <c r="G88" i="8"/>
  <c r="E88" i="8"/>
  <c r="F88" i="8"/>
  <c r="C32" i="8"/>
  <c r="C27" i="8"/>
  <c r="G35" i="8"/>
  <c r="F35" i="8"/>
  <c r="E35" i="8"/>
  <c r="E44" i="38"/>
  <c r="H10" i="45"/>
  <c r="G78" i="8"/>
  <c r="E78" i="8"/>
  <c r="F78" i="8"/>
  <c r="C62" i="8"/>
  <c r="F70" i="8"/>
  <c r="G70" i="8"/>
  <c r="E70" i="8"/>
  <c r="C25" i="8"/>
  <c r="G33" i="8"/>
  <c r="E33" i="8"/>
  <c r="F33" i="8"/>
  <c r="C53" i="8"/>
  <c r="E54" i="8"/>
  <c r="G54" i="8"/>
  <c r="F54" i="8"/>
  <c r="J32" i="38"/>
  <c r="D34" i="109"/>
  <c r="C82" i="8"/>
  <c r="F83" i="8"/>
  <c r="G83" i="8"/>
  <c r="E83" i="8"/>
  <c r="C61" i="8"/>
  <c r="C68" i="8"/>
  <c r="G69" i="8"/>
  <c r="E69" i="8"/>
  <c r="F69" i="8"/>
  <c r="C75" i="8"/>
  <c r="G76" i="8"/>
  <c r="F76" i="8"/>
  <c r="E76" i="8"/>
  <c r="C21" i="8"/>
  <c r="G57" i="8"/>
  <c r="F57" i="8"/>
  <c r="E57" i="8"/>
  <c r="C30" i="8"/>
  <c r="E38" i="8"/>
  <c r="F38" i="8"/>
  <c r="G38" i="8"/>
  <c r="I20" i="45"/>
  <c r="G20" i="45" s="1"/>
  <c r="G21" i="45"/>
  <c r="C19" i="11"/>
  <c r="C20" i="11"/>
  <c r="C13" i="11" s="1"/>
  <c r="C62" i="11"/>
  <c r="C40" i="11"/>
  <c r="G58" i="11"/>
  <c r="F58" i="11"/>
  <c r="J62" i="11" l="1"/>
  <c r="G62" i="11" s="1"/>
  <c r="G69" i="11"/>
  <c r="G66" i="8"/>
  <c r="E66" i="8"/>
  <c r="F66" i="8"/>
  <c r="I99" i="11"/>
  <c r="F99" i="11" s="1"/>
  <c r="F114" i="11"/>
  <c r="D44" i="38"/>
  <c r="G10" i="45"/>
  <c r="J25" i="11"/>
  <c r="G26" i="11"/>
  <c r="J18" i="11"/>
  <c r="G48" i="11"/>
  <c r="J40" i="11"/>
  <c r="G40" i="11" s="1"/>
  <c r="F27" i="11"/>
  <c r="I19" i="11"/>
  <c r="I44" i="11"/>
  <c r="F52" i="11"/>
  <c r="H41" i="11"/>
  <c r="E41" i="11" s="1"/>
  <c r="E49" i="11"/>
  <c r="E27" i="11"/>
  <c r="H19" i="11"/>
  <c r="J23" i="11"/>
  <c r="G31" i="11"/>
  <c r="C23" i="11"/>
  <c r="E31" i="11"/>
  <c r="C23" i="8"/>
  <c r="E30" i="8"/>
  <c r="F30" i="8"/>
  <c r="G30" i="8"/>
  <c r="J66" i="11"/>
  <c r="J60" i="11"/>
  <c r="G67" i="11"/>
  <c r="F48" i="11"/>
  <c r="I40" i="11"/>
  <c r="F40" i="11" s="1"/>
  <c r="H53" i="11"/>
  <c r="E54" i="11"/>
  <c r="F67" i="11"/>
  <c r="I66" i="11"/>
  <c r="I60" i="11"/>
  <c r="C60" i="8"/>
  <c r="G61" i="8"/>
  <c r="E61" i="8"/>
  <c r="F61" i="8"/>
  <c r="E37" i="109"/>
  <c r="E37" i="65" s="1"/>
  <c r="P36" i="70" s="1"/>
  <c r="Q36" i="70" s="1"/>
  <c r="E10" i="38"/>
  <c r="E31" i="109" s="1"/>
  <c r="E31" i="65" s="1"/>
  <c r="P30" i="70" s="1"/>
  <c r="Q30" i="70" s="1"/>
  <c r="J19" i="11"/>
  <c r="G27" i="11"/>
  <c r="J20" i="11"/>
  <c r="G28" i="11"/>
  <c r="C19" i="8"/>
  <c r="F26" i="8"/>
  <c r="G26" i="8"/>
  <c r="E26" i="8"/>
  <c r="I41" i="11"/>
  <c r="F41" i="11" s="1"/>
  <c r="F49" i="11"/>
  <c r="E110" i="11"/>
  <c r="H94" i="11"/>
  <c r="H109" i="11"/>
  <c r="H108" i="11" s="1"/>
  <c r="C36" i="7" s="1"/>
  <c r="I20" i="11"/>
  <c r="F28" i="11"/>
  <c r="J94" i="11"/>
  <c r="J109" i="11"/>
  <c r="J108" i="11" s="1"/>
  <c r="E36" i="7" s="1"/>
  <c r="E34" i="7" s="1"/>
  <c r="E17" i="109" s="1"/>
  <c r="E17" i="65" s="1"/>
  <c r="P17" i="70" s="1"/>
  <c r="Q17" i="70" s="1"/>
  <c r="G110" i="11"/>
  <c r="F54" i="11"/>
  <c r="I53" i="11"/>
  <c r="J39" i="11"/>
  <c r="G47" i="11"/>
  <c r="J46" i="11"/>
  <c r="F69" i="11"/>
  <c r="I62" i="11"/>
  <c r="F62" i="11" s="1"/>
  <c r="C12" i="11"/>
  <c r="C14" i="8"/>
  <c r="E21" i="8"/>
  <c r="G21" i="8"/>
  <c r="F21" i="8"/>
  <c r="C18" i="8"/>
  <c r="C24" i="8"/>
  <c r="E25" i="8"/>
  <c r="G25" i="8"/>
  <c r="F25" i="8"/>
  <c r="G49" i="11"/>
  <c r="J41" i="11"/>
  <c r="G41" i="11" s="1"/>
  <c r="C46" i="11"/>
  <c r="C39" i="11"/>
  <c r="C20" i="8"/>
  <c r="F27" i="8"/>
  <c r="G27" i="8"/>
  <c r="E27" i="8"/>
  <c r="J99" i="11"/>
  <c r="G99" i="11" s="1"/>
  <c r="G114" i="11"/>
  <c r="F47" i="11"/>
  <c r="I46" i="11"/>
  <c r="I39" i="11"/>
  <c r="J44" i="11"/>
  <c r="G52" i="11"/>
  <c r="G54" i="11"/>
  <c r="J53" i="11"/>
  <c r="E47" i="11"/>
  <c r="H39" i="11"/>
  <c r="H46" i="11"/>
  <c r="H18" i="11"/>
  <c r="H25" i="11"/>
  <c r="E26" i="11"/>
  <c r="I109" i="11"/>
  <c r="I108" i="11" s="1"/>
  <c r="D36" i="7" s="1"/>
  <c r="D34" i="7" s="1"/>
  <c r="D17" i="109" s="1"/>
  <c r="D17" i="65" s="1"/>
  <c r="J17" i="70" s="1"/>
  <c r="K17" i="70" s="1"/>
  <c r="F110" i="11"/>
  <c r="I94" i="11"/>
  <c r="E67" i="11"/>
  <c r="H60" i="11"/>
  <c r="H66" i="11"/>
  <c r="C60" i="11"/>
  <c r="C59" i="11" s="1"/>
  <c r="C66" i="11"/>
  <c r="O34" i="109"/>
  <c r="D34" i="65"/>
  <c r="C44" i="11"/>
  <c r="E44" i="11" s="1"/>
  <c r="E52" i="11"/>
  <c r="E62" i="8"/>
  <c r="G62" i="8"/>
  <c r="F62" i="8"/>
  <c r="I25" i="11"/>
  <c r="F26" i="11"/>
  <c r="I18" i="11"/>
  <c r="I23" i="11"/>
  <c r="F31" i="11"/>
  <c r="H62" i="11"/>
  <c r="E62" i="11" s="1"/>
  <c r="E69" i="11"/>
  <c r="H20" i="11"/>
  <c r="E28" i="11"/>
  <c r="E48" i="11"/>
  <c r="H40" i="11"/>
  <c r="E40" i="11" s="1"/>
  <c r="C25" i="11"/>
  <c r="C18" i="11"/>
  <c r="F63" i="8"/>
  <c r="G63" i="8"/>
  <c r="E63" i="8"/>
  <c r="H20" i="47"/>
  <c r="M46" i="109" s="1"/>
  <c r="F20" i="47"/>
  <c r="K46" i="109" s="1"/>
  <c r="G17" i="47"/>
  <c r="L45" i="109" s="1"/>
  <c r="G20" i="47"/>
  <c r="L46" i="109" s="1"/>
  <c r="H14" i="47"/>
  <c r="M44" i="109" s="1"/>
  <c r="M16" i="22"/>
  <c r="F14" i="47"/>
  <c r="K44" i="109" s="1"/>
  <c r="F34" i="7"/>
  <c r="K17" i="109" s="1"/>
  <c r="G24" i="7"/>
  <c r="L15" i="109" s="1"/>
  <c r="G34" i="7"/>
  <c r="L17" i="109" s="1"/>
  <c r="H23" i="47"/>
  <c r="M47" i="109" s="1"/>
  <c r="F30" i="7"/>
  <c r="K16" i="109" s="1"/>
  <c r="H11" i="1"/>
  <c r="G30" i="7"/>
  <c r="L16" i="109" s="1"/>
  <c r="F23" i="47"/>
  <c r="K47" i="109" s="1"/>
  <c r="G14" i="47"/>
  <c r="L44" i="109" s="1"/>
  <c r="I24" i="7"/>
  <c r="N15" i="109" s="1"/>
  <c r="I30" i="7"/>
  <c r="N16" i="109" s="1"/>
  <c r="I34" i="7"/>
  <c r="N17" i="109" s="1"/>
  <c r="G23" i="47"/>
  <c r="L47" i="109" s="1"/>
  <c r="M57" i="22"/>
  <c r="M30" i="109" s="1"/>
  <c r="L27" i="22"/>
  <c r="H34" i="7"/>
  <c r="M17" i="109" s="1"/>
  <c r="C11" i="11" l="1"/>
  <c r="C17" i="11"/>
  <c r="F20" i="11"/>
  <c r="I13" i="11"/>
  <c r="J17" i="11"/>
  <c r="E31" i="7" s="1"/>
  <c r="G18" i="11"/>
  <c r="J11" i="11"/>
  <c r="M35" i="22"/>
  <c r="M26" i="109" s="1"/>
  <c r="F16" i="7"/>
  <c r="K14" i="109" s="1"/>
  <c r="F17" i="47"/>
  <c r="K45" i="109" s="1"/>
  <c r="M27" i="22"/>
  <c r="M25" i="109" s="1"/>
  <c r="G42" i="7"/>
  <c r="F94" i="11"/>
  <c r="I93" i="11"/>
  <c r="G44" i="11"/>
  <c r="J36" i="7"/>
  <c r="C34" i="7"/>
  <c r="J12" i="11"/>
  <c r="G19" i="11"/>
  <c r="G23" i="11"/>
  <c r="J16" i="11"/>
  <c r="H42" i="7"/>
  <c r="K37" i="109"/>
  <c r="F10" i="38"/>
  <c r="I38" i="11"/>
  <c r="D32" i="7" s="1"/>
  <c r="F39" i="11"/>
  <c r="E94" i="11"/>
  <c r="H93" i="11"/>
  <c r="R30" i="70"/>
  <c r="H12" i="11"/>
  <c r="E19" i="11"/>
  <c r="L17" i="70"/>
  <c r="R36" i="70"/>
  <c r="F24" i="7"/>
  <c r="K15" i="109" s="1"/>
  <c r="G11" i="47"/>
  <c r="J59" i="11"/>
  <c r="E33" i="7" s="1"/>
  <c r="G60" i="11"/>
  <c r="J44" i="38"/>
  <c r="D37" i="109"/>
  <c r="D10" i="38"/>
  <c r="H24" i="7"/>
  <c r="M15" i="109" s="1"/>
  <c r="H16" i="7"/>
  <c r="M14" i="109" s="1"/>
  <c r="H17" i="47"/>
  <c r="M45" i="109" s="1"/>
  <c r="F11" i="47"/>
  <c r="H13" i="11"/>
  <c r="E20" i="11"/>
  <c r="G39" i="11"/>
  <c r="J38" i="11"/>
  <c r="E32" i="7" s="1"/>
  <c r="F42" i="7"/>
  <c r="G12" i="7"/>
  <c r="I16" i="7"/>
  <c r="N14" i="109" s="1"/>
  <c r="J33" i="70"/>
  <c r="K33" i="70" s="1"/>
  <c r="K34" i="65"/>
  <c r="H17" i="11"/>
  <c r="C31" i="7" s="1"/>
  <c r="E18" i="11"/>
  <c r="H11" i="11"/>
  <c r="C17" i="8"/>
  <c r="G18" i="8"/>
  <c r="F18" i="8"/>
  <c r="E18" i="8"/>
  <c r="F44" i="11"/>
  <c r="L10" i="22"/>
  <c r="L25" i="109"/>
  <c r="M37" i="109"/>
  <c r="H10" i="38"/>
  <c r="H12" i="7"/>
  <c r="K27" i="22"/>
  <c r="H11" i="47"/>
  <c r="H21" i="1"/>
  <c r="M55" i="109" s="1"/>
  <c r="G16" i="7"/>
  <c r="L14" i="109" s="1"/>
  <c r="E39" i="11"/>
  <c r="H38" i="11"/>
  <c r="C32" i="7" s="1"/>
  <c r="J32" i="7" s="1"/>
  <c r="F60" i="11"/>
  <c r="I59" i="11"/>
  <c r="D33" i="7" s="1"/>
  <c r="F19" i="11"/>
  <c r="I12" i="11"/>
  <c r="R17" i="70"/>
  <c r="G19" i="8"/>
  <c r="E19" i="8"/>
  <c r="F19" i="8"/>
  <c r="E23" i="8"/>
  <c r="G23" i="8"/>
  <c r="F23" i="8"/>
  <c r="M52" i="109"/>
  <c r="M24" i="109"/>
  <c r="M10" i="22"/>
  <c r="I16" i="11"/>
  <c r="F23" i="11"/>
  <c r="H30" i="7"/>
  <c r="M16" i="109" s="1"/>
  <c r="I12" i="7"/>
  <c r="F12" i="7"/>
  <c r="G10" i="38"/>
  <c r="L37" i="109"/>
  <c r="N27" i="22"/>
  <c r="F18" i="11"/>
  <c r="I17" i="11"/>
  <c r="D31" i="7" s="1"/>
  <c r="I11" i="11"/>
  <c r="F20" i="8"/>
  <c r="E20" i="8"/>
  <c r="G20" i="8"/>
  <c r="J93" i="11"/>
  <c r="G94" i="11"/>
  <c r="E60" i="11"/>
  <c r="H59" i="11"/>
  <c r="C33" i="7" s="1"/>
  <c r="C38" i="11"/>
  <c r="F13" i="13"/>
  <c r="H13" i="13" s="1"/>
  <c r="F14" i="8"/>
  <c r="G14" i="8"/>
  <c r="E14" i="8"/>
  <c r="G20" i="11"/>
  <c r="J13" i="11"/>
  <c r="C16" i="11"/>
  <c r="E16" i="11" s="1"/>
  <c r="E23" i="11"/>
  <c r="N10" i="22" l="1"/>
  <c r="N22" i="109" s="1"/>
  <c r="N25" i="109"/>
  <c r="E55" i="9"/>
  <c r="G55" i="9"/>
  <c r="F55" i="9"/>
  <c r="F101" i="9"/>
  <c r="G101" i="9"/>
  <c r="E101" i="9"/>
  <c r="E26" i="9"/>
  <c r="F26" i="9"/>
  <c r="G26" i="9"/>
  <c r="G51" i="9"/>
  <c r="E51" i="9"/>
  <c r="F51" i="9"/>
  <c r="F12" i="11"/>
  <c r="I12" i="8"/>
  <c r="F13" i="68"/>
  <c r="K31" i="109"/>
  <c r="G37" i="7"/>
  <c r="L18" i="109" s="1"/>
  <c r="L20" i="109"/>
  <c r="G122" i="9"/>
  <c r="F122" i="9"/>
  <c r="E122" i="9"/>
  <c r="L33" i="70"/>
  <c r="C16" i="9"/>
  <c r="G23" i="9"/>
  <c r="F23" i="9"/>
  <c r="E23" i="9"/>
  <c r="D12" i="68"/>
  <c r="L22" i="109"/>
  <c r="D31" i="109"/>
  <c r="C13" i="68"/>
  <c r="J10" i="38"/>
  <c r="H37" i="7"/>
  <c r="M18" i="109" s="1"/>
  <c r="M20" i="109"/>
  <c r="C38" i="9"/>
  <c r="F39" i="9"/>
  <c r="E39" i="9"/>
  <c r="G39" i="9"/>
  <c r="J33" i="7"/>
  <c r="D13" i="68"/>
  <c r="L31" i="109"/>
  <c r="O37" i="109"/>
  <c r="D37" i="65"/>
  <c r="G16" i="11"/>
  <c r="J16" i="8"/>
  <c r="F58" i="9"/>
  <c r="G58" i="9"/>
  <c r="E58" i="9"/>
  <c r="C11" i="9"/>
  <c r="C17" i="9"/>
  <c r="E18" i="9"/>
  <c r="G18" i="9"/>
  <c r="F18" i="9"/>
  <c r="C45" i="9"/>
  <c r="E46" i="9"/>
  <c r="G46" i="9"/>
  <c r="F46" i="9"/>
  <c r="F37" i="9"/>
  <c r="G37" i="9"/>
  <c r="E37" i="9"/>
  <c r="K13" i="109"/>
  <c r="F11" i="7"/>
  <c r="L13" i="109"/>
  <c r="G11" i="7"/>
  <c r="E12" i="11"/>
  <c r="H12" i="8"/>
  <c r="E83" i="9"/>
  <c r="F83" i="9"/>
  <c r="G83" i="9"/>
  <c r="F40" i="9"/>
  <c r="E40" i="9"/>
  <c r="G40" i="9"/>
  <c r="E121" i="9"/>
  <c r="G121" i="9"/>
  <c r="F121" i="9"/>
  <c r="N13" i="109"/>
  <c r="I11" i="7"/>
  <c r="F37" i="7"/>
  <c r="K18" i="109" s="1"/>
  <c r="K20" i="109"/>
  <c r="G11" i="11"/>
  <c r="J10" i="11"/>
  <c r="J11" i="8"/>
  <c r="C61" i="9"/>
  <c r="E69" i="9"/>
  <c r="F69" i="9"/>
  <c r="G69" i="9"/>
  <c r="C95" i="9"/>
  <c r="F96" i="9"/>
  <c r="G96" i="9"/>
  <c r="E96" i="9"/>
  <c r="G98" i="9"/>
  <c r="F98" i="9"/>
  <c r="E98" i="9"/>
  <c r="G12" i="11"/>
  <c r="J12" i="8"/>
  <c r="E105" i="9"/>
  <c r="G105" i="9"/>
  <c r="F105" i="9"/>
  <c r="C60" i="9"/>
  <c r="C67" i="9"/>
  <c r="E68" i="9"/>
  <c r="G68" i="9"/>
  <c r="F68" i="9"/>
  <c r="C102" i="9"/>
  <c r="E103" i="9"/>
  <c r="F103" i="9"/>
  <c r="G103" i="9"/>
  <c r="L43" i="109"/>
  <c r="G10" i="47"/>
  <c r="J34" i="7"/>
  <c r="C17" i="109"/>
  <c r="E30" i="7"/>
  <c r="E48" i="9"/>
  <c r="G48" i="9"/>
  <c r="F48" i="9"/>
  <c r="E41" i="9"/>
  <c r="F41" i="9"/>
  <c r="G41" i="9"/>
  <c r="C24" i="9"/>
  <c r="F25" i="9"/>
  <c r="E25" i="9"/>
  <c r="G25" i="9"/>
  <c r="C81" i="9"/>
  <c r="G82" i="9"/>
  <c r="F82" i="9"/>
  <c r="E82" i="9"/>
  <c r="G13" i="11"/>
  <c r="J13" i="8"/>
  <c r="F16" i="11"/>
  <c r="I16" i="8"/>
  <c r="H10" i="47"/>
  <c r="M43" i="109"/>
  <c r="F13" i="11"/>
  <c r="I13" i="8"/>
  <c r="G30" i="9"/>
  <c r="F30" i="9"/>
  <c r="E30" i="9"/>
  <c r="E33" i="9"/>
  <c r="G33" i="9"/>
  <c r="F33" i="9"/>
  <c r="C52" i="9"/>
  <c r="G53" i="9"/>
  <c r="F53" i="9"/>
  <c r="E53" i="9"/>
  <c r="E12" i="68"/>
  <c r="M22" i="109"/>
  <c r="K25" i="109"/>
  <c r="K10" i="22"/>
  <c r="H10" i="11"/>
  <c r="E11" i="11"/>
  <c r="H11" i="8"/>
  <c r="E13" i="11"/>
  <c r="H13" i="8"/>
  <c r="G104" i="9"/>
  <c r="E104" i="9"/>
  <c r="F104" i="9"/>
  <c r="F54" i="9"/>
  <c r="G54" i="9"/>
  <c r="E54" i="9"/>
  <c r="F125" i="9"/>
  <c r="G125" i="9"/>
  <c r="E125" i="9"/>
  <c r="E84" i="9"/>
  <c r="G84" i="9"/>
  <c r="F84" i="9"/>
  <c r="C31" i="9"/>
  <c r="G32" i="9"/>
  <c r="E32" i="9"/>
  <c r="F32" i="9"/>
  <c r="C12" i="9"/>
  <c r="F19" i="9"/>
  <c r="G19" i="9"/>
  <c r="E19" i="9"/>
  <c r="C119" i="9"/>
  <c r="C118" i="9" s="1"/>
  <c r="E120" i="9"/>
  <c r="G120" i="9"/>
  <c r="F120" i="9"/>
  <c r="C65" i="9"/>
  <c r="G73" i="9"/>
  <c r="F73" i="9"/>
  <c r="E73" i="9"/>
  <c r="F44" i="9"/>
  <c r="E44" i="9"/>
  <c r="G44" i="9"/>
  <c r="I10" i="11"/>
  <c r="F11" i="11"/>
  <c r="I11" i="8"/>
  <c r="H11" i="7"/>
  <c r="M13" i="109"/>
  <c r="F10" i="47"/>
  <c r="K43" i="109"/>
  <c r="E27" i="9"/>
  <c r="G27" i="9"/>
  <c r="F27" i="9"/>
  <c r="C13" i="9"/>
  <c r="E20" i="9"/>
  <c r="G20" i="9"/>
  <c r="F20" i="9"/>
  <c r="G87" i="9"/>
  <c r="F87" i="9"/>
  <c r="E87" i="9"/>
  <c r="C62" i="9"/>
  <c r="G70" i="9"/>
  <c r="E70" i="9"/>
  <c r="F70" i="9"/>
  <c r="F34" i="9"/>
  <c r="G34" i="9"/>
  <c r="E34" i="9"/>
  <c r="G47" i="9"/>
  <c r="E47" i="9"/>
  <c r="F47" i="9"/>
  <c r="D30" i="7"/>
  <c r="H10" i="1"/>
  <c r="M31" i="109"/>
  <c r="E13" i="68"/>
  <c r="C30" i="7"/>
  <c r="J31" i="7"/>
  <c r="C10" i="11"/>
  <c r="E14" i="68" l="1"/>
  <c r="M42" i="109"/>
  <c r="E15" i="68"/>
  <c r="M51" i="109"/>
  <c r="D16" i="109"/>
  <c r="D16" i="65" s="1"/>
  <c r="J16" i="70" s="1"/>
  <c r="K16" i="70" s="1"/>
  <c r="D11" i="7"/>
  <c r="M12" i="109"/>
  <c r="H10" i="7"/>
  <c r="G13" i="8"/>
  <c r="H10" i="8"/>
  <c r="G10" i="13"/>
  <c r="K37" i="65"/>
  <c r="J36" i="70"/>
  <c r="K36" i="70" s="1"/>
  <c r="I10" i="8"/>
  <c r="G11" i="13"/>
  <c r="I11" i="13" s="1"/>
  <c r="D31" i="65"/>
  <c r="O31" i="109"/>
  <c r="I10" i="7"/>
  <c r="N11" i="109" s="1"/>
  <c r="N10" i="109" s="1"/>
  <c r="N12" i="109"/>
  <c r="E16" i="109"/>
  <c r="E16" i="65" s="1"/>
  <c r="P16" i="70" s="1"/>
  <c r="Q16" i="70" s="1"/>
  <c r="E11" i="7"/>
  <c r="G65" i="9"/>
  <c r="F65" i="9"/>
  <c r="E65" i="9"/>
  <c r="F12" i="68"/>
  <c r="K22" i="109"/>
  <c r="C17" i="65"/>
  <c r="O17" i="109"/>
  <c r="F13" i="8"/>
  <c r="F10" i="7"/>
  <c r="K12" i="109"/>
  <c r="K42" i="109"/>
  <c r="F14" i="68"/>
  <c r="G12" i="13"/>
  <c r="I12" i="13" s="1"/>
  <c r="G10" i="7"/>
  <c r="L12" i="109"/>
  <c r="C13" i="8"/>
  <c r="F12" i="13" s="1"/>
  <c r="H12" i="13" s="1"/>
  <c r="G13" i="9"/>
  <c r="E13" i="9"/>
  <c r="F13" i="9"/>
  <c r="D14" i="68"/>
  <c r="L42" i="109"/>
  <c r="C10" i="9"/>
  <c r="G11" i="9"/>
  <c r="F11" i="9"/>
  <c r="E11" i="9"/>
  <c r="C11" i="8"/>
  <c r="F11" i="8" s="1"/>
  <c r="G62" i="9"/>
  <c r="F62" i="9"/>
  <c r="E62" i="9"/>
  <c r="C59" i="9"/>
  <c r="E60" i="9"/>
  <c r="F60" i="9"/>
  <c r="G60" i="9"/>
  <c r="F12" i="9"/>
  <c r="G12" i="9"/>
  <c r="E12" i="9"/>
  <c r="C12" i="8"/>
  <c r="F11" i="13" s="1"/>
  <c r="H11" i="13" s="1"/>
  <c r="J30" i="7"/>
  <c r="C16" i="109"/>
  <c r="C11" i="7"/>
  <c r="E16" i="9"/>
  <c r="G16" i="9"/>
  <c r="F16" i="9"/>
  <c r="C16" i="8"/>
  <c r="E16" i="8" s="1"/>
  <c r="G12" i="8"/>
  <c r="G61" i="9"/>
  <c r="E61" i="9"/>
  <c r="F61" i="9"/>
  <c r="J10" i="8"/>
  <c r="G15" i="13" l="1"/>
  <c r="I15" i="13" s="1"/>
  <c r="I10" i="13"/>
  <c r="E11" i="68"/>
  <c r="E10" i="68" s="1"/>
  <c r="M11" i="109"/>
  <c r="M10" i="109" s="1"/>
  <c r="J30" i="70"/>
  <c r="K30" i="70" s="1"/>
  <c r="K31" i="65"/>
  <c r="K17" i="65"/>
  <c r="D17" i="70"/>
  <c r="E17" i="70" s="1"/>
  <c r="D10" i="7"/>
  <c r="D12" i="109"/>
  <c r="D12" i="65" s="1"/>
  <c r="J12" i="70" s="1"/>
  <c r="K12" i="70" s="1"/>
  <c r="E12" i="8"/>
  <c r="L16" i="70"/>
  <c r="G16" i="8"/>
  <c r="R16" i="70"/>
  <c r="K11" i="109"/>
  <c r="K10" i="109" s="1"/>
  <c r="F11" i="68"/>
  <c r="F10" i="68" s="1"/>
  <c r="C12" i="109"/>
  <c r="C10" i="7"/>
  <c r="J11" i="7"/>
  <c r="D11" i="68"/>
  <c r="D10" i="68" s="1"/>
  <c r="L11" i="109"/>
  <c r="L10" i="109" s="1"/>
  <c r="L36" i="70"/>
  <c r="F16" i="8"/>
  <c r="O16" i="109"/>
  <c r="C16" i="65"/>
  <c r="F12" i="8"/>
  <c r="G11" i="8"/>
  <c r="C10" i="8"/>
  <c r="F10" i="13"/>
  <c r="E13" i="8"/>
  <c r="E10" i="7"/>
  <c r="E11" i="109" s="1"/>
  <c r="E12" i="109"/>
  <c r="E12" i="65" s="1"/>
  <c r="P12" i="70" s="1"/>
  <c r="Q12" i="70" s="1"/>
  <c r="E11" i="8"/>
  <c r="F15" i="13" l="1"/>
  <c r="H15" i="13" s="1"/>
  <c r="H10" i="13"/>
  <c r="L12" i="70"/>
  <c r="C11" i="68"/>
  <c r="C10" i="68" s="1"/>
  <c r="D11" i="109"/>
  <c r="F17" i="70"/>
  <c r="L30" i="70"/>
  <c r="J10" i="7"/>
  <c r="C11" i="109"/>
  <c r="C12" i="65"/>
  <c r="O12" i="109"/>
  <c r="D16" i="70"/>
  <c r="E16" i="70" s="1"/>
  <c r="K16" i="65"/>
  <c r="R12" i="70"/>
  <c r="E11" i="65"/>
  <c r="P11" i="70" s="1"/>
  <c r="E10" i="109"/>
  <c r="E10" i="65" s="1"/>
  <c r="F16" i="70" l="1"/>
  <c r="Q11" i="70"/>
  <c r="P10" i="70"/>
  <c r="Q10" i="70" s="1"/>
  <c r="D11" i="65"/>
  <c r="J11" i="70" s="1"/>
  <c r="D10" i="109"/>
  <c r="D10" i="65" s="1"/>
  <c r="K12" i="65"/>
  <c r="D12" i="70"/>
  <c r="E12" i="70" s="1"/>
  <c r="C11" i="65"/>
  <c r="C10" i="109"/>
  <c r="O11" i="109"/>
  <c r="F12" i="70" l="1"/>
  <c r="J10" i="70"/>
  <c r="K10" i="70" s="1"/>
  <c r="K11" i="70"/>
  <c r="R11" i="70"/>
  <c r="C10" i="65"/>
  <c r="K10" i="65" s="1"/>
  <c r="O10" i="109"/>
  <c r="D11" i="70"/>
  <c r="K11" i="65"/>
  <c r="R10" i="70"/>
  <c r="E11" i="70" l="1"/>
  <c r="D10" i="70"/>
  <c r="L11" i="70"/>
  <c r="K72" i="65"/>
  <c r="K71" i="65"/>
  <c r="L10" i="70"/>
  <c r="G34" i="73" l="1"/>
  <c r="E10" i="70"/>
  <c r="F11" i="70"/>
  <c r="H11" i="70"/>
  <c r="F10" i="70" l="1"/>
  <c r="H10" i="70"/>
  <c r="I34" i="73"/>
  <c r="J34" i="73" s="1"/>
  <c r="G35" i="73"/>
  <c r="T49" i="70"/>
  <c r="H45" i="70"/>
  <c r="H46" i="70"/>
  <c r="T43" i="70"/>
  <c r="H24" i="73"/>
  <c r="H22" i="73"/>
  <c r="T44" i="70"/>
  <c r="H23" i="73"/>
  <c r="H25" i="73"/>
  <c r="T42" i="70"/>
  <c r="T45" i="70"/>
  <c r="H65" i="70"/>
  <c r="H21" i="73"/>
  <c r="H49" i="70"/>
  <c r="H44" i="70"/>
  <c r="N42" i="70"/>
  <c r="N43" i="70"/>
  <c r="H42" i="70"/>
  <c r="T54" i="70"/>
  <c r="N51" i="70"/>
  <c r="H48" i="70"/>
  <c r="N44" i="70"/>
  <c r="T52" i="70"/>
  <c r="H38" i="70"/>
  <c r="T50" i="70"/>
  <c r="N45" i="70"/>
  <c r="H43" i="70"/>
  <c r="T20" i="70"/>
  <c r="T19" i="70"/>
  <c r="H37" i="70"/>
  <c r="N50" i="70"/>
  <c r="Z28" i="73"/>
  <c r="Z27" i="73"/>
  <c r="N54" i="70"/>
  <c r="H41" i="70"/>
  <c r="N25" i="70"/>
  <c r="T25" i="70"/>
  <c r="T18" i="70"/>
  <c r="T59" i="70"/>
  <c r="N15" i="70"/>
  <c r="T61" i="70"/>
  <c r="H30" i="70"/>
  <c r="T60" i="70"/>
  <c r="T22" i="70"/>
  <c r="T24" i="70"/>
  <c r="T14" i="70"/>
  <c r="Z10" i="73"/>
  <c r="N20" i="70"/>
  <c r="N52" i="70"/>
  <c r="N61" i="70"/>
  <c r="T46" i="70"/>
  <c r="T34" i="70"/>
  <c r="H29" i="70"/>
  <c r="N59" i="70"/>
  <c r="H24" i="70"/>
  <c r="N60" i="70"/>
  <c r="T15" i="70"/>
  <c r="N14" i="70"/>
  <c r="N18" i="70"/>
  <c r="H53" i="70"/>
  <c r="H25" i="70"/>
  <c r="T41" i="70"/>
  <c r="N19" i="70"/>
  <c r="N24" i="70"/>
  <c r="T13" i="70"/>
  <c r="H26" i="70"/>
  <c r="N22" i="70"/>
  <c r="N13" i="70"/>
  <c r="N32" i="70"/>
  <c r="H50" i="70"/>
  <c r="N13" i="73"/>
  <c r="N10" i="73"/>
  <c r="N31" i="70"/>
  <c r="H10" i="73"/>
  <c r="H61" i="70"/>
  <c r="H20" i="70"/>
  <c r="H60" i="70"/>
  <c r="H63" i="70"/>
  <c r="H23" i="70"/>
  <c r="H19" i="70"/>
  <c r="H59" i="70"/>
  <c r="T32" i="70"/>
  <c r="H13" i="70"/>
  <c r="H15" i="70"/>
  <c r="N46" i="70"/>
  <c r="H22" i="70"/>
  <c r="H18" i="70"/>
  <c r="H14" i="70"/>
  <c r="N41" i="70"/>
  <c r="T36" i="70"/>
  <c r="T17" i="70"/>
  <c r="T30" i="70"/>
  <c r="N17" i="70"/>
  <c r="N33" i="70"/>
  <c r="N16" i="70"/>
  <c r="N36" i="70"/>
  <c r="T16" i="70"/>
  <c r="H17" i="70"/>
  <c r="N30" i="70"/>
  <c r="N12" i="70"/>
  <c r="T12" i="70"/>
  <c r="H16" i="70"/>
  <c r="H12" i="70"/>
  <c r="T10" i="70"/>
  <c r="T11" i="70"/>
  <c r="N11" i="70"/>
  <c r="N10" i="70"/>
  <c r="I35" i="73" l="1"/>
  <c r="J35" i="73" s="1"/>
  <c r="G22" i="73"/>
  <c r="G23" i="73"/>
  <c r="G24" i="73"/>
  <c r="G25" i="73"/>
  <c r="G65" i="70"/>
  <c r="G21" i="73"/>
  <c r="S54" i="70"/>
  <c r="M51" i="70"/>
  <c r="S52" i="70"/>
  <c r="G38" i="70"/>
  <c r="S50" i="70"/>
  <c r="S25" i="70"/>
  <c r="S20" i="70"/>
  <c r="G37" i="70"/>
  <c r="S19" i="70"/>
  <c r="M50" i="70"/>
  <c r="Y28" i="73"/>
  <c r="Y27" i="73"/>
  <c r="M54" i="70"/>
  <c r="M25" i="70"/>
  <c r="M61" i="70"/>
  <c r="G30" i="70"/>
  <c r="S18" i="70"/>
  <c r="S59" i="70"/>
  <c r="M20" i="70"/>
  <c r="S22" i="70"/>
  <c r="S61" i="70"/>
  <c r="S24" i="70"/>
  <c r="Y10" i="73"/>
  <c r="M52" i="70"/>
  <c r="S60" i="70"/>
  <c r="S14" i="70"/>
  <c r="M15" i="70"/>
  <c r="M24" i="70"/>
  <c r="G29" i="70"/>
  <c r="G25" i="70"/>
  <c r="G53" i="70"/>
  <c r="G24" i="70"/>
  <c r="M60" i="70"/>
  <c r="S15" i="70"/>
  <c r="M14" i="70"/>
  <c r="M18" i="70"/>
  <c r="S34" i="70"/>
  <c r="M19" i="70"/>
  <c r="M59" i="70"/>
  <c r="S13" i="70"/>
  <c r="G26" i="70"/>
  <c r="M13" i="70"/>
  <c r="M22" i="70"/>
  <c r="G50" i="70"/>
  <c r="M32" i="70"/>
  <c r="M13" i="73"/>
  <c r="M10" i="73"/>
  <c r="M31" i="70"/>
  <c r="G10" i="73"/>
  <c r="G61" i="70"/>
  <c r="G20" i="70"/>
  <c r="G60" i="70"/>
  <c r="G63" i="70"/>
  <c r="G19" i="70"/>
  <c r="G23" i="70"/>
  <c r="G59" i="70"/>
  <c r="S32" i="70"/>
  <c r="G13" i="70"/>
  <c r="G15" i="70"/>
  <c r="G22" i="70"/>
  <c r="G18" i="70"/>
  <c r="G14" i="70"/>
  <c r="S36" i="70"/>
  <c r="S17" i="70"/>
  <c r="S30" i="70"/>
  <c r="M17" i="70"/>
  <c r="M33" i="70"/>
  <c r="M16" i="70"/>
  <c r="M36" i="70"/>
  <c r="S16" i="70"/>
  <c r="M30" i="70"/>
  <c r="S12" i="70"/>
  <c r="G17" i="70"/>
  <c r="M12" i="70"/>
  <c r="G16" i="70"/>
  <c r="G12" i="70"/>
  <c r="S11" i="70"/>
  <c r="S10" i="70"/>
  <c r="M10" i="70"/>
  <c r="M11" i="70"/>
  <c r="G11" i="70"/>
  <c r="G10" i="70"/>
</calcChain>
</file>

<file path=xl/sharedStrings.xml><?xml version="1.0" encoding="utf-8"?>
<sst xmlns="http://schemas.openxmlformats.org/spreadsheetml/2006/main" count="19146" uniqueCount="2462">
  <si>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</si>
  <si>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</si>
  <si>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</si>
  <si>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</si>
  <si>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</si>
  <si>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</si>
  <si>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</si>
  <si>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</si>
  <si>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</si>
  <si>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</si>
  <si>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</si>
  <si>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</si>
  <si>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</si>
  <si>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</si>
  <si>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</si>
  <si>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</si>
  <si>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</si>
  <si>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</si>
  <si>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</si>
  <si>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</si>
  <si>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</si>
  <si>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</si>
  <si>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</si>
  <si>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</si>
  <si>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</si>
  <si>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</si>
  <si>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</si>
  <si>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</si>
  <si>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</si>
  <si>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</si>
  <si>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</si>
  <si>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</si>
  <si>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</si>
  <si>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</si>
  <si>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</si>
  <si>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</si>
  <si>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</si>
  <si>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</si>
  <si>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</si>
  <si>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</si>
  <si>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</si>
  <si>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</si>
  <si>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</si>
  <si>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</si>
  <si>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</si>
  <si>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</si>
  <si>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</si>
  <si>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</si>
  <si>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</si>
  <si>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</si>
  <si>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</si>
  <si>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</si>
  <si>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</si>
  <si>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</si>
  <si>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</si>
  <si>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</si>
  <si>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</si>
  <si>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</si>
  <si>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</si>
  <si>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</si>
  <si>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</si>
  <si>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</si>
  <si>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</si>
  <si>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</si>
  <si>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</si>
  <si>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</si>
  <si>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</si>
  <si>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</si>
  <si>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</si>
  <si>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</si>
  <si>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</si>
  <si>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</si>
  <si>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</si>
  <si>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</si>
  <si>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</si>
  <si>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</si>
  <si>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</si>
  <si>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</si>
  <si>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</si>
  <si>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</si>
  <si>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</si>
  <si>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</si>
  <si>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</si>
  <si>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</si>
  <si>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</si>
  <si>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</si>
  <si>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</si>
  <si>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</si>
  <si>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</si>
  <si>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</si>
  <si>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</si>
  <si>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</si>
  <si>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</si>
  <si>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</si>
  <si>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</si>
  <si>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</si>
  <si>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</si>
  <si>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</si>
  <si>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</si>
  <si>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</si>
  <si>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</si>
  <si>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</si>
  <si>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</si>
  <si>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</si>
  <si>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</si>
  <si>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</si>
  <si>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</si>
  <si>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</si>
  <si>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</si>
  <si>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</si>
  <si>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</si>
  <si>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</si>
  <si>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</si>
  <si>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</si>
  <si>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</si>
  <si>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</si>
  <si>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</si>
  <si>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</si>
  <si>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</si>
  <si>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</si>
  <si>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</si>
  <si>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</si>
  <si>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</si>
  <si>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</si>
  <si>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</si>
  <si>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</si>
  <si>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</si>
  <si>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</si>
  <si>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</si>
  <si>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</si>
  <si>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</si>
  <si>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</si>
  <si>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</si>
  <si>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</si>
  <si>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</si>
  <si>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</si>
  <si>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</si>
  <si>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</si>
  <si>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</si>
  <si>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</si>
  <si>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</si>
  <si>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</si>
  <si>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</si>
  <si>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</si>
  <si>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</si>
  <si>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</si>
  <si>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</si>
  <si>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</si>
  <si>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</si>
  <si>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</si>
  <si>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</si>
  <si>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</si>
  <si>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</si>
  <si>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</si>
  <si>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</si>
  <si>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</si>
  <si>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</si>
  <si>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</si>
  <si>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</si>
  <si>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</si>
  <si>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</si>
  <si>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</si>
  <si>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</si>
  <si>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</si>
  <si>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</si>
  <si>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</si>
  <si>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</si>
  <si>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</si>
  <si>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</si>
  <si>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</si>
  <si>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</si>
  <si>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</si>
  <si>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</si>
  <si>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</si>
  <si>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</si>
  <si>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</si>
  <si>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</si>
  <si>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</si>
  <si>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</si>
  <si>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</si>
  <si>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</si>
  <si>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</si>
  <si>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</si>
  <si>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</si>
  <si>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</si>
  <si>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</si>
  <si>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</si>
  <si>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</si>
  <si>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</si>
  <si>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</si>
  <si>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</si>
  <si>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</si>
  <si>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</si>
  <si>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</si>
  <si>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</si>
  <si>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</si>
  <si>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</si>
  <si>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</si>
  <si>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</si>
  <si>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</si>
  <si>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</si>
  <si>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</si>
  <si>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</si>
  <si>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</si>
  <si>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</si>
  <si>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</si>
  <si>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</si>
  <si>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</si>
  <si>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</si>
  <si>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</si>
  <si>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</si>
  <si>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</si>
  <si>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</si>
  <si>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</si>
  <si>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</si>
  <si>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</si>
  <si>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</si>
  <si>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</si>
  <si>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</si>
  <si>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</si>
  <si>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</si>
  <si>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</si>
  <si>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</si>
  <si>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</si>
  <si>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</si>
  <si>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</si>
  <si>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</si>
  <si>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</si>
  <si>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</si>
  <si>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</si>
  <si>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</si>
  <si>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</si>
  <si>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</si>
  <si>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</si>
  <si>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</si>
  <si>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</si>
  <si>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</si>
  <si>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</si>
  <si>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</si>
  <si>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</si>
  <si>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</si>
  <si>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</si>
  <si>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</si>
  <si>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</si>
  <si>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</si>
  <si>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</si>
  <si>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</si>
  <si>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</si>
  <si>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</si>
  <si>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</si>
  <si>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</si>
  <si>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</si>
  <si>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</si>
  <si>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</si>
  <si>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</si>
  <si>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</si>
  <si>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</si>
  <si>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</si>
  <si>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</si>
  <si>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</si>
  <si>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</si>
  <si>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</si>
  <si>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</si>
  <si>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</si>
  <si>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</si>
  <si>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</si>
  <si>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</si>
  <si>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</si>
  <si>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</si>
  <si>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</si>
  <si>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</si>
  <si>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</si>
  <si>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</si>
  <si>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</si>
  <si>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</si>
  <si>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</si>
  <si>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</si>
  <si>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</si>
  <si>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</si>
  <si>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</si>
  <si>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</si>
  <si>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</si>
  <si>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</si>
  <si>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</si>
  <si>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</si>
  <si>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</si>
  <si>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</si>
  <si>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</si>
  <si>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</si>
  <si>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</si>
  <si>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</si>
  <si>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</si>
  <si>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</si>
  <si>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</si>
  <si>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</si>
  <si>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</si>
  <si>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</si>
  <si>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</si>
  <si>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</si>
  <si>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</si>
  <si>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</si>
  <si>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</si>
  <si>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</si>
  <si>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</si>
  <si>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</si>
  <si>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</si>
  <si>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</si>
  <si>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</si>
  <si>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</si>
  <si>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</si>
  <si>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</si>
  <si>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</si>
  <si>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</si>
  <si>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</si>
  <si>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</si>
  <si>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</si>
  <si>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</si>
  <si>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</si>
  <si>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</si>
  <si>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</si>
  <si>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</si>
  <si>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</si>
  <si>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</si>
  <si>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</si>
  <si>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</si>
  <si>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</si>
  <si>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</si>
  <si>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</si>
  <si>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</si>
  <si>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</si>
  <si>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</si>
  <si>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</si>
  <si>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</si>
  <si>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</si>
  <si>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</si>
  <si>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</si>
  <si>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</si>
  <si>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</si>
  <si>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</si>
  <si>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</si>
  <si>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</si>
  <si>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</si>
  <si>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</si>
  <si>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</si>
  <si>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</si>
  <si>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</si>
  <si>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</si>
  <si>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</si>
  <si>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</si>
  <si>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</si>
  <si>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</si>
  <si>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</si>
  <si>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</si>
  <si>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</si>
  <si>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</si>
  <si>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</si>
  <si>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</si>
  <si>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</si>
  <si>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</si>
  <si>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</si>
  <si>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</si>
  <si>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</si>
  <si>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</si>
  <si>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</si>
  <si>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</si>
  <si>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</si>
  <si>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</si>
  <si>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</si>
  <si>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</si>
  <si>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</si>
  <si>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</si>
  <si>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</si>
  <si>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</si>
  <si>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</si>
  <si>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</si>
  <si>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</si>
  <si>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</si>
  <si>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</si>
  <si>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</si>
  <si>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</si>
  <si>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</si>
  <si>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</si>
  <si>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</si>
  <si>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</si>
  <si>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</si>
  <si>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</si>
  <si>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</si>
  <si>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</si>
  <si>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</si>
  <si>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</si>
  <si>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</si>
  <si>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</si>
  <si>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</si>
  <si>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</si>
  <si>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</si>
  <si>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</si>
  <si>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</si>
  <si>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</si>
  <si>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</si>
  <si>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</si>
  <si>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</si>
  <si>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</si>
  <si>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</si>
  <si>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</si>
  <si>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</si>
  <si>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</si>
  <si>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</si>
  <si>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</si>
  <si>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</si>
  <si>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</si>
  <si>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</si>
  <si>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</si>
  <si>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</si>
  <si>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</si>
  <si>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</si>
  <si>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</si>
  <si>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</si>
  <si>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</si>
  <si>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</si>
  <si>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</si>
  <si>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</si>
  <si>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</si>
  <si>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</si>
  <si>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</si>
  <si>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</si>
  <si>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</si>
  <si>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</si>
  <si>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</si>
  <si>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</si>
  <si>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</si>
  <si>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</si>
  <si>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</si>
  <si>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</si>
  <si>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</si>
  <si>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</si>
  <si>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</si>
  <si>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</si>
  <si>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</si>
  <si>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</si>
  <si>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</si>
  <si>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</si>
  <si>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</si>
  <si>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</si>
  <si>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</si>
  <si>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</si>
  <si>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</si>
  <si>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</si>
  <si>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</si>
  <si>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</si>
  <si>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</si>
  <si>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</si>
  <si>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</si>
  <si>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</si>
  <si>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</si>
  <si>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</si>
  <si>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</si>
  <si>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</si>
  <si>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</si>
  <si>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</si>
  <si>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</si>
  <si>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</si>
  <si>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</si>
  <si>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</si>
  <si>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</si>
  <si>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</si>
  <si>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</si>
  <si>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</si>
  <si>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</si>
  <si>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</si>
  <si>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</si>
  <si>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</si>
  <si>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</si>
  <si>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</si>
  <si>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</si>
  <si>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</si>
  <si>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</si>
  <si>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</si>
  <si>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</si>
  <si>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</si>
  <si>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</si>
  <si>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</si>
  <si>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</si>
  <si>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</si>
  <si>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</si>
  <si>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</si>
  <si>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</si>
  <si>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</si>
  <si>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</si>
  <si>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</si>
  <si>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</si>
  <si>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</si>
  <si>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</si>
  <si>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</si>
  <si>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</si>
  <si>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</si>
  <si>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</si>
  <si>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</si>
  <si>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</si>
  <si>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</si>
  <si>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</si>
  <si>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</si>
  <si>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</si>
  <si>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</si>
  <si>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</si>
  <si>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</si>
  <si>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</si>
  <si>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</si>
  <si>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</si>
  <si>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</si>
  <si>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</si>
  <si>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</si>
  <si>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</si>
  <si>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</si>
  <si>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</si>
  <si>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</si>
  <si>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</si>
  <si>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</si>
  <si>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</si>
  <si>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</si>
  <si>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</si>
  <si>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</si>
  <si>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</si>
  <si>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</si>
  <si>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</si>
  <si>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</si>
  <si>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</si>
  <si>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</si>
  <si>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</si>
  <si>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</si>
  <si>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</si>
  <si>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</si>
  <si>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</si>
  <si>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</si>
  <si>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</si>
  <si>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</si>
  <si>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</si>
  <si>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</si>
  <si>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</si>
  <si>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</si>
  <si>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</si>
  <si>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</si>
  <si>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</si>
  <si>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</si>
  <si>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</si>
  <si>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</si>
  <si>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</si>
  <si>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</si>
  <si>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</si>
  <si>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</si>
  <si>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</si>
  <si>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</si>
  <si>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</si>
  <si>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</si>
  <si>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</si>
  <si>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</si>
  <si>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</si>
  <si>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</si>
  <si>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</si>
  <si>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</si>
  <si>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</si>
  <si>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</si>
  <si>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</si>
  <si>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</si>
  <si>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</si>
  <si>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</si>
  <si>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</si>
  <si>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</si>
  <si>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</si>
  <si>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</si>
  <si>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</si>
  <si>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</si>
  <si>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</si>
  <si>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</si>
  <si>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</si>
  <si>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</si>
  <si>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</si>
  <si>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</si>
  <si>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</si>
  <si>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</si>
  <si>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</si>
  <si>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</si>
  <si>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</si>
  <si>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</si>
  <si>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</si>
  <si>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</si>
  <si>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</si>
  <si>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</si>
  <si>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</si>
  <si>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</si>
  <si>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</si>
  <si>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</si>
  <si>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</si>
  <si>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</si>
  <si>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</si>
  <si>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</si>
  <si>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</si>
  <si>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</si>
  <si>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</si>
  <si>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</si>
  <si>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</si>
  <si>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</si>
  <si>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</si>
  <si>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</si>
  <si>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</si>
  <si>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</si>
  <si>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</si>
  <si>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</si>
  <si>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</si>
  <si>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</si>
  <si>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</si>
  <si>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</si>
  <si>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</si>
  <si>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</si>
  <si>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</si>
  <si>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</si>
  <si>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</si>
  <si>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</si>
  <si>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</si>
  <si>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</si>
  <si>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</si>
  <si>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</si>
  <si>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</si>
  <si>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</si>
  <si>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</si>
  <si>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</si>
  <si>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</si>
  <si>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</si>
  <si>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</si>
  <si>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</si>
  <si>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</si>
  <si>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</si>
  <si>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</si>
  <si>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</si>
  <si>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</si>
  <si>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</si>
  <si>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</si>
  <si>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</si>
  <si>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</si>
  <si>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</si>
  <si>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</si>
  <si>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</si>
  <si>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</si>
  <si>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</si>
  <si>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</si>
  <si>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</si>
  <si>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</si>
  <si>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</si>
  <si>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</si>
  <si>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</si>
  <si>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</si>
  <si>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</si>
  <si>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</si>
  <si>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</si>
  <si>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</si>
  <si>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</si>
  <si>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</si>
  <si>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</si>
  <si>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</si>
  <si>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</si>
  <si>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</si>
  <si>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</si>
  <si>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</si>
  <si>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</si>
  <si>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</si>
  <si>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</si>
  <si>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</si>
  <si>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</si>
  <si>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</si>
  <si>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</si>
  <si>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</si>
  <si>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</si>
  <si>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</si>
  <si>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</si>
  <si>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</si>
  <si>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</si>
  <si>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</si>
  <si>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</si>
  <si>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</si>
  <si>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</si>
  <si>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</si>
  <si>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</si>
  <si>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</si>
  <si>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</si>
  <si>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</si>
  <si>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</si>
  <si>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</si>
  <si>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</si>
  <si>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</si>
  <si>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</si>
  <si>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</si>
  <si>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</si>
  <si>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</si>
  <si>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</si>
  <si>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</si>
  <si>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</si>
  <si>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</si>
  <si>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</si>
  <si>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</si>
  <si>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</si>
  <si>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</si>
  <si>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</si>
  <si>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</si>
  <si>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</si>
  <si>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</si>
  <si>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</si>
  <si>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</si>
  <si>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</si>
  <si>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</si>
  <si>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</si>
  <si>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</si>
  <si>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</si>
  <si>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</si>
  <si>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</si>
  <si>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</si>
  <si>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</si>
  <si>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</si>
  <si>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</si>
  <si>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</si>
  <si>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</si>
  <si>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</si>
  <si>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</si>
  <si>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</si>
  <si>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</si>
  <si>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</si>
  <si>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</si>
  <si>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</si>
  <si>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</si>
  <si>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</si>
  <si>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</si>
  <si>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</si>
  <si>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</si>
  <si>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</si>
  <si>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</si>
  <si>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</si>
  <si>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</si>
  <si>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</si>
  <si>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</si>
  <si>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</si>
  <si>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</si>
  <si>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</si>
  <si>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</si>
  <si>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</si>
  <si>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</si>
  <si>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</si>
  <si>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</si>
  <si>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</si>
  <si>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</si>
  <si>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</si>
  <si>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</si>
  <si>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</si>
  <si>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</si>
  <si>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</si>
  <si>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</si>
  <si>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</si>
  <si>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</si>
  <si>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</si>
  <si>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</si>
  <si>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</si>
  <si>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</si>
  <si>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</si>
  <si>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</si>
  <si>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</si>
  <si>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</si>
  <si>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</si>
  <si>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</si>
  <si>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</si>
  <si>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</si>
  <si>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</si>
  <si>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</si>
  <si>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</si>
  <si>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</si>
  <si>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</si>
  <si>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</si>
  <si>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</si>
  <si>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</si>
  <si>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</si>
  <si>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</si>
  <si>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</si>
  <si>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</si>
  <si>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</si>
  <si>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</si>
  <si>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</si>
  <si>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</si>
  <si>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</si>
  <si>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</si>
  <si>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</si>
  <si>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</si>
  <si>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</si>
  <si>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</si>
  <si>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</si>
  <si>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</si>
  <si>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</si>
  <si>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</si>
  <si>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</si>
  <si>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</si>
  <si>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</si>
  <si>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</si>
  <si>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</si>
  <si>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</si>
  <si>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</si>
  <si>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</si>
  <si>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</si>
  <si>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</si>
  <si>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</si>
  <si>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</si>
  <si>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</si>
  <si>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</si>
  <si>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</si>
  <si>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</si>
  <si>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</si>
  <si>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</si>
  <si>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</si>
  <si>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</si>
  <si>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</si>
  <si>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</si>
  <si>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</si>
  <si>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</si>
  <si>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</si>
  <si>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</si>
  <si>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</si>
  <si>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</si>
  <si>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</si>
  <si>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</si>
  <si>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</si>
  <si>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</si>
  <si>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</si>
  <si>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</si>
  <si>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</si>
  <si>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</si>
  <si>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</si>
  <si>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</si>
  <si>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</si>
  <si>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</si>
  <si>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</si>
  <si>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</si>
  <si>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</si>
  <si>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</si>
  <si>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</si>
  <si>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</si>
  <si>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</si>
  <si>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</si>
  <si>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</si>
  <si>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</si>
  <si>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</si>
  <si>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</si>
  <si>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</si>
  <si>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</si>
  <si>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</si>
  <si>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</si>
  <si>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</si>
  <si>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</si>
  <si>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</si>
  <si>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</si>
  <si>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</si>
  <si>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</si>
  <si>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</si>
  <si>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</si>
  <si>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</si>
  <si>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</si>
  <si>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</si>
  <si>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</si>
  <si>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</si>
  <si>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</si>
  <si>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</si>
  <si>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</si>
  <si>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</si>
  <si>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</si>
  <si>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</si>
  <si>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</si>
  <si>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</si>
  <si>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</si>
  <si>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</si>
  <si>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</si>
  <si>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</si>
  <si>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</si>
  <si>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</si>
  <si>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</si>
  <si>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</si>
  <si>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</si>
  <si>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</si>
  <si>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</si>
  <si>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</si>
  <si>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</si>
  <si>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</si>
  <si>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</si>
  <si>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</si>
  <si>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</si>
  <si>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</si>
  <si>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</si>
  <si>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</si>
  <si>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</si>
  <si>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</si>
  <si>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</si>
  <si>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</si>
  <si>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</si>
  <si>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</si>
  <si>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</si>
  <si>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</si>
  <si>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</si>
  <si>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</si>
  <si>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</si>
  <si>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</si>
  <si>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</si>
  <si>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</si>
  <si>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</si>
  <si>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</si>
  <si>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</si>
  <si>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</si>
  <si>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</si>
  <si>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</si>
  <si>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</si>
  <si>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</si>
  <si>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</si>
  <si>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</si>
  <si>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</si>
  <si>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</si>
  <si>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</si>
  <si>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</si>
  <si>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</si>
  <si>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</si>
  <si>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</si>
  <si>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</si>
  <si>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</si>
  <si>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</si>
  <si>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</si>
  <si>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</si>
  <si>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</si>
  <si>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</si>
  <si>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</si>
  <si>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</si>
  <si>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</si>
  <si>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</si>
  <si>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</si>
  <si>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</si>
  <si>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</si>
  <si>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</si>
  <si>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</si>
  <si>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</si>
  <si>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</si>
  <si>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</si>
  <si>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</si>
  <si>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</si>
  <si>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</si>
  <si>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</si>
  <si>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</si>
  <si>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</si>
  <si>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</si>
  <si>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</si>
  <si>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</si>
  <si>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</si>
  <si>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</si>
  <si>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</si>
  <si>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</si>
  <si>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</si>
  <si>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</si>
  <si>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</si>
  <si>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</si>
  <si>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</si>
  <si>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</si>
  <si>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</si>
  <si>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</si>
  <si>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</si>
  <si>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</si>
  <si>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</si>
  <si>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</si>
  <si>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</si>
  <si>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</si>
  <si>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</si>
  <si>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</si>
  <si>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</si>
  <si>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</si>
  <si>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</si>
  <si>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</si>
  <si>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</si>
  <si>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</si>
  <si>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</si>
  <si>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</si>
  <si>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</si>
  <si>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</si>
  <si>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</si>
  <si>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</si>
  <si>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</si>
  <si>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</si>
  <si>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</si>
  <si>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</si>
  <si>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</si>
  <si>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</si>
  <si>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</si>
  <si>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</si>
  <si>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</si>
  <si>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</si>
  <si>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</si>
  <si>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</si>
  <si>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</si>
  <si>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</si>
  <si>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</si>
  <si>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</si>
  <si>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</si>
  <si>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</si>
  <si>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</si>
  <si>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</si>
  <si>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</si>
  <si>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</si>
  <si>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</si>
  <si>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</si>
  <si>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</si>
  <si>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</si>
  <si>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</si>
  <si>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</si>
  <si>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</si>
  <si>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</si>
  <si>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</si>
  <si>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</si>
  <si>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</si>
  <si>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</si>
  <si>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</si>
  <si>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</si>
  <si>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</si>
  <si>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</si>
  <si>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</si>
  <si>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</si>
  <si>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</si>
  <si>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</si>
  <si>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</si>
  <si>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</si>
  <si>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</si>
  <si>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</si>
  <si>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</si>
  <si>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</si>
  <si>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</si>
  <si>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</si>
  <si>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</si>
  <si>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</si>
  <si>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</si>
  <si>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</si>
  <si>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</si>
  <si>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</si>
  <si>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</si>
  <si>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</si>
  <si>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</si>
  <si>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</si>
  <si>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</si>
  <si>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</si>
  <si>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</si>
  <si>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</si>
  <si>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</si>
  <si>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</si>
  <si>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</si>
  <si>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</si>
  <si>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</si>
  <si>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</si>
  <si>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</si>
  <si>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</si>
  <si>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</si>
  <si>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</si>
  <si>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</si>
  <si>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</si>
  <si>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</si>
  <si>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</si>
  <si>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</si>
  <si>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</si>
  <si>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</si>
  <si>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</si>
  <si>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</si>
  <si>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</si>
  <si>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</si>
  <si>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</si>
  <si>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</si>
  <si>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</si>
  <si>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</si>
  <si>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</si>
  <si>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</si>
  <si>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</si>
  <si>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</si>
  <si>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</si>
  <si>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</si>
  <si>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</si>
  <si>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</si>
  <si>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</si>
  <si>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</si>
  <si>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</si>
  <si>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</si>
  <si>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</si>
  <si>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</si>
  <si>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</si>
  <si>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</si>
  <si>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</si>
  <si>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</si>
  <si>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</si>
  <si>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</si>
  <si>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</si>
  <si>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</si>
  <si>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</si>
  <si>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</si>
  <si>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</si>
  <si>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</si>
  <si>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</si>
  <si>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</si>
  <si>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</si>
  <si>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</si>
  <si>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</si>
  <si>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</si>
  <si>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</si>
  <si>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</si>
  <si>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</si>
  <si>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</si>
  <si>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</si>
  <si>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</si>
  <si>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</si>
  <si>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</si>
  <si>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</si>
  <si>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</si>
  <si>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</si>
  <si>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</si>
  <si>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</si>
  <si>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</si>
  <si>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</si>
  <si>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</si>
  <si>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</si>
  <si>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</si>
  <si>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</si>
  <si>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</si>
  <si>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</si>
  <si>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</si>
  <si>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</si>
  <si>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</si>
  <si>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</si>
  <si>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</si>
  <si>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</si>
  <si>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</si>
  <si>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</si>
  <si>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</si>
  <si>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</si>
  <si>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</si>
  <si>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</si>
  <si>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</si>
  <si>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</si>
  <si>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</si>
  <si>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</si>
  <si>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</si>
  <si>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</si>
  <si>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</si>
  <si>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</si>
  <si>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</si>
  <si>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</si>
  <si>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</si>
  <si>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</si>
  <si>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</si>
  <si>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</si>
  <si>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</si>
  <si>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</si>
  <si>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</si>
  <si>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</si>
  <si>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</si>
  <si>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</si>
  <si>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</si>
  <si>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</si>
  <si>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</si>
  <si>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</si>
  <si>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</si>
  <si>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</si>
  <si>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</si>
  <si>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</si>
  <si>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</si>
  <si>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</si>
  <si>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</si>
  <si>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</si>
  <si>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</si>
  <si>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</si>
  <si>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</si>
  <si>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</si>
  <si>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</si>
  <si>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</si>
  <si>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</si>
  <si>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</si>
  <si>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</si>
  <si>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</si>
  <si>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</si>
  <si>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</si>
  <si>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</si>
  <si>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</si>
  <si>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</si>
  <si>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</si>
  <si>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</si>
  <si>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</si>
  <si>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</si>
  <si>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</si>
  <si>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</si>
  <si>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</si>
  <si>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</si>
  <si>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</si>
  <si>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</si>
  <si>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</si>
  <si>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</si>
  <si>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</si>
  <si>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</si>
  <si>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</si>
  <si>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</si>
  <si>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</si>
  <si>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</si>
  <si>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</si>
  <si>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</si>
  <si>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</si>
  <si>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</si>
  <si>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</si>
  <si>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</si>
  <si>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</si>
  <si>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</si>
  <si>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</si>
  <si>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</si>
  <si>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</si>
  <si>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</si>
  <si>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</si>
  <si>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</si>
  <si>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</si>
  <si>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</si>
  <si>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</si>
  <si>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</si>
  <si>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</si>
  <si>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</si>
  <si>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</si>
  <si>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</si>
  <si>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</si>
  <si>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</si>
  <si>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</si>
  <si>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</si>
  <si>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</si>
  <si>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</si>
  <si>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</si>
  <si>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</si>
  <si>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</si>
  <si>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</si>
  <si>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</si>
  <si>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</si>
  <si>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</si>
  <si>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</si>
  <si>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</si>
  <si>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</si>
  <si>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</si>
  <si>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</si>
  <si>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</si>
  <si>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</si>
  <si>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</si>
  <si>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</si>
  <si>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</si>
  <si>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</si>
  <si>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</si>
  <si>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</si>
  <si>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</si>
  <si>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</si>
  <si>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</si>
  <si>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</si>
  <si>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</si>
  <si>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</si>
  <si>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</si>
  <si>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</si>
  <si>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</si>
  <si>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</si>
  <si>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</si>
  <si>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</si>
  <si>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</si>
  <si>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</si>
  <si>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</si>
  <si>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</si>
  <si>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</si>
  <si>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</si>
  <si>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</si>
  <si>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</si>
  <si>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</si>
  <si>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</si>
  <si>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</si>
  <si>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</si>
  <si>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</si>
  <si>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</si>
  <si>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</si>
  <si>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</si>
  <si>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</si>
  <si>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</si>
  <si>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</si>
  <si>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</si>
  <si>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</si>
  <si>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</si>
  <si>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</si>
  <si>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</si>
  <si>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</si>
  <si>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</si>
  <si>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</si>
  <si>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</si>
  <si>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</si>
  <si>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</si>
  <si>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</si>
  <si>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</si>
  <si>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</si>
  <si>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</si>
  <si>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</si>
  <si>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</si>
  <si>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</si>
  <si>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</si>
  <si>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</si>
  <si>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</si>
  <si>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</si>
  <si>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</si>
  <si>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</si>
  <si>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</si>
  <si>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</si>
  <si>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</si>
  <si>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</si>
  <si>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</si>
  <si>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</si>
  <si>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</si>
  <si>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</si>
  <si>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</si>
  <si>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</si>
  <si>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</si>
  <si>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</si>
  <si>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</si>
  <si>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</si>
  <si>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</si>
  <si>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</si>
  <si>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</si>
  <si>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</si>
  <si>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</si>
  <si>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</si>
  <si>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</si>
  <si>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</si>
  <si>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</si>
  <si>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</si>
  <si>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</si>
  <si>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</si>
  <si>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</si>
  <si>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</si>
  <si>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</si>
  <si>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</si>
  <si>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</si>
  <si>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</si>
  <si>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</si>
  <si>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</si>
  <si>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</si>
  <si>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</si>
  <si>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</si>
  <si>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</si>
  <si>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</si>
  <si>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</si>
  <si>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</si>
  <si>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</si>
  <si>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</si>
  <si>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</si>
  <si>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</si>
  <si>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</si>
  <si>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</si>
  <si>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</si>
  <si>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</si>
  <si>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</si>
  <si>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</si>
  <si>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</si>
  <si>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</si>
  <si>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</si>
  <si>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</si>
  <si>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</si>
  <si>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</si>
  <si>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</si>
  <si>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</si>
  <si>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</si>
  <si>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</si>
  <si>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</si>
  <si>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</si>
  <si>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</si>
  <si>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</si>
  <si>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</si>
  <si>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</si>
  <si>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</si>
  <si>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</si>
  <si>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</si>
  <si>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</si>
  <si>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</si>
  <si>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</si>
  <si>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</si>
  <si>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</si>
  <si>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</si>
  <si>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</si>
  <si>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</si>
  <si>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</si>
  <si>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</si>
  <si>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</si>
  <si>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</si>
  <si>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</si>
  <si>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</si>
  <si>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</si>
  <si>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</si>
  <si>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</si>
  <si>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</si>
  <si>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</si>
  <si>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</si>
  <si>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</si>
  <si>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</si>
  <si>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</si>
  <si>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</si>
  <si>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</si>
  <si>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</si>
  <si>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</si>
  <si>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</si>
  <si>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</si>
  <si>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</si>
  <si>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</si>
  <si>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</si>
  <si>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</si>
  <si>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</si>
  <si>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</si>
  <si>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</si>
  <si>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</si>
  <si>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</si>
  <si>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</si>
  <si>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</si>
  <si>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</si>
  <si>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</si>
  <si>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</si>
  <si>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</si>
  <si>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</si>
  <si>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</si>
  <si>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</si>
  <si>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</si>
  <si>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</si>
  <si>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</si>
  <si>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</si>
  <si>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</si>
  <si>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</si>
  <si>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</si>
  <si>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</si>
  <si>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</si>
  <si>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</si>
  <si>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</si>
  <si>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</si>
  <si>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</si>
  <si>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</si>
  <si>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</si>
  <si>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</si>
  <si>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</si>
  <si>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</si>
  <si>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</si>
  <si>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</si>
  <si>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</si>
  <si>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</si>
  <si>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</si>
  <si>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</si>
  <si>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</si>
  <si>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</si>
  <si>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</si>
  <si>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</si>
  <si>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</si>
  <si>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</si>
  <si>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</si>
  <si>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</si>
  <si>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</si>
  <si>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</si>
  <si>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</si>
  <si>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</si>
  <si>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</si>
  <si>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</si>
  <si>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</si>
  <si>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</si>
  <si>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</si>
  <si>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</si>
  <si>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</si>
  <si>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</si>
  <si>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</si>
  <si>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</si>
  <si>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</si>
  <si>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</si>
  <si>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</si>
  <si>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</si>
  <si>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</si>
  <si>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</si>
  <si>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</si>
  <si>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</si>
  <si>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</si>
  <si>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</si>
  <si>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</si>
  <si>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</si>
  <si>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</si>
  <si>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</si>
  <si>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</si>
  <si>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</si>
  <si>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</si>
  <si>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</si>
  <si>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</si>
  <si>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</si>
  <si>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</si>
  <si>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</si>
  <si>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</si>
  <si>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</si>
  <si>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</si>
  <si>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</si>
  <si>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</si>
  <si>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</si>
  <si>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</si>
  <si>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</si>
  <si>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</si>
  <si>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</si>
  <si>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</si>
  <si>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</si>
  <si>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</si>
  <si>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</si>
  <si>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</si>
  <si>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</si>
  <si>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</si>
  <si>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</si>
  <si>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</si>
  <si>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</si>
  <si>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</si>
  <si>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</si>
  <si>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</si>
  <si>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</si>
  <si>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</si>
  <si>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</si>
  <si>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</si>
  <si>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</si>
  <si>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</si>
  <si>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</si>
  <si>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</si>
  <si>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</si>
  <si>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</si>
  <si>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</si>
  <si>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</si>
  <si>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</si>
  <si>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</si>
  <si>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</si>
  <si>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</si>
  <si>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</si>
  <si>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</si>
  <si>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</si>
  <si>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</si>
  <si>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</si>
  <si>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</si>
  <si>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</si>
  <si>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</si>
  <si>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</si>
  <si>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</si>
  <si>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</si>
  <si>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</si>
  <si>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</si>
  <si>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</si>
  <si>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</si>
  <si>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</si>
  <si>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</si>
  <si>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</si>
  <si>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</si>
  <si>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</si>
  <si>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</si>
  <si>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</si>
  <si>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</si>
  <si>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</si>
  <si>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</si>
  <si>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</si>
  <si>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</si>
  <si>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</si>
  <si>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</si>
  <si>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</si>
  <si>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</si>
  <si>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</si>
  <si>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</si>
  <si>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</si>
  <si>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</si>
  <si>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</si>
  <si>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</si>
  <si>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</si>
  <si>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</si>
  <si>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</si>
  <si>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</si>
  <si>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</si>
  <si>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</si>
  <si>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</si>
  <si>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</si>
  <si>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</si>
  <si>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</si>
  <si>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</si>
  <si>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</si>
  <si>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</si>
  <si>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</si>
  <si>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</si>
  <si>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</si>
  <si>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</si>
  <si>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</si>
  <si>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</si>
  <si>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</si>
  <si>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</si>
  <si>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</si>
  <si>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</si>
  <si>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</si>
  <si>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</si>
  <si>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</si>
  <si>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</si>
  <si>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</si>
  <si>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</si>
  <si>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</si>
  <si>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</si>
  <si>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</si>
  <si>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</si>
  <si>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</si>
  <si>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</si>
  <si>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</si>
  <si>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</si>
  <si>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</si>
  <si>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</si>
  <si>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</si>
  <si>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</si>
  <si>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</si>
  <si>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</si>
  <si>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</si>
  <si>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</si>
  <si>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</si>
  <si>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</si>
  <si>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</si>
  <si>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</si>
  <si>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</si>
  <si>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</si>
  <si>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</si>
  <si>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</si>
  <si>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</si>
  <si>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</si>
  <si>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</si>
  <si>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</si>
  <si>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</si>
  <si>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</si>
  <si>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</si>
  <si>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</si>
  <si>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</si>
  <si>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</si>
  <si>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</si>
  <si>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</si>
  <si>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</si>
  <si>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</si>
  <si>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</si>
  <si>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</si>
  <si>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</si>
  <si>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</si>
  <si>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</si>
  <si>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</si>
  <si>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</si>
  <si>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</si>
  <si>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</si>
  <si>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</si>
  <si>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</si>
  <si>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</si>
  <si>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</si>
  <si>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</si>
  <si>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</si>
  <si>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</si>
  <si>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</si>
  <si>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</si>
  <si>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</si>
  <si>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</si>
  <si>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</si>
  <si>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</si>
  <si>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</si>
  <si>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</si>
  <si>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</si>
  <si>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</si>
  <si>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</si>
  <si>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</si>
  <si>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</si>
  <si>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</si>
  <si>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</si>
  <si>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</si>
  <si>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</si>
  <si>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</si>
  <si>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</si>
  <si>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</si>
  <si>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</si>
  <si>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</si>
  <si>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</si>
  <si>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</si>
  <si>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</si>
  <si>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</si>
  <si>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</si>
  <si>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</si>
  <si>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</si>
  <si>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</si>
  <si>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</si>
  <si>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</si>
  <si>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</si>
  <si>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</si>
  <si>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</si>
  <si>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</si>
  <si>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</si>
  <si>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</si>
  <si>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</si>
  <si>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</si>
  <si>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</si>
  <si>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</si>
  <si>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</si>
  <si>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</si>
  <si>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</si>
  <si>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</si>
  <si>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</si>
  <si>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</si>
  <si>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</si>
  <si>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</si>
  <si>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</si>
  <si>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</si>
  <si>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</si>
  <si>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</si>
  <si>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</si>
  <si>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</si>
  <si>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</si>
  <si>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</si>
  <si>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</si>
  <si>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</si>
  <si>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</si>
  <si>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</si>
  <si>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</si>
  <si>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</si>
  <si>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</si>
  <si>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</si>
  <si>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</si>
  <si>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</si>
  <si>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</si>
  <si>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</si>
  <si>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</si>
  <si>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</si>
  <si>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</si>
  <si>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</si>
  <si>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</si>
  <si>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</si>
  <si>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</si>
  <si>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</si>
  <si>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</si>
  <si>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</si>
  <si>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</si>
  <si>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</si>
  <si>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</si>
  <si>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</si>
  <si>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</si>
  <si>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</si>
  <si>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</si>
  <si>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</si>
  <si>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</si>
  <si>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</si>
  <si>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</si>
  <si>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</si>
  <si>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</si>
  <si>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</si>
  <si>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</si>
  <si>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</si>
  <si>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</si>
  <si>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</si>
  <si>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</si>
  <si>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</si>
  <si>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</si>
  <si>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</si>
  <si>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</si>
  <si>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</si>
  <si>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</si>
  <si>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</si>
  <si>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</si>
  <si>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</si>
  <si>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</si>
  <si>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</si>
  <si>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</si>
  <si>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</si>
  <si>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</si>
  <si>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</si>
  <si>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</si>
  <si>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</si>
  <si>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</si>
  <si>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</si>
  <si>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</si>
  <si>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</si>
  <si>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</si>
  <si>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</si>
  <si>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</si>
  <si>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</si>
  <si>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</si>
  <si>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</si>
  <si>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</si>
  <si>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</si>
  <si>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</si>
  <si>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</si>
  <si>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</si>
  <si>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</si>
  <si>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</si>
  <si>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</si>
  <si>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</si>
  <si>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</si>
  <si>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</si>
  <si>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</si>
  <si>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</si>
  <si>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</si>
  <si>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</si>
  <si>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</si>
  <si>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</si>
  <si>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</si>
  <si>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</si>
  <si>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</si>
  <si>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</si>
  <si>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</si>
  <si>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</si>
  <si>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</si>
  <si>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</si>
  <si>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</si>
  <si>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</si>
  <si>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</si>
  <si>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</si>
  <si>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</si>
  <si>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</si>
  <si>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</si>
  <si>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</si>
  <si>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</si>
  <si>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</si>
  <si>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</si>
  <si>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</si>
  <si>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</si>
  <si>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</si>
  <si>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</si>
  <si>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</si>
  <si>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</si>
  <si>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</si>
  <si>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</si>
  <si>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</si>
  <si>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</si>
  <si>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</si>
  <si>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</si>
  <si>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</si>
  <si>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</si>
  <si>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</si>
  <si>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</si>
  <si>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</si>
  <si>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</si>
  <si>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</si>
  <si>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</si>
  <si>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</si>
  <si>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</si>
  <si>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</si>
  <si>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</si>
  <si>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</si>
  <si>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</si>
  <si>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</si>
  <si>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</si>
  <si>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</si>
  <si>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</si>
  <si>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</si>
  <si>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</si>
  <si>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</si>
  <si>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</si>
  <si>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</si>
  <si>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</si>
  <si>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</si>
  <si>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</si>
  <si>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</si>
  <si>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</si>
  <si>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</si>
  <si>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</si>
  <si>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</si>
  <si>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</si>
  <si>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</si>
  <si>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</si>
  <si>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</si>
  <si>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</si>
  <si>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</si>
  <si>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</si>
  <si>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</si>
  <si>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</si>
  <si>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</si>
  <si>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</si>
  <si>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</si>
  <si>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</si>
  <si>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</si>
  <si>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</si>
  <si>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</si>
  <si>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</si>
  <si>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</si>
  <si>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</si>
  <si>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</si>
  <si>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</si>
  <si>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</si>
  <si>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</si>
  <si>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</si>
  <si>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</si>
  <si>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</si>
  <si>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</si>
  <si>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</si>
  <si>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</si>
  <si>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</si>
  <si>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</si>
  <si>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</si>
  <si>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</si>
  <si>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</si>
  <si>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</si>
  <si>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</si>
  <si>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</si>
  <si>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</si>
  <si>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</si>
  <si>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</si>
  <si>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</si>
  <si>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</si>
  <si>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</si>
  <si>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</si>
  <si>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</si>
  <si>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</si>
  <si>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</si>
  <si>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</si>
  <si>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</si>
  <si>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</si>
  <si>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</si>
  <si>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</si>
  <si>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</si>
  <si>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</si>
  <si>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</si>
  <si>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</si>
  <si>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</si>
  <si>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</si>
  <si>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</si>
  <si>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</si>
  <si>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</si>
  <si>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</si>
  <si>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</si>
  <si>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</si>
  <si>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</si>
  <si>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</si>
  <si>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</si>
  <si>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</si>
  <si>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</si>
  <si>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</si>
  <si>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</si>
  <si>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</si>
  <si>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</si>
  <si>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</si>
  <si>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</si>
  <si>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</si>
  <si>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</si>
  <si>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</si>
  <si>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</si>
  <si>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</si>
  <si>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</si>
  <si>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</si>
  <si>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</si>
  <si>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</si>
  <si>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</si>
  <si>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</si>
  <si>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</si>
  <si>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</si>
  <si>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</si>
  <si>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</si>
  <si>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</si>
  <si>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</si>
  <si>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</si>
  <si>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</si>
  <si>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</si>
  <si>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</si>
  <si>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</si>
  <si>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</si>
  <si>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</si>
  <si>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</si>
  <si>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</si>
  <si>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</si>
  <si>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</si>
  <si>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</si>
  <si>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</si>
  <si>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</si>
  <si>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</si>
  <si>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</si>
  <si>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</si>
  <si>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</si>
  <si>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</si>
  <si>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</si>
  <si>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</si>
  <si>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</si>
  <si>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</si>
  <si>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</si>
  <si>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</si>
  <si>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</si>
  <si>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</si>
  <si>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</si>
  <si>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</si>
  <si>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</si>
  <si>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</si>
  <si>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</si>
  <si>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</si>
  <si>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</si>
  <si>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</si>
  <si>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</si>
  <si>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</si>
  <si>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</si>
  <si>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</si>
  <si>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</si>
  <si>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</si>
  <si>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</si>
  <si>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</si>
  <si>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</si>
  <si>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</si>
  <si>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</si>
  <si>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</si>
  <si>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</si>
  <si>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</si>
  <si>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</si>
  <si>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</si>
  <si>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</si>
  <si>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</si>
  <si>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</si>
  <si>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</si>
  <si>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</si>
  <si>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</si>
  <si>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</si>
  <si>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</si>
  <si>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</si>
  <si>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</si>
  <si>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</si>
  <si>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</si>
  <si>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</si>
  <si>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</si>
  <si>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</si>
  <si>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</si>
  <si>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</si>
  <si>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</si>
  <si>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</si>
  <si>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</si>
  <si>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</si>
  <si>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</si>
  <si>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</si>
  <si>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</si>
  <si>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</si>
  <si>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</si>
  <si>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</si>
  <si>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</si>
  <si>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</si>
  <si>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</si>
  <si>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</si>
  <si>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</si>
  <si>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</si>
  <si>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</si>
  <si>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</si>
  <si>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</si>
  <si>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</si>
  <si>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</si>
  <si>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</si>
  <si>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</si>
  <si>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</si>
  <si>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</si>
  <si>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</si>
  <si>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</si>
  <si>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</si>
  <si>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</si>
  <si>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</si>
  <si>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</si>
  <si>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</si>
  <si>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</si>
  <si>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</si>
  <si>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</si>
  <si>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</si>
  <si>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</si>
  <si>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</si>
  <si>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</si>
  <si>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</si>
  <si>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</si>
  <si>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</si>
  <si>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</si>
  <si>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</si>
  <si>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</si>
  <si>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</si>
  <si>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</si>
  <si>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</si>
  <si>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</si>
  <si>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</si>
  <si>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</si>
  <si>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</si>
  <si>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</si>
  <si>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</si>
  <si>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</si>
  <si>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</si>
  <si>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</si>
  <si>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</si>
  <si>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</si>
  <si>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</si>
  <si>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</si>
  <si>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</si>
  <si>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</si>
  <si>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</si>
  <si>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</si>
  <si>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</si>
  <si>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</si>
  <si>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</si>
  <si>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</si>
  <si>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</si>
  <si>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</si>
  <si>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</si>
  <si>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</si>
  <si>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</si>
  <si>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</si>
  <si>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</si>
  <si>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</si>
  <si>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</si>
  <si>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</si>
  <si>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</si>
  <si>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</si>
  <si>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</si>
  <si>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</si>
  <si>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</si>
  <si>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</si>
  <si>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</si>
  <si>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</si>
  <si>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</si>
  <si>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</si>
  <si>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</si>
  <si>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</si>
  <si>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</si>
  <si>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</si>
  <si>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</si>
  <si>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</si>
  <si>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</si>
  <si>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</si>
  <si>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</si>
  <si>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</si>
  <si>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</si>
  <si>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</si>
  <si>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</si>
  <si>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</si>
  <si>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</si>
  <si>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</si>
  <si>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</si>
  <si>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</si>
  <si>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</si>
  <si>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</si>
  <si>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</si>
  <si>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</si>
  <si>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</si>
  <si>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</si>
  <si>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</si>
  <si>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</si>
  <si>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</si>
  <si>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</si>
  <si>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</si>
  <si>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</si>
  <si>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</si>
  <si>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</si>
  <si>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</si>
  <si>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</si>
  <si>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</si>
  <si>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</si>
  <si>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</si>
  <si>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</si>
  <si>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</si>
  <si>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</si>
  <si>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</si>
  <si>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</si>
  <si>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</si>
  <si>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</si>
  <si>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</si>
  <si>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</si>
  <si>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</si>
  <si>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</si>
  <si>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</si>
  <si>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</si>
  <si>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</si>
  <si>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</si>
  <si>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</si>
  <si>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</si>
  <si>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</si>
  <si>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</si>
  <si>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</si>
  <si>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</si>
  <si>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</si>
  <si>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</si>
  <si>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</si>
  <si>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</si>
  <si>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</si>
  <si>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</si>
  <si>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</si>
  <si>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</si>
  <si>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</si>
  <si>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</si>
  <si>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</si>
  <si>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</si>
  <si>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</si>
  <si>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</si>
  <si>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</si>
  <si>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</si>
  <si>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</si>
  <si>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</si>
  <si>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</si>
  <si>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</si>
  <si>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</si>
  <si>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</si>
  <si>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</si>
  <si>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</si>
  <si>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</si>
  <si>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</si>
  <si>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</si>
  <si>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</si>
  <si>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</si>
  <si>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</si>
  <si>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</si>
  <si>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</si>
  <si>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</si>
  <si>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</si>
  <si>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</si>
  <si>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</si>
  <si>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</si>
  <si>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</si>
  <si>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</si>
  <si>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</si>
  <si>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</si>
  <si>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</si>
  <si>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</si>
  <si>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</si>
  <si>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</si>
  <si>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</si>
  <si>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</si>
  <si>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</si>
  <si>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</si>
  <si>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</si>
  <si>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</si>
  <si>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</si>
  <si>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</si>
  <si>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</si>
  <si>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</si>
  <si>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</si>
  <si>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</si>
  <si>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</si>
  <si>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</si>
  <si>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</si>
  <si>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</si>
  <si>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</si>
  <si>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</si>
  <si>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</si>
  <si>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</si>
  <si>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</si>
  <si>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</si>
  <si>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</si>
  <si>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</si>
  <si>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</si>
  <si>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</si>
  <si>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</si>
  <si>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</si>
  <si>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</si>
  <si>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</si>
  <si>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</si>
  <si>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</si>
  <si>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</si>
  <si>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</si>
  <si>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</si>
  <si>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</si>
  <si>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</si>
  <si>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</si>
  <si>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</si>
  <si>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</si>
  <si>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</si>
  <si>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</si>
  <si>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</si>
  <si>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</si>
  <si>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</si>
  <si>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</si>
  <si>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</si>
  <si>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</si>
  <si>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</si>
  <si>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</si>
  <si>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</si>
  <si>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</si>
  <si>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</si>
  <si>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</si>
  <si>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</si>
  <si>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</si>
  <si>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</si>
  <si>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</si>
  <si>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</si>
  <si>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</si>
  <si>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</si>
  <si>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</si>
  <si>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</si>
  <si>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</si>
  <si>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</si>
  <si>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</si>
  <si>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</si>
  <si>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</si>
  <si>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</si>
  <si>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</si>
  <si>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</si>
  <si>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</si>
  <si>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</si>
  <si>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</si>
  <si>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</si>
  <si>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</si>
  <si>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</si>
  <si>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</si>
  <si>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</si>
  <si>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</si>
  <si>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</si>
  <si>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</si>
  <si>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</si>
  <si>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</si>
  <si>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</si>
  <si>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</si>
  <si>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</si>
  <si>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</si>
  <si>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</si>
  <si>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</si>
  <si>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</si>
  <si>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</si>
  <si>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</si>
  <si>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</si>
  <si>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</si>
  <si>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</si>
  <si>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</si>
  <si>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</si>
  <si>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</si>
  <si>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</si>
  <si>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</si>
  <si>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</si>
  <si>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</si>
  <si>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</si>
  <si>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</si>
  <si>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</si>
  <si>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</si>
  <si>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</si>
  <si>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</si>
  <si>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</si>
  <si>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</si>
  <si>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</si>
  <si>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</si>
  <si>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</si>
  <si>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</si>
  <si>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</si>
  <si>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</si>
  <si>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</si>
  <si>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</si>
  <si>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</si>
  <si>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</si>
  <si>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</si>
  <si>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</si>
  <si>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</si>
  <si>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</si>
  <si>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</si>
  <si>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</si>
  <si>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</si>
  <si>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</si>
  <si>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</si>
  <si>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</si>
  <si>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</si>
  <si>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</si>
  <si>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</si>
  <si>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</si>
  <si>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</si>
  <si>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</si>
  <si>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</si>
  <si>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</si>
  <si>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</si>
  <si>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</si>
  <si>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</si>
  <si>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</si>
  <si>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</si>
  <si>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</si>
  <si>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</si>
  <si>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</si>
  <si>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</si>
  <si>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</si>
  <si>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</si>
  <si>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</si>
  <si>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</si>
  <si>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</si>
  <si>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</si>
  <si>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</si>
  <si>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</si>
  <si>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</si>
  <si>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</si>
  <si>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</si>
  <si>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</si>
  <si>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</si>
  <si>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</si>
  <si>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</si>
  <si>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</si>
  <si>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</si>
  <si>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</si>
  <si>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</si>
  <si>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</si>
  <si>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</si>
  <si>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</si>
  <si>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</si>
  <si>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</si>
  <si>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</si>
  <si>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</si>
  <si>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</si>
  <si>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</si>
  <si>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</si>
  <si>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</si>
  <si>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</si>
  <si>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</si>
  <si>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</si>
  <si>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</si>
  <si>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</si>
  <si>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</si>
  <si>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</si>
  <si>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</si>
  <si>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</si>
  <si>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</si>
  <si>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</si>
  <si>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</si>
  <si>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</si>
  <si>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</si>
  <si>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</si>
  <si>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</si>
  <si>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</si>
  <si>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</si>
  <si>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</si>
  <si>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</si>
  <si>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</si>
  <si>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</si>
  <si>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</si>
  <si>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</si>
  <si>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</si>
  <si>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</si>
  <si>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</si>
  <si>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</si>
  <si>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</si>
  <si>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</si>
  <si>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</si>
  <si>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</si>
  <si>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</si>
  <si>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</si>
  <si>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</si>
  <si>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</si>
  <si>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</si>
  <si>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</si>
  <si>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</si>
  <si>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</si>
  <si>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</si>
  <si>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</si>
  <si>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</si>
  <si>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</si>
  <si>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</si>
  <si>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</si>
  <si>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</si>
  <si>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</si>
  <si>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</si>
  <si>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</si>
  <si>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</si>
  <si>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</si>
  <si>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</si>
  <si>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</si>
  <si>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</si>
  <si>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</si>
  <si>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</si>
  <si>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</si>
  <si>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</si>
  <si>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</si>
  <si>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</si>
  <si>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</si>
  <si>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</si>
  <si>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</si>
  <si>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</si>
  <si>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</si>
  <si>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</si>
  <si>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</si>
  <si>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</si>
  <si>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</si>
  <si>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</si>
  <si>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</si>
  <si>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</si>
  <si>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</si>
  <si>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</si>
  <si>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</si>
  <si>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</si>
  <si>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</si>
  <si>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2009</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</si>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</sst>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22700.402000000002</v>
      </c>
      <c r="F22" s="3384" t="str">
        <f t="shared" si="0"/>
        <v>NA</v>
      </c>
      <c r="G22" s="3360">
        <v>349.7925580909091</v>
      </c>
      <c r="H22" s="3339">
        <f t="shared" si="1"/>
        <v>1282.572713</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35595.9</v>
      </c>
      <c r="F24" s="3384" t="str">
        <f t="shared" si="0"/>
        <v>NA</v>
      </c>
      <c r="G24" s="3360">
        <v>783.43339909090912</v>
      </c>
      <c r="H24" s="3339">
        <f t="shared" si="1"/>
        <v>2872.5891300000003</v>
      </c>
      <c r="I24" s="2599" t="s">
        <v>205</v>
      </c>
      <c r="J24" s="2600"/>
      <c r="M24" s="125"/>
    </row>
    <row r="25" spans="2:13" ht="18" customHeight="1" x14ac:dyDescent="0.2">
      <c r="B25" s="165"/>
      <c r="C25" s="1566"/>
      <c r="D25" s="1451" t="s">
        <v>458</v>
      </c>
      <c r="E25" s="3379">
        <v>17019.300000000003</v>
      </c>
      <c r="F25" s="3384" t="str">
        <f t="shared" si="0"/>
        <v>NA</v>
      </c>
      <c r="G25" s="3360">
        <v>323.21971513636367</v>
      </c>
      <c r="H25" s="3339">
        <f t="shared" si="1"/>
        <v>1185.1389555000003</v>
      </c>
      <c r="I25" s="2599" t="s">
        <v>205</v>
      </c>
      <c r="J25" s="2600"/>
      <c r="M25" s="125"/>
    </row>
    <row r="26" spans="2:13" ht="18" customHeight="1" x14ac:dyDescent="0.2">
      <c r="B26" s="165"/>
      <c r="C26" s="1566"/>
      <c r="D26" s="1451" t="s">
        <v>459</v>
      </c>
      <c r="E26" s="3383">
        <v>27743.36288610824</v>
      </c>
      <c r="F26" s="3384">
        <f t="shared" si="0"/>
        <v>25.261363636363633</v>
      </c>
      <c r="G26" s="3360">
        <v>700.83517836157512</v>
      </c>
      <c r="H26" s="3339">
        <f t="shared" si="1"/>
        <v>2569.7289873257755</v>
      </c>
      <c r="I26" s="3360">
        <v>2569.7289873257755</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26667.230811864403</v>
      </c>
      <c r="F28" s="3384">
        <f>IF(I28="NA","NA",I28/(44/12)*1000/E28)</f>
        <v>1.338234291603615</v>
      </c>
      <c r="G28" s="3360">
        <v>468.91028502545453</v>
      </c>
      <c r="H28" s="3339">
        <f>IF(G28="NA","NA",IF(G28="NO","NO",G28*44/12))</f>
        <v>1719.33771176</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129726.19569797265</v>
      </c>
      <c r="F31" s="3324">
        <f t="shared" ref="F31" si="3">IF(I31="NA","NA",I31/(44/12)*1000/E31)</f>
        <v>5.6775131432273307</v>
      </c>
      <c r="G31" s="3388">
        <f>SUM(G11:G29)</f>
        <v>2626.1911357052113</v>
      </c>
      <c r="H31" s="3336">
        <f t="shared" ref="H31" si="4">IF(G31="NA","NA",IF(G31="NO","NO",G31*44/12))</f>
        <v>9629.3674975857739</v>
      </c>
      <c r="I31" s="3388">
        <f>SUM(I11:I29)</f>
        <v>2700.5813306857754</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26279.964</v>
      </c>
      <c r="F35" s="3384">
        <f>IF(I35="NA","NA",I35/(44/12)*1000/E35)</f>
        <v>24.567079232611658</v>
      </c>
      <c r="G35" s="3364">
        <v>645.62195781818184</v>
      </c>
      <c r="H35" s="3361">
        <f t="shared" si="5"/>
        <v>2367.2805119999998</v>
      </c>
      <c r="I35" s="3360">
        <v>2367.2805120000003</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60000.744331165966</v>
      </c>
      <c r="F41" s="3384">
        <f t="shared" ref="F41" si="8">IF(I41="NA","NA",I41/(44/12)*1000/E41)</f>
        <v>28.992733382751378</v>
      </c>
      <c r="G41" s="3360">
        <v>1770.7478802204926</v>
      </c>
      <c r="H41" s="3361">
        <f t="shared" si="5"/>
        <v>6492.7422274751398</v>
      </c>
      <c r="I41" s="3360">
        <v>6378.4804715871287</v>
      </c>
      <c r="J41" s="3381" t="s">
        <v>460</v>
      </c>
      <c r="M41" s="125"/>
    </row>
    <row r="42" spans="2:13" ht="18" customHeight="1" x14ac:dyDescent="0.2">
      <c r="B42" s="1433"/>
      <c r="C42" s="1567"/>
      <c r="D42" s="1451" t="s">
        <v>467</v>
      </c>
      <c r="E42" s="3379">
        <v>7920.4532020737988</v>
      </c>
      <c r="F42" s="3384">
        <f>IF(I42="NA","NA",I42/(44/12)*1000/E42)</f>
        <v>14.263631180089215</v>
      </c>
      <c r="G42" s="3360">
        <v>167.34989234444637</v>
      </c>
      <c r="H42" s="3361">
        <f t="shared" si="5"/>
        <v>613.6162719296367</v>
      </c>
      <c r="I42" s="3360">
        <v>414.23955192963672</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94201.161533239763</v>
      </c>
      <c r="F45" s="3308">
        <f>IF(I45="NA","NA",I45/(44/12)*1000/E45)</f>
        <v>26.519651388272305</v>
      </c>
      <c r="G45" s="3388">
        <f>SUM(G33:G43)</f>
        <v>2583.7197303831208</v>
      </c>
      <c r="H45" s="3336">
        <f t="shared" ref="H45" si="9">IF(G45="NA","NA",IF(G45="NO","NO",G45*44/12))</f>
        <v>9473.6390114047772</v>
      </c>
      <c r="I45" s="3388">
        <f>SUM(I33:I43)</f>
        <v>9160.0005355167668</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39040.097640500011</v>
      </c>
      <c r="F47" s="3384">
        <f t="shared" ref="F47" si="10">IF(I47="NA","NA",I47/(44/12)*1000/E47)</f>
        <v>14.021432274344992</v>
      </c>
      <c r="G47" s="3360">
        <v>547.39808505008659</v>
      </c>
      <c r="H47" s="3339">
        <f t="shared" ref="H47" si="11">IF(G47="NA","NA",IF(G47="NO","NO",G47*44/12))</f>
        <v>2007.1263118503175</v>
      </c>
      <c r="I47" s="3360">
        <v>2007.1263118503175</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39040.097640500011</v>
      </c>
      <c r="F50" s="3308">
        <f>IF(I50="NA","NA",I50/(44/12)*1000/E50)</f>
        <v>14.021432274344992</v>
      </c>
      <c r="G50" s="3388">
        <f>SUM(G47:G48)</f>
        <v>547.39808505008659</v>
      </c>
      <c r="H50" s="3362">
        <f t="shared" ref="H50" si="13">IF(G50="NA","NA",IF(G50="NO","NO",G50*44/12))</f>
        <v>2007.1263118503175</v>
      </c>
      <c r="I50" s="3388">
        <f>SUM(I47:I48)</f>
        <v>2007.1263118503175</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262967.45487171243</v>
      </c>
      <c r="F55" s="3319">
        <f t="shared" si="14"/>
        <v>14.382396605782017</v>
      </c>
      <c r="G55" s="3388">
        <f>SUM(G31,G45,G50,G54)</f>
        <v>5757.3089511384187</v>
      </c>
      <c r="H55" s="3363">
        <f t="shared" si="15"/>
        <v>21110.13282084087</v>
      </c>
      <c r="I55" s="3388">
        <f>SUM(I31,I45,I50,I54)</f>
        <v>13867.708178052859</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510.12567100000001</v>
      </c>
      <c r="D10" s="3105"/>
      <c r="E10" s="3105"/>
      <c r="F10" s="3057">
        <f>SUM(F11,F18)</f>
        <v>1139.2162164153622</v>
      </c>
      <c r="G10" s="3057">
        <f>SUM(G11,G18)</f>
        <v>1308.4125121797349</v>
      </c>
      <c r="H10" s="3057">
        <f>H11</f>
        <v>-217.66530322438993</v>
      </c>
      <c r="I10" s="3106" t="s">
        <v>199</v>
      </c>
      <c r="L10" s="3676"/>
    </row>
    <row r="11" spans="2:12" ht="18" customHeight="1" x14ac:dyDescent="0.2">
      <c r="B11" s="1251" t="s">
        <v>486</v>
      </c>
      <c r="C11" s="3014">
        <v>104.10941200000001</v>
      </c>
      <c r="D11" s="3057">
        <f>IFERROR(SUM(F11,-H11)/$C$11,"NA")</f>
        <v>10.432055817371392</v>
      </c>
      <c r="E11" s="3057">
        <f>IFERROR(SUM(G11)/$C$11,"NA")</f>
        <v>11.605934327151811</v>
      </c>
      <c r="F11" s="3057">
        <f>SUM(F12:F16)</f>
        <v>868.40989387332513</v>
      </c>
      <c r="G11" s="3057">
        <f>SUM(G12:G16)</f>
        <v>1208.2869985103907</v>
      </c>
      <c r="H11" s="3057">
        <f>H12</f>
        <v>-217.66530322438993</v>
      </c>
      <c r="I11" s="3106" t="s">
        <v>199</v>
      </c>
    </row>
    <row r="12" spans="2:12" ht="18" customHeight="1" x14ac:dyDescent="0.2">
      <c r="B12" s="160" t="s">
        <v>487</v>
      </c>
      <c r="C12" s="3027"/>
      <c r="D12" s="3057">
        <f>IFERROR(SUM(F12,-H12)/$C$11,"NA")</f>
        <v>9.5068799910399608</v>
      </c>
      <c r="E12" s="3057">
        <f>IFERROR(SUM(G12)/$C$11,"NA")</f>
        <v>9.864470704079082</v>
      </c>
      <c r="F12" s="3104">
        <v>772.09038259734575</v>
      </c>
      <c r="G12" s="3104">
        <v>1026.9842446928992</v>
      </c>
      <c r="H12" s="3104">
        <v>-217.66530322438993</v>
      </c>
      <c r="I12" s="3015" t="s">
        <v>199</v>
      </c>
    </row>
    <row r="13" spans="2:12" ht="18" customHeight="1" x14ac:dyDescent="0.2">
      <c r="B13" s="160" t="s">
        <v>488</v>
      </c>
      <c r="C13" s="3027"/>
      <c r="D13" s="3057">
        <f>IFERROR(SUM(F13)/$C$11,"NA")</f>
        <v>0.35835807197120184</v>
      </c>
      <c r="E13" s="3057" t="s">
        <v>205</v>
      </c>
      <c r="F13" s="3104">
        <v>37.308448158375505</v>
      </c>
      <c r="G13" s="3104" t="s">
        <v>221</v>
      </c>
      <c r="H13" s="3104" t="s">
        <v>199</v>
      </c>
      <c r="I13" s="3015" t="s">
        <v>199</v>
      </c>
    </row>
    <row r="14" spans="2:12" ht="18" customHeight="1" x14ac:dyDescent="0.2">
      <c r="B14" s="160" t="s">
        <v>489</v>
      </c>
      <c r="C14" s="3442">
        <v>116</v>
      </c>
      <c r="D14" s="3057">
        <f>IFERROR(SUM(F14)/$C$11,"NA")</f>
        <v>0.56128286997681909</v>
      </c>
      <c r="E14" s="3057" t="s">
        <v>205</v>
      </c>
      <c r="F14" s="3104">
        <v>58.434829558959088</v>
      </c>
      <c r="G14" s="3104" t="s">
        <v>205</v>
      </c>
      <c r="H14" s="3104" t="s">
        <v>199</v>
      </c>
      <c r="I14" s="3015" t="s">
        <v>199</v>
      </c>
    </row>
    <row r="15" spans="2:12" ht="18" customHeight="1" x14ac:dyDescent="0.2">
      <c r="B15" s="160" t="s">
        <v>490</v>
      </c>
      <c r="C15" s="3014">
        <v>6.4194259445503998E-2</v>
      </c>
      <c r="D15" s="3057">
        <f>IFERROR(SUM(F15)/$C15,"NA")</f>
        <v>8.9764032426282352</v>
      </c>
      <c r="E15" s="3057">
        <f>IFERROR(SUM(G15)/$C15,"NA")</f>
        <v>2824.2829714610793</v>
      </c>
      <c r="F15" s="3104">
        <v>0.57623355864474035</v>
      </c>
      <c r="G15" s="3104">
        <v>181.30275381749149</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406.01625899999999</v>
      </c>
      <c r="D18" s="3057">
        <f>IFERROR(SUM(F18)/$C$18,"NA")</f>
        <v>0.66698393608428619</v>
      </c>
      <c r="E18" s="3057">
        <f>IFERROR(SUM(G18)/$C$18,"NA")</f>
        <v>0.24660468995982768</v>
      </c>
      <c r="F18" s="3057">
        <f>SUM(F19:F21)</f>
        <v>270.80632254203698</v>
      </c>
      <c r="G18" s="3109">
        <f t="shared" ref="G18" si="1">SUM(G19:G21)</f>
        <v>100.12551366934409</v>
      </c>
      <c r="H18" s="3057" t="s">
        <v>199</v>
      </c>
      <c r="I18" s="3106" t="s">
        <v>199</v>
      </c>
    </row>
    <row r="19" spans="2:9" ht="18" customHeight="1" x14ac:dyDescent="0.2">
      <c r="B19" s="160" t="s">
        <v>493</v>
      </c>
      <c r="C19" s="3027"/>
      <c r="D19" s="3057">
        <f>IFERROR(SUM(F19)/$C$18,"NA")</f>
        <v>0.66698393608428619</v>
      </c>
      <c r="E19" s="3057">
        <f>IFERROR(SUM(G19)/$C$18,"NA")</f>
        <v>0.24660468995982768</v>
      </c>
      <c r="F19" s="3104">
        <v>270.80632254203698</v>
      </c>
      <c r="G19" s="3104">
        <v>100.12551366934409</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6" workbookViewId="0">
      <selection activeCell="O14" sqref="O1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291.858230005</v>
      </c>
      <c r="J10" s="3123">
        <f>IF(SUM(J11:J16)=0,"NO",SUM(J11:J16))</f>
        <v>3.8451879054070752</v>
      </c>
      <c r="K10" s="4433">
        <f>IF(SUM(K11:K16)=0,"NO",SUM(K11:K16))</f>
        <v>8.9261885790000006E-3</v>
      </c>
      <c r="L10" s="3124" t="s">
        <v>199</v>
      </c>
    </row>
    <row r="11" spans="2:12" ht="18" customHeight="1" x14ac:dyDescent="0.2">
      <c r="B11" s="1251" t="s">
        <v>520</v>
      </c>
      <c r="C11" s="2190" t="s">
        <v>521</v>
      </c>
      <c r="D11" s="2190" t="s">
        <v>522</v>
      </c>
      <c r="E11" s="699">
        <v>60</v>
      </c>
      <c r="F11" s="1938" t="s">
        <v>205</v>
      </c>
      <c r="G11" s="1938" t="s">
        <v>205</v>
      </c>
      <c r="H11" s="1938" t="s">
        <v>205</v>
      </c>
      <c r="I11" s="3119" t="s">
        <v>199</v>
      </c>
      <c r="J11" s="4434" t="s">
        <v>199</v>
      </c>
      <c r="K11" s="4440" t="s">
        <v>199</v>
      </c>
      <c r="L11" s="3072" t="s">
        <v>199</v>
      </c>
    </row>
    <row r="12" spans="2:12" ht="18" customHeight="1" x14ac:dyDescent="0.2">
      <c r="B12" s="1251" t="s">
        <v>523</v>
      </c>
      <c r="C12" s="2190" t="s">
        <v>524</v>
      </c>
      <c r="D12" s="2190" t="s">
        <v>525</v>
      </c>
      <c r="E12" s="699">
        <v>1028.112081</v>
      </c>
      <c r="F12" s="1938" t="s">
        <v>205</v>
      </c>
      <c r="G12" s="1938">
        <f>J12*1000000/$E12</f>
        <v>1650.9438754256173</v>
      </c>
      <c r="H12" s="3075"/>
      <c r="I12" s="3125" t="s">
        <v>205</v>
      </c>
      <c r="J12" s="699">
        <v>1.697355343378036</v>
      </c>
      <c r="K12" s="3027"/>
      <c r="L12" s="3072" t="s">
        <v>199</v>
      </c>
    </row>
    <row r="13" spans="2:12" ht="18" customHeight="1" x14ac:dyDescent="0.2">
      <c r="B13" s="1251" t="s">
        <v>526</v>
      </c>
      <c r="C13" s="2190" t="s">
        <v>527</v>
      </c>
      <c r="D13" s="2190" t="s">
        <v>525</v>
      </c>
      <c r="E13" s="699">
        <v>860.650081</v>
      </c>
      <c r="F13" s="1938" t="s">
        <v>205</v>
      </c>
      <c r="G13" s="1938">
        <f>J13*1000000/$E13</f>
        <v>210.85824181280245</v>
      </c>
      <c r="H13" s="3075"/>
      <c r="I13" s="3125" t="s">
        <v>205</v>
      </c>
      <c r="J13" s="699">
        <v>0.181475162895706</v>
      </c>
      <c r="K13" s="3027"/>
      <c r="L13" s="3072" t="s">
        <v>199</v>
      </c>
    </row>
    <row r="14" spans="2:12" ht="18" customHeight="1" x14ac:dyDescent="0.2">
      <c r="B14" s="1251" t="s">
        <v>528</v>
      </c>
      <c r="C14" s="2190" t="s">
        <v>529</v>
      </c>
      <c r="D14" s="2190" t="s">
        <v>525</v>
      </c>
      <c r="E14" s="699">
        <v>1243.7715184229999</v>
      </c>
      <c r="F14" s="1938">
        <f>I14*1000000/$E14</f>
        <v>234655.8235832995</v>
      </c>
      <c r="G14" s="1938">
        <f>J14*1000000/$E14</f>
        <v>1520.2001693049615</v>
      </c>
      <c r="H14" s="1938">
        <f>K14*1000000/$E14</f>
        <v>7.1767108723615678</v>
      </c>
      <c r="I14" s="3125">
        <v>291.858230005</v>
      </c>
      <c r="J14" s="699">
        <v>1.8907816728833333</v>
      </c>
      <c r="K14" s="4439">
        <v>8.9261885790000006E-3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7.5575726249999989E-2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2874</v>
      </c>
      <c r="F18" s="1938" t="s">
        <v>205</v>
      </c>
      <c r="G18" s="1938">
        <f>J18*1000000/$E18</f>
        <v>26.296355688935279</v>
      </c>
      <c r="H18" s="3126"/>
      <c r="I18" s="3128" t="s">
        <v>205</v>
      </c>
      <c r="J18" s="2215">
        <v>7.5575726249999989E-2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48.047404392416269</v>
      </c>
      <c r="J21" s="4437">
        <f>IF(SUM(J22:J27)=0,"NO",SUM(J22:J27))</f>
        <v>152.77806557496581</v>
      </c>
      <c r="K21" s="4438">
        <f>IF(SUM(K22:K27)=0,"NO",SUM(K22:K27))</f>
        <v>1.0490113169999999E-3</v>
      </c>
      <c r="L21" s="3047" t="str">
        <f>IF(SUM(L22:L27)=0,"NO",SUM(L22:L27))</f>
        <v>NO</v>
      </c>
    </row>
    <row r="22" spans="2:12" ht="18" customHeight="1" x14ac:dyDescent="0.2">
      <c r="B22" s="1468" t="s">
        <v>535</v>
      </c>
      <c r="C22" s="2190" t="s">
        <v>521</v>
      </c>
      <c r="D22" s="2190" t="s">
        <v>522</v>
      </c>
      <c r="E22" s="699">
        <v>637.65763663375742</v>
      </c>
      <c r="F22" s="1938">
        <f>I22*1000000/$E22</f>
        <v>55874.776338828735</v>
      </c>
      <c r="G22" s="1938">
        <f>J22*1000000/$E22</f>
        <v>2589.9563964695299</v>
      </c>
      <c r="H22" s="1938">
        <f>K22*1000000/$E22</f>
        <v>1.6451011588880351</v>
      </c>
      <c r="I22" s="3119">
        <v>35.628977827657316</v>
      </c>
      <c r="J22" s="700">
        <v>1.6515054747572431</v>
      </c>
      <c r="K22" s="4129">
        <v>1.0490113169999999E-3</v>
      </c>
      <c r="L22" s="3133" t="s">
        <v>199</v>
      </c>
    </row>
    <row r="23" spans="2:12" ht="18" customHeight="1" x14ac:dyDescent="0.2">
      <c r="B23" s="1251" t="s">
        <v>536</v>
      </c>
      <c r="C23" s="2190" t="s">
        <v>537</v>
      </c>
      <c r="D23" s="2190" t="s">
        <v>525</v>
      </c>
      <c r="E23" s="699">
        <v>3265.3335655332912</v>
      </c>
      <c r="F23" s="1938">
        <f>I23*1000000/$E23</f>
        <v>181.3142816909702</v>
      </c>
      <c r="G23" s="1938">
        <f>J23*1000000/$E23</f>
        <v>5271.4174612991956</v>
      </c>
      <c r="H23" s="3075"/>
      <c r="I23" s="3125">
        <v>0.5920516099160833</v>
      </c>
      <c r="J23" s="699">
        <v>17.212936374318552</v>
      </c>
      <c r="K23" s="3027"/>
      <c r="L23" s="3133" t="s">
        <v>199</v>
      </c>
    </row>
    <row r="24" spans="2:12" ht="18" customHeight="1" x14ac:dyDescent="0.2">
      <c r="B24" s="1251" t="s">
        <v>538</v>
      </c>
      <c r="C24" s="2190" t="s">
        <v>537</v>
      </c>
      <c r="D24" s="2190" t="s">
        <v>525</v>
      </c>
      <c r="E24" s="699">
        <v>3265.3335655332912</v>
      </c>
      <c r="F24" s="1938">
        <f t="shared" ref="F24:F26" si="0">I24*1000000/$E24</f>
        <v>940.9337999554989</v>
      </c>
      <c r="G24" s="1938">
        <f t="shared" ref="G24:G26" si="1">J24*1000000/$E24</f>
        <v>5377.797056379447</v>
      </c>
      <c r="H24" s="1885"/>
      <c r="I24" s="699">
        <v>3.0724627199394776</v>
      </c>
      <c r="J24" s="699">
        <v>17.560301236821939</v>
      </c>
      <c r="K24" s="1939"/>
      <c r="L24" s="3072" t="str">
        <f>IF(Table1.C!E21="NO","NO",-Table1.C!E21)</f>
        <v>NO</v>
      </c>
    </row>
    <row r="25" spans="2:12" ht="18" customHeight="1" x14ac:dyDescent="0.2">
      <c r="B25" s="1251" t="s">
        <v>539</v>
      </c>
      <c r="C25" s="2190" t="s">
        <v>540</v>
      </c>
      <c r="D25" s="2190" t="s">
        <v>541</v>
      </c>
      <c r="E25" s="699">
        <v>27287.000000000004</v>
      </c>
      <c r="F25" s="1938">
        <f t="shared" si="0"/>
        <v>19.549235899879061</v>
      </c>
      <c r="G25" s="1938">
        <f t="shared" si="1"/>
        <v>668.84701767979504</v>
      </c>
      <c r="H25" s="3075"/>
      <c r="I25" s="3125">
        <v>0.53344000000000003</v>
      </c>
      <c r="J25" s="699">
        <v>18.250828571428571</v>
      </c>
      <c r="K25" s="3027"/>
      <c r="L25" s="3072" t="s">
        <v>199</v>
      </c>
    </row>
    <row r="26" spans="2:12" ht="18" customHeight="1" x14ac:dyDescent="0.2">
      <c r="B26" s="1251" t="s">
        <v>542</v>
      </c>
      <c r="C26" s="2190" t="s">
        <v>543</v>
      </c>
      <c r="D26" s="2190" t="s">
        <v>525</v>
      </c>
      <c r="E26" s="699">
        <v>402.70915131896618</v>
      </c>
      <c r="F26" s="1938">
        <f t="shared" si="0"/>
        <v>19098.778473787155</v>
      </c>
      <c r="G26" s="1938">
        <f t="shared" si="1"/>
        <v>212127.44880449492</v>
      </c>
      <c r="H26" s="3075"/>
      <c r="I26" s="3125">
        <v>7.6912528704077658</v>
      </c>
      <c r="J26" s="699">
        <v>85.425664879515608</v>
      </c>
      <c r="K26" s="3027"/>
      <c r="L26" s="3072" t="s">
        <v>199</v>
      </c>
    </row>
    <row r="27" spans="2:12" ht="18" customHeight="1" x14ac:dyDescent="0.2">
      <c r="B27" s="2436" t="s">
        <v>544</v>
      </c>
      <c r="C27" s="607"/>
      <c r="D27" s="607"/>
      <c r="E27" s="615"/>
      <c r="F27" s="615"/>
      <c r="G27" s="615"/>
      <c r="H27" s="3126"/>
      <c r="I27" s="1938">
        <f>IF(SUM(I29:I30)=0,"NO",SUM(I29:I30))</f>
        <v>0.52921936449562712</v>
      </c>
      <c r="J27" s="1938">
        <f>IF(SUM(J29:J30)=0,"NO",SUM(J29:J30))</f>
        <v>12.676829038123913</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0.52921936449562712</v>
      </c>
      <c r="J29" s="3128">
        <v>12.463100655523913</v>
      </c>
      <c r="K29" s="3110"/>
      <c r="L29" s="3080" t="s">
        <v>199</v>
      </c>
    </row>
    <row r="30" spans="2:12" ht="18" customHeight="1" thickBot="1" x14ac:dyDescent="0.25">
      <c r="B30" s="2437" t="s">
        <v>547</v>
      </c>
      <c r="C30" s="2190" t="s">
        <v>533</v>
      </c>
      <c r="D30" s="2190" t="s">
        <v>522</v>
      </c>
      <c r="E30" s="699">
        <v>10207</v>
      </c>
      <c r="F30" s="1938" t="s">
        <v>205</v>
      </c>
      <c r="G30" s="1938">
        <f t="shared" ref="G30" si="2">J30*1000000/$E30</f>
        <v>20.939392828451066</v>
      </c>
      <c r="H30" s="3126"/>
      <c r="I30" s="3128" t="s">
        <v>205</v>
      </c>
      <c r="J30" s="3128">
        <v>0.21372838260000002</v>
      </c>
      <c r="K30" s="3110"/>
      <c r="L30" s="3080" t="s">
        <v>199</v>
      </c>
    </row>
    <row r="31" spans="2:12" ht="18" customHeight="1" x14ac:dyDescent="0.2">
      <c r="B31" s="1254" t="s">
        <v>548</v>
      </c>
      <c r="C31" s="2192"/>
      <c r="D31" s="2192"/>
      <c r="E31" s="3183"/>
      <c r="F31" s="3183"/>
      <c r="G31" s="3183"/>
      <c r="H31" s="3183"/>
      <c r="I31" s="4437">
        <f>IF(SUM(I32,I36)=0,"NO",SUM(I32,I36))</f>
        <v>6320.9999509060035</v>
      </c>
      <c r="J31" s="3046">
        <f>IF(SUM(J32,J36)=0,"NO",SUM(J32,J36))</f>
        <v>52.504648204739226</v>
      </c>
      <c r="K31" s="3046">
        <f>IF(SUM(K32,K36)=0,"NO",SUM(K32,K36))</f>
        <v>8.7263690957944284E-2</v>
      </c>
      <c r="L31" s="3047" t="str">
        <f>IF(SUM(L32,L36)=0,"NO",SUM(L32,L36))</f>
        <v>NO</v>
      </c>
    </row>
    <row r="32" spans="2:12" ht="18" customHeight="1" x14ac:dyDescent="0.2">
      <c r="B32" s="1467" t="s">
        <v>549</v>
      </c>
      <c r="C32" s="2195"/>
      <c r="D32" s="2195"/>
      <c r="E32" s="3007"/>
      <c r="F32" s="3007"/>
      <c r="G32" s="3007"/>
      <c r="H32" s="3007"/>
      <c r="I32" s="3134">
        <f>IF(SUM(I33:I35)=0,"NO",SUM(I33:I35))</f>
        <v>3663.9275704311181</v>
      </c>
      <c r="J32" s="1938">
        <f>IF(SUM(J33:J35)=0,"NO",SUM(J33:J35))</f>
        <v>37.428983240818788</v>
      </c>
      <c r="K32" s="1938">
        <f>IF(SUM(K33:K35)=0,"NO",SUM(K33:K35))</f>
        <v>3.9999999999999998E-6</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4293.4456465332914</v>
      </c>
      <c r="F35" s="1938">
        <f t="shared" ref="F35" si="3">SUM(I35,L35)*1000000/$E35</f>
        <v>853376.95456550783</v>
      </c>
      <c r="G35" s="1938">
        <f t="shared" ref="G35" si="4">J35*1000000/$E35</f>
        <v>8717.7028247790968</v>
      </c>
      <c r="H35" s="1938">
        <f t="shared" ref="H35" si="5">K35*1000000/$E35</f>
        <v>9.3165264668711211E-4</v>
      </c>
      <c r="I35" s="699">
        <v>3663.9275704311181</v>
      </c>
      <c r="J35" s="699">
        <v>37.428983240818788</v>
      </c>
      <c r="K35" s="699">
        <v>3.9999999999999998E-6</v>
      </c>
      <c r="L35" s="3072" t="s">
        <v>199</v>
      </c>
    </row>
    <row r="36" spans="2:12" ht="18" customHeight="1" x14ac:dyDescent="0.2">
      <c r="B36" s="1467" t="s">
        <v>554</v>
      </c>
      <c r="C36" s="2195"/>
      <c r="D36" s="2195"/>
      <c r="E36" s="3007"/>
      <c r="F36" s="3007"/>
      <c r="G36" s="3007"/>
      <c r="H36" s="3007"/>
      <c r="I36" s="3134">
        <f>IF(SUM(I37:I39)=0,"NO",SUM(I37:I39))</f>
        <v>2657.0723804748854</v>
      </c>
      <c r="J36" s="3134">
        <f>IF(SUM(J37:J39)=0,"NO",SUM(J37:J39))</f>
        <v>15.075664963920437</v>
      </c>
      <c r="K36" s="1938">
        <f>IF(SUM(K37:K39)=0,"NO",SUM(K37:K39))</f>
        <v>8.725969095794428E-2</v>
      </c>
      <c r="L36" s="3044" t="str">
        <f>IF(SUM(L37:L39)=0,"NO",SUM(L37:L39))</f>
        <v>NO</v>
      </c>
    </row>
    <row r="37" spans="2:12" ht="18" customHeight="1" x14ac:dyDescent="0.2">
      <c r="B37" s="1469" t="s">
        <v>555</v>
      </c>
      <c r="C37" s="277" t="s">
        <v>556</v>
      </c>
      <c r="D37" s="277" t="s">
        <v>525</v>
      </c>
      <c r="E37" s="699">
        <v>9.0507140763856118</v>
      </c>
      <c r="F37" s="1938">
        <f t="shared" ref="F37:F38" si="6">SUM(I37,L37)*1000000/$E37</f>
        <v>111390984.89371462</v>
      </c>
      <c r="G37" s="1938">
        <f t="shared" ref="G37:H38" si="7">J37*1000000/$E37</f>
        <v>1344373.9556137975</v>
      </c>
      <c r="H37" s="1938">
        <f t="shared" si="7"/>
        <v>3111.2654401347882</v>
      </c>
      <c r="I37" s="700">
        <v>1008.16795496</v>
      </c>
      <c r="J37" s="700">
        <v>12.167544284000003</v>
      </c>
      <c r="K37" s="700">
        <v>2.8159173914400003E-2</v>
      </c>
      <c r="L37" s="3133" t="s">
        <v>199</v>
      </c>
    </row>
    <row r="38" spans="2:12" ht="18" customHeight="1" x14ac:dyDescent="0.2">
      <c r="B38" s="1469" t="s">
        <v>557</v>
      </c>
      <c r="C38" s="277" t="s">
        <v>556</v>
      </c>
      <c r="D38" s="277" t="s">
        <v>525</v>
      </c>
      <c r="E38" s="699">
        <v>36.128662620111037</v>
      </c>
      <c r="F38" s="1938">
        <f t="shared" si="6"/>
        <v>45639785.863455191</v>
      </c>
      <c r="G38" s="1938">
        <f t="shared" si="7"/>
        <v>80493.449494629967</v>
      </c>
      <c r="H38" s="1938">
        <f t="shared" si="7"/>
        <v>1635.8346187618345</v>
      </c>
      <c r="I38" s="699">
        <v>1648.9044255148856</v>
      </c>
      <c r="J38" s="699">
        <v>2.9081206799204331</v>
      </c>
      <c r="K38" s="699">
        <v>5.9100517043544278E-2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15" workbookViewId="0">
      <selection activeCell="G17" sqref="G17"/>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41.434949347138399</v>
      </c>
      <c r="M9" s="3323">
        <f>100*C10/SUM(C10,'Table1.A(a)s3'!C16)</f>
        <v>58.565050652861601</v>
      </c>
    </row>
    <row r="10" spans="1:13" ht="18" customHeight="1" thickTop="1" thickBot="1" x14ac:dyDescent="0.25">
      <c r="B10" s="223" t="s">
        <v>603</v>
      </c>
      <c r="C10" s="3303">
        <f>IF(SUM(C11:C13)=0,"NO",SUM(C11:C13))</f>
        <v>136121.0288</v>
      </c>
      <c r="D10" s="3304"/>
      <c r="E10" s="3305"/>
      <c r="F10" s="3305"/>
      <c r="G10" s="3303">
        <f>IF(SUM(G11:G13)=0,"NO",SUM(G11:G13))</f>
        <v>9474.0236044799985</v>
      </c>
      <c r="H10" s="3303">
        <f>IF(SUM(H11:H13)=0,"NO",SUM(H11:H13))</f>
        <v>1.6632725365853661E-2</v>
      </c>
      <c r="I10" s="1154">
        <f>IF(SUM(I11:I13)=0,"NO",SUM(I11:I13))</f>
        <v>4.8814811796200265E-2</v>
      </c>
      <c r="J10" s="4"/>
      <c r="K10" s="68" t="s">
        <v>604</v>
      </c>
      <c r="L10" s="3324">
        <f>100-M10</f>
        <v>44.226712712073152</v>
      </c>
      <c r="M10" s="3325">
        <f>100*C14/SUM(C14,'Table1.A(a)s3'!C88)</f>
        <v>55.773287287926848</v>
      </c>
    </row>
    <row r="11" spans="1:13" ht="18" customHeight="1" x14ac:dyDescent="0.2">
      <c r="B11" s="1257" t="s">
        <v>293</v>
      </c>
      <c r="C11" s="3306">
        <v>136121.0288</v>
      </c>
      <c r="D11" s="116">
        <f>IF(G11="NO","NA",G11*1000/$C11)</f>
        <v>69.599999999999994</v>
      </c>
      <c r="E11" s="116">
        <f t="shared" ref="E11:F13" si="0">IF(H11="NO","NA",H11*1000000/$C11)</f>
        <v>0.12219071154899809</v>
      </c>
      <c r="F11" s="116">
        <f t="shared" si="0"/>
        <v>0.35861330337080338</v>
      </c>
      <c r="G11" s="3041">
        <v>9474.0236044799985</v>
      </c>
      <c r="H11" s="3041">
        <v>1.6632725365853661E-2</v>
      </c>
      <c r="I11" s="3042">
        <v>4.8814811796200265E-2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36340</v>
      </c>
      <c r="D14" s="3313"/>
      <c r="E14" s="3314"/>
      <c r="F14" s="3315"/>
      <c r="G14" s="3387">
        <f>IF(SUM(G15:G18,G20:G22)=0,"NO",SUM(G15:G18,G20:G22))</f>
        <v>2667.8899999999994</v>
      </c>
      <c r="H14" s="3387">
        <f>IF(SUM(H15:H18,H20:H22)=0,"NO",SUM(H15:H18,H20:H22))</f>
        <v>0.25438</v>
      </c>
      <c r="I14" s="4428">
        <f>IF(SUM(I15:I18,I20:I22)=0,"NO",SUM(I15:I18,I20:I22))</f>
        <v>7.2679999999999995E-2</v>
      </c>
      <c r="J14" s="4"/>
      <c r="K14" s="1045"/>
      <c r="L14" s="1045"/>
      <c r="M14" s="1045"/>
    </row>
    <row r="15" spans="1:13" ht="18" customHeight="1" x14ac:dyDescent="0.2">
      <c r="B15" s="1259" t="s">
        <v>306</v>
      </c>
      <c r="C15" s="143">
        <v>34520</v>
      </c>
      <c r="D15" s="116">
        <f>IF(G15="NO","NA",G15*1000/$C15)</f>
        <v>73.59999999999998</v>
      </c>
      <c r="E15" s="116">
        <f t="shared" ref="E15:F17" si="1">IF(H15="NO","NA",H15*1000000/$C15)</f>
        <v>7</v>
      </c>
      <c r="F15" s="116">
        <f t="shared" si="1"/>
        <v>1.9999999999999996</v>
      </c>
      <c r="G15" s="3043">
        <v>2540.6719999999996</v>
      </c>
      <c r="H15" s="3043">
        <v>0.24163999999999999</v>
      </c>
      <c r="I15" s="135">
        <v>6.903999999999999E-2</v>
      </c>
      <c r="J15" s="4"/>
      <c r="K15" s="1045"/>
      <c r="L15" s="1045"/>
      <c r="M15" s="1045"/>
    </row>
    <row r="16" spans="1:13" ht="18" customHeight="1" x14ac:dyDescent="0.2">
      <c r="B16" s="1259" t="s">
        <v>307</v>
      </c>
      <c r="C16" s="3316">
        <v>1820</v>
      </c>
      <c r="D16" s="116">
        <f>IF(G16="NO","NA",G16*1000/$C16)</f>
        <v>69.900000000000006</v>
      </c>
      <c r="E16" s="116">
        <f t="shared" si="1"/>
        <v>7.0000000000000009</v>
      </c>
      <c r="F16" s="116">
        <f t="shared" si="1"/>
        <v>2.0000000000000004</v>
      </c>
      <c r="G16" s="3043">
        <v>127.21800000000002</v>
      </c>
      <c r="H16" s="3043">
        <v>1.2740000000000001E-2</v>
      </c>
      <c r="I16" s="135">
        <v>3.6400000000000009E-3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21120.996965749539</v>
      </c>
      <c r="D10" s="2923">
        <f t="shared" ref="D10:N10" si="0">IF(SUM(D11,D16,D27,D35,D39,D45,D52,D57)=0,"NO",SUM(D11,D16,D27,D35,D39,D45,D52,D57))</f>
        <v>3.0859087494495152</v>
      </c>
      <c r="E10" s="2923">
        <f t="shared" si="0"/>
        <v>10.119455349594617</v>
      </c>
      <c r="F10" s="2923">
        <f t="shared" si="0"/>
        <v>6141.5462216641909</v>
      </c>
      <c r="G10" s="2923">
        <f t="shared" si="0"/>
        <v>322.43408328130437</v>
      </c>
      <c r="H10" s="2923" t="str">
        <f t="shared" si="0"/>
        <v>NO</v>
      </c>
      <c r="I10" s="2923">
        <f t="shared" si="0"/>
        <v>6.4470614816006036E-3</v>
      </c>
      <c r="J10" s="2923" t="str">
        <f t="shared" si="0"/>
        <v>NO</v>
      </c>
      <c r="K10" s="2923">
        <f t="shared" si="0"/>
        <v>31.904864230377278</v>
      </c>
      <c r="L10" s="2924">
        <f t="shared" si="0"/>
        <v>8.5449682393755637</v>
      </c>
      <c r="M10" s="2925">
        <f t="shared" si="0"/>
        <v>236.79912401404209</v>
      </c>
      <c r="N10" s="2926">
        <f t="shared" si="0"/>
        <v>1820.1968561298688</v>
      </c>
      <c r="O10" s="3002">
        <f t="shared" ref="O10:O58" si="1">IF(SUM(C10:J10)=0,"NO",SUM(C10,F10:H10)+28*SUM(D10)+265*SUM(E10)+23500*SUM(I10)+16100*SUM(J10))</f>
        <v>30504.544328139807</v>
      </c>
    </row>
    <row r="11" spans="1:15" ht="18" customHeight="1" x14ac:dyDescent="0.2">
      <c r="B11" s="1262" t="s">
        <v>621</v>
      </c>
      <c r="C11" s="2163">
        <f>IF(SUM(C12:C15)=0,"NO",SUM(C12:C15))</f>
        <v>6408.1365207979152</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6408.1365207979152</v>
      </c>
    </row>
    <row r="12" spans="1:15" ht="18" customHeight="1" x14ac:dyDescent="0.2">
      <c r="B12" s="1263" t="s">
        <v>622</v>
      </c>
      <c r="C12" s="2930">
        <f>'Table2(I).A-H'!H11</f>
        <v>3829.0168960000005</v>
      </c>
      <c r="D12" s="2162"/>
      <c r="E12" s="2162"/>
      <c r="F12" s="615"/>
      <c r="G12" s="615"/>
      <c r="H12" s="2161"/>
      <c r="I12" s="615"/>
      <c r="J12" s="2161"/>
      <c r="K12" s="2161"/>
      <c r="L12" s="2161"/>
      <c r="M12" s="2161"/>
      <c r="N12" s="2929" t="s">
        <v>199</v>
      </c>
      <c r="O12" s="2943">
        <f t="shared" si="1"/>
        <v>3829.0168960000005</v>
      </c>
    </row>
    <row r="13" spans="1:15" ht="18" customHeight="1" x14ac:dyDescent="0.2">
      <c r="B13" s="1263" t="s">
        <v>623</v>
      </c>
      <c r="C13" s="1884">
        <f>'Table2(I).A-H'!H12</f>
        <v>1152.1349440305462</v>
      </c>
      <c r="D13" s="2135"/>
      <c r="E13" s="2135"/>
      <c r="F13" s="615"/>
      <c r="G13" s="615"/>
      <c r="H13" s="2161"/>
      <c r="I13" s="615"/>
      <c r="J13" s="2161"/>
      <c r="K13" s="615"/>
      <c r="L13" s="615"/>
      <c r="M13" s="615"/>
      <c r="N13" s="1842"/>
      <c r="O13" s="1887">
        <f t="shared" si="1"/>
        <v>1152.1349440305462</v>
      </c>
    </row>
    <row r="14" spans="1:15" ht="18" customHeight="1" x14ac:dyDescent="0.2">
      <c r="B14" s="1263" t="s">
        <v>624</v>
      </c>
      <c r="C14" s="1884">
        <f>'Table2(I).A-H'!H13</f>
        <v>116.95587291567</v>
      </c>
      <c r="D14" s="2135"/>
      <c r="E14" s="2135"/>
      <c r="F14" s="615"/>
      <c r="G14" s="615"/>
      <c r="H14" s="2161"/>
      <c r="I14" s="615"/>
      <c r="J14" s="2161"/>
      <c r="K14" s="615"/>
      <c r="L14" s="615"/>
      <c r="M14" s="615"/>
      <c r="N14" s="1842"/>
      <c r="O14" s="1887">
        <f t="shared" si="1"/>
        <v>116.95587291567</v>
      </c>
    </row>
    <row r="15" spans="1:15" ht="18" customHeight="1" thickBot="1" x14ac:dyDescent="0.25">
      <c r="B15" s="1263" t="s">
        <v>625</v>
      </c>
      <c r="C15" s="1884">
        <f>'Table2(I).A-H'!H14</f>
        <v>1310.028807851699</v>
      </c>
      <c r="D15" s="1885"/>
      <c r="E15" s="1885"/>
      <c r="F15" s="3003"/>
      <c r="G15" s="3003"/>
      <c r="H15" s="3003"/>
      <c r="I15" s="3003"/>
      <c r="J15" s="3003"/>
      <c r="K15" s="2622" t="s">
        <v>199</v>
      </c>
      <c r="L15" s="2622" t="s">
        <v>199</v>
      </c>
      <c r="M15" s="2622" t="s">
        <v>199</v>
      </c>
      <c r="N15" s="2623" t="s">
        <v>199</v>
      </c>
      <c r="O15" s="1887">
        <f t="shared" si="1"/>
        <v>1310.028807851699</v>
      </c>
    </row>
    <row r="16" spans="1:15" ht="18" customHeight="1" x14ac:dyDescent="0.2">
      <c r="B16" s="1264" t="s">
        <v>626</v>
      </c>
      <c r="C16" s="2163">
        <f>IF(SUM(C17:C26)=0,"NO",SUM(C17:C26))</f>
        <v>3186.7659698427392</v>
      </c>
      <c r="D16" s="2163">
        <f t="shared" ref="D16:N16" si="3">IF(SUM(D17:D26)=0,"NO",SUM(D17:D26))</f>
        <v>0.57776359999999993</v>
      </c>
      <c r="E16" s="2163">
        <f t="shared" si="3"/>
        <v>10.056942740141992</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5868.0331767803673</v>
      </c>
    </row>
    <row r="17" spans="2:15" ht="18" customHeight="1" x14ac:dyDescent="0.2">
      <c r="B17" s="1265" t="s">
        <v>627</v>
      </c>
      <c r="C17" s="2930">
        <f>'Table2(I).A-H'!H23</f>
        <v>1726.8526839085866</v>
      </c>
      <c r="D17" s="2165" t="str">
        <f>'Table2(I).A-H'!I23</f>
        <v>NO</v>
      </c>
      <c r="E17" s="2165" t="str">
        <f>'Table2(I).A-H'!J23</f>
        <v>NO</v>
      </c>
      <c r="F17" s="2161"/>
      <c r="G17" s="2161"/>
      <c r="H17" s="2161"/>
      <c r="I17" s="2161"/>
      <c r="J17" s="2161"/>
      <c r="K17" s="700" t="s">
        <v>199</v>
      </c>
      <c r="L17" s="700" t="s">
        <v>199</v>
      </c>
      <c r="M17" s="700" t="s">
        <v>199</v>
      </c>
      <c r="N17" s="700" t="s">
        <v>199</v>
      </c>
      <c r="O17" s="2943">
        <f t="shared" si="1"/>
        <v>1726.8526839085866</v>
      </c>
    </row>
    <row r="18" spans="2:15" ht="18" customHeight="1" x14ac:dyDescent="0.2">
      <c r="B18" s="1263" t="s">
        <v>628</v>
      </c>
      <c r="C18" s="1935"/>
      <c r="D18" s="2162"/>
      <c r="E18" s="2165">
        <f>'Table2(I).A-H'!J24</f>
        <v>10.056942740141992</v>
      </c>
      <c r="F18" s="615"/>
      <c r="G18" s="615"/>
      <c r="H18" s="2161"/>
      <c r="I18" s="615"/>
      <c r="J18" s="2161"/>
      <c r="K18" s="700" t="s">
        <v>199</v>
      </c>
      <c r="L18" s="615"/>
      <c r="M18" s="615"/>
      <c r="N18" s="1842"/>
      <c r="O18" s="2943">
        <f t="shared" si="1"/>
        <v>2665.0898261376278</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1281.891396645</v>
      </c>
      <c r="D22" s="1939"/>
      <c r="E22" s="615"/>
      <c r="F22" s="615"/>
      <c r="G22" s="615"/>
      <c r="H22" s="2161"/>
      <c r="I22" s="615"/>
      <c r="J22" s="2161"/>
      <c r="K22" s="1939"/>
      <c r="L22" s="1939"/>
      <c r="M22" s="1939"/>
      <c r="N22" s="2931"/>
      <c r="O22" s="1887">
        <f t="shared" si="1"/>
        <v>1281.891396645</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0.57776359999999993</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129.72708328915283</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129.72708328915283</v>
      </c>
    </row>
    <row r="27" spans="2:15" ht="18" customHeight="1" x14ac:dyDescent="0.2">
      <c r="B27" s="1262" t="s">
        <v>637</v>
      </c>
      <c r="C27" s="2163">
        <f>IF(SUM(C28:C34)=0,"NO",SUM(C28:C34))</f>
        <v>11125.923167063165</v>
      </c>
      <c r="D27" s="2163">
        <f t="shared" ref="D27:N27" si="4">IF(SUM(D28:D34)=0,"NO",SUM(D28:D34))</f>
        <v>2.5081451494495153</v>
      </c>
      <c r="E27" s="2163">
        <f t="shared" si="4"/>
        <v>6.2512609452625476E-2</v>
      </c>
      <c r="F27" s="2164" t="str">
        <f t="shared" si="4"/>
        <v>NO</v>
      </c>
      <c r="G27" s="2164">
        <f t="shared" si="4"/>
        <v>322.43408328130437</v>
      </c>
      <c r="H27" s="2164" t="str">
        <f t="shared" si="4"/>
        <v>NO</v>
      </c>
      <c r="I27" s="2164" t="str">
        <f t="shared" si="4"/>
        <v>NO</v>
      </c>
      <c r="J27" s="2164" t="str">
        <f t="shared" si="4"/>
        <v>NO</v>
      </c>
      <c r="K27" s="2163">
        <f t="shared" si="4"/>
        <v>31.904864230377278</v>
      </c>
      <c r="L27" s="2163">
        <f t="shared" si="4"/>
        <v>8.5449682393755637</v>
      </c>
      <c r="M27" s="2927">
        <f t="shared" si="4"/>
        <v>7.787612484880499E-2</v>
      </c>
      <c r="N27" s="2928">
        <f t="shared" si="4"/>
        <v>1820.1968561298688</v>
      </c>
      <c r="O27" s="2950">
        <f t="shared" si="1"/>
        <v>11535.151156034002</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3136.2559285130451</v>
      </c>
      <c r="D30" s="1885"/>
      <c r="E30" s="615"/>
      <c r="F30" s="615"/>
      <c r="G30" s="2166">
        <f>SUM('Table2(II)'!X41:Y41)</f>
        <v>322.43408328130437</v>
      </c>
      <c r="H30" s="2162"/>
      <c r="I30" s="2168" t="s">
        <v>199</v>
      </c>
      <c r="J30" s="2161"/>
      <c r="K30" s="699" t="s">
        <v>205</v>
      </c>
      <c r="L30" s="699" t="s">
        <v>205</v>
      </c>
      <c r="M30" s="699" t="s">
        <v>205</v>
      </c>
      <c r="N30" s="2921">
        <v>50.580733975043479</v>
      </c>
      <c r="O30" s="1887">
        <f t="shared" si="1"/>
        <v>3458.6900117943496</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7989.6672385501197</v>
      </c>
      <c r="D34" s="1888">
        <f>'Table2(I).A-H'!I67</f>
        <v>2.5081451494495153</v>
      </c>
      <c r="E34" s="1888">
        <f>'Table2(I).A-H'!J67</f>
        <v>6.2512609452625476E-2</v>
      </c>
      <c r="F34" s="2172" t="s">
        <v>199</v>
      </c>
      <c r="G34" s="2172" t="s">
        <v>199</v>
      </c>
      <c r="H34" s="2172" t="s">
        <v>199</v>
      </c>
      <c r="I34" s="2172" t="s">
        <v>199</v>
      </c>
      <c r="J34" s="2172" t="s">
        <v>199</v>
      </c>
      <c r="K34" s="2622">
        <v>31.904864230377278</v>
      </c>
      <c r="L34" s="2622">
        <v>8.5449682393755637</v>
      </c>
      <c r="M34" s="2622">
        <v>7.787612484880499E-2</v>
      </c>
      <c r="N34" s="2623">
        <v>1769.6161221548252</v>
      </c>
      <c r="O34" s="1890">
        <f t="shared" si="1"/>
        <v>8076.4611442396517</v>
      </c>
    </row>
    <row r="35" spans="2:15" ht="18" customHeight="1" x14ac:dyDescent="0.2">
      <c r="B35" s="2489" t="s">
        <v>645</v>
      </c>
      <c r="C35" s="2930">
        <f>IF(SUM(C36:C38)=0,"NO",SUM(C36:C38))</f>
        <v>238.76239894999998</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183.17059779694659</v>
      </c>
      <c r="N35" s="2077" t="str">
        <f t="shared" ref="N35" si="7">IF(SUM(N36:N38)=0,"NO",SUM(N36:N38))</f>
        <v>NO</v>
      </c>
      <c r="O35" s="2943">
        <f t="shared" si="1"/>
        <v>238.76239894999998</v>
      </c>
    </row>
    <row r="36" spans="2:15" ht="18" customHeight="1" x14ac:dyDescent="0.2">
      <c r="B36" s="1269" t="s">
        <v>646</v>
      </c>
      <c r="C36" s="1884">
        <f>'Table2(I).A-H'!H73</f>
        <v>238.76239894999998</v>
      </c>
      <c r="D36" s="2166" t="str">
        <f>'Table2(I).A-H'!I73</f>
        <v>NO</v>
      </c>
      <c r="E36" s="2166" t="str">
        <f>'Table2(I).A-H'!J73</f>
        <v>NO</v>
      </c>
      <c r="F36" s="615"/>
      <c r="G36" s="615"/>
      <c r="H36" s="2161"/>
      <c r="I36" s="615"/>
      <c r="J36" s="2161"/>
      <c r="K36" s="2173" t="s">
        <v>205</v>
      </c>
      <c r="L36" s="2173" t="s">
        <v>205</v>
      </c>
      <c r="M36" s="699" t="s">
        <v>205</v>
      </c>
      <c r="N36" s="2167" t="s">
        <v>205</v>
      </c>
      <c r="O36" s="1887">
        <f t="shared" si="1"/>
        <v>238.76239894999998</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183.17059779694659</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6141.5462216641909</v>
      </c>
      <c r="G45" s="2163" t="str">
        <f t="shared" ref="G45:J45" si="9">IF(SUM(G46:G51)=0,"NO",SUM(G46:G51))</f>
        <v>NO</v>
      </c>
      <c r="H45" s="2930" t="str">
        <f t="shared" si="9"/>
        <v>NO</v>
      </c>
      <c r="I45" s="2930" t="str">
        <f t="shared" si="9"/>
        <v>NO</v>
      </c>
      <c r="J45" s="2165" t="str">
        <f t="shared" si="9"/>
        <v>NO</v>
      </c>
      <c r="K45" s="1955"/>
      <c r="L45" s="1955"/>
      <c r="M45" s="1955"/>
      <c r="N45" s="2178"/>
      <c r="O45" s="2950">
        <f t="shared" si="1"/>
        <v>6141.5462216641909</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5735.1178756254203</v>
      </c>
      <c r="G46" s="1884" t="s">
        <v>199</v>
      </c>
      <c r="H46" s="1884" t="s">
        <v>199</v>
      </c>
      <c r="I46" s="1884" t="s">
        <v>199</v>
      </c>
      <c r="J46" s="2165" t="str">
        <f t="shared" ref="J46" si="10">IF(SUM(J47:J52)=0,"NO",SUM(J47:J52))</f>
        <v>NO</v>
      </c>
      <c r="K46" s="615"/>
      <c r="L46" s="615"/>
      <c r="M46" s="615"/>
      <c r="N46" s="1842"/>
      <c r="O46" s="1887">
        <f t="shared" si="1"/>
        <v>5735.1178756254203</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81.300990333414148</v>
      </c>
      <c r="G47" s="1884" t="s">
        <v>199</v>
      </c>
      <c r="H47" s="1884" t="s">
        <v>199</v>
      </c>
      <c r="I47" s="1884" t="s">
        <v>199</v>
      </c>
      <c r="J47" s="2165" t="str">
        <f t="shared" ref="J47" si="11">IF(SUM(J48:J53)=0,"NO",SUM(J48:J53))</f>
        <v>NO</v>
      </c>
      <c r="K47" s="615"/>
      <c r="L47" s="615"/>
      <c r="M47" s="615"/>
      <c r="N47" s="1842"/>
      <c r="O47" s="1887">
        <f t="shared" si="1"/>
        <v>81.300990333414148</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40.057429483412264</v>
      </c>
      <c r="G48" s="1884" t="s">
        <v>199</v>
      </c>
      <c r="H48" s="1884" t="s">
        <v>199</v>
      </c>
      <c r="I48" s="1884" t="s">
        <v>199</v>
      </c>
      <c r="J48" s="2165" t="str">
        <f t="shared" ref="J48" si="12">IF(SUM(J49:J54)=0,"NO",SUM(J49:J54))</f>
        <v>NO</v>
      </c>
      <c r="K48" s="615"/>
      <c r="L48" s="615"/>
      <c r="M48" s="615"/>
      <c r="N48" s="1842"/>
      <c r="O48" s="1887">
        <f t="shared" si="1"/>
        <v>40.057429483412264</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177.06744096099177</v>
      </c>
      <c r="G49" s="1884" t="s">
        <v>199</v>
      </c>
      <c r="H49" s="1884" t="s">
        <v>199</v>
      </c>
      <c r="I49" s="1884" t="s">
        <v>199</v>
      </c>
      <c r="J49" s="2165" t="str">
        <f t="shared" ref="J49" si="13">IF(SUM(J50:J55)=0,"NO",SUM(J50:J55))</f>
        <v>NO</v>
      </c>
      <c r="K49" s="615"/>
      <c r="L49" s="615"/>
      <c r="M49" s="615"/>
      <c r="N49" s="1842"/>
      <c r="O49" s="1887">
        <f t="shared" si="1"/>
        <v>177.06744096099177</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108.00248526095262</v>
      </c>
      <c r="G50" s="1884" t="s">
        <v>199</v>
      </c>
      <c r="H50" s="1884" t="s">
        <v>199</v>
      </c>
      <c r="I50" s="1884" t="s">
        <v>199</v>
      </c>
      <c r="J50" s="2165" t="str">
        <f t="shared" ref="J50" si="14">IF(SUM(J51:J56)=0,"NO",SUM(J51:J56))</f>
        <v>NO</v>
      </c>
      <c r="K50" s="615"/>
      <c r="L50" s="615"/>
      <c r="M50" s="615"/>
      <c r="N50" s="1842"/>
      <c r="O50" s="1887">
        <f t="shared" si="1"/>
        <v>108.00248526095262</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6.4470614816006036E-3</v>
      </c>
      <c r="J52" s="2165" t="str">
        <f t="shared" si="16"/>
        <v>NO</v>
      </c>
      <c r="K52" s="2165" t="str">
        <f t="shared" si="16"/>
        <v>NO</v>
      </c>
      <c r="L52" s="2165" t="str">
        <f t="shared" si="16"/>
        <v>NO</v>
      </c>
      <c r="M52" s="2165" t="str">
        <f t="shared" si="16"/>
        <v>NO</v>
      </c>
      <c r="N52" s="2077" t="str">
        <f t="shared" si="16"/>
        <v>NO</v>
      </c>
      <c r="O52" s="2943">
        <f t="shared" si="1"/>
        <v>151.50594481761419</v>
      </c>
    </row>
    <row r="53" spans="2:15" ht="18" customHeight="1" x14ac:dyDescent="0.2">
      <c r="B53" s="1269" t="s">
        <v>663</v>
      </c>
      <c r="C53" s="2161"/>
      <c r="D53" s="2161"/>
      <c r="E53" s="2161"/>
      <c r="F53" s="2930" t="s">
        <v>199</v>
      </c>
      <c r="G53" s="2930" t="s">
        <v>199</v>
      </c>
      <c r="H53" s="2930" t="s">
        <v>199</v>
      </c>
      <c r="I53" s="2930">
        <f>SUM('Table2(II).B-Hs2'!J163:M163)/1000</f>
        <v>5.6966393514970674E-3</v>
      </c>
      <c r="J53" s="2930" t="s">
        <v>199</v>
      </c>
      <c r="K53" s="2161"/>
      <c r="L53" s="2161"/>
      <c r="M53" s="2161"/>
      <c r="N53" s="2174"/>
      <c r="O53" s="2943">
        <f t="shared" si="1"/>
        <v>133.87102476018109</v>
      </c>
    </row>
    <row r="54" spans="2:15" ht="18" customHeight="1" x14ac:dyDescent="0.2">
      <c r="B54" s="1269" t="s">
        <v>664</v>
      </c>
      <c r="C54" s="2161"/>
      <c r="D54" s="2161"/>
      <c r="E54" s="2161"/>
      <c r="F54" s="2161"/>
      <c r="G54" s="2930" t="s">
        <v>199</v>
      </c>
      <c r="H54" s="3007"/>
      <c r="I54" s="2930">
        <f>SUM('Table2(II).B-Hs2'!J165:M165)/1000</f>
        <v>7.5042213010353628E-4</v>
      </c>
      <c r="J54" s="2161"/>
      <c r="K54" s="2161"/>
      <c r="L54" s="2161"/>
      <c r="M54" s="2161"/>
      <c r="N54" s="2174"/>
      <c r="O54" s="2943">
        <f t="shared" si="1"/>
        <v>17.634920057433103</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161.40890909572053</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50.708089411546709</v>
      </c>
      <c r="N57" s="2100" t="str">
        <f>N58</f>
        <v>NA</v>
      </c>
      <c r="O57" s="2950">
        <f t="shared" si="1"/>
        <v>161.40890909572053</v>
      </c>
    </row>
    <row r="58" spans="2:15" ht="18" customHeight="1" thickBot="1" x14ac:dyDescent="0.25">
      <c r="B58" s="2613" t="s">
        <v>668</v>
      </c>
      <c r="C58" s="2517">
        <f>'Table2(I).A-H'!H98</f>
        <v>161.40890909572053</v>
      </c>
      <c r="D58" s="2517" t="str">
        <f>'Table2(I).A-H'!I98</f>
        <v>NO</v>
      </c>
      <c r="E58" s="2517" t="str">
        <f>'Table2(I).A-H'!J98</f>
        <v>NO</v>
      </c>
      <c r="F58" s="2517" t="s">
        <v>199</v>
      </c>
      <c r="G58" s="2517" t="s">
        <v>199</v>
      </c>
      <c r="H58" s="2517" t="s">
        <v>199</v>
      </c>
      <c r="I58" s="2517" t="s">
        <v>199</v>
      </c>
      <c r="J58" s="2517" t="s">
        <v>199</v>
      </c>
      <c r="K58" s="2922" t="s">
        <v>205</v>
      </c>
      <c r="L58" s="2922" t="s">
        <v>205</v>
      </c>
      <c r="M58" s="2922">
        <v>50.708089411546709</v>
      </c>
      <c r="N58" s="2932" t="s">
        <v>205</v>
      </c>
      <c r="O58" s="2935">
        <f t="shared" si="1"/>
        <v>161.40890909572053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38.361730192143888</v>
      </c>
      <c r="D10" s="4431">
        <f t="shared" ref="D10:X10" si="0">IF(SUM(D11,D16,D20,D26,D33,D37)=0,"NO",SUM(D11,D16,D20,D26,D33,D37))</f>
        <v>114.5004014884299</v>
      </c>
      <c r="E10" s="4431" t="str">
        <f t="shared" si="0"/>
        <v>NO</v>
      </c>
      <c r="F10" s="4431" t="str">
        <f t="shared" si="0"/>
        <v>NO</v>
      </c>
      <c r="G10" s="4431">
        <f t="shared" si="0"/>
        <v>469.73445690455247</v>
      </c>
      <c r="H10" s="4431">
        <f t="shared" si="0"/>
        <v>0.84606332248263583</v>
      </c>
      <c r="I10" s="4431">
        <f t="shared" si="0"/>
        <v>1453.6457139739014</v>
      </c>
      <c r="J10" s="4431" t="str">
        <f t="shared" si="0"/>
        <v>NO</v>
      </c>
      <c r="K10" s="4431">
        <f t="shared" si="0"/>
        <v>420.64264257898884</v>
      </c>
      <c r="L10" s="2073" t="str">
        <f t="shared" si="0"/>
        <v>NO</v>
      </c>
      <c r="M10" s="2073">
        <f t="shared" si="0"/>
        <v>34.616295318989891</v>
      </c>
      <c r="N10" s="2073" t="str">
        <f t="shared" si="0"/>
        <v>NO</v>
      </c>
      <c r="O10" s="4431">
        <f t="shared" si="0"/>
        <v>27.042200718707591</v>
      </c>
      <c r="P10" s="2073" t="str">
        <f t="shared" si="0"/>
        <v>NO</v>
      </c>
      <c r="Q10" s="2073" t="str">
        <f t="shared" si="0"/>
        <v>NO</v>
      </c>
      <c r="R10" s="2073">
        <f t="shared" si="0"/>
        <v>4.6284953280879924</v>
      </c>
      <c r="S10" s="2073" t="str">
        <f t="shared" si="0"/>
        <v>NO</v>
      </c>
      <c r="T10" s="2073">
        <f t="shared" si="0"/>
        <v>23.27375582346076</v>
      </c>
      <c r="U10" s="2073">
        <f t="shared" si="0"/>
        <v>45.85956171330907</v>
      </c>
      <c r="V10" s="2074" t="str">
        <f t="shared" si="0"/>
        <v>NO</v>
      </c>
      <c r="W10" s="2075"/>
      <c r="X10" s="2073">
        <f t="shared" si="0"/>
        <v>40.447221979933111</v>
      </c>
      <c r="Y10" s="4431">
        <f t="shared" ref="Y10" si="1">IF(SUM(Y11,Y16,Y20,Y26,Y33,Y37)=0,"NO",SUM(Y11,Y16,Y20,Y26,Y33,Y37))</f>
        <v>4.8890992391304344</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6.4470614816006035</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40.447221979933111</v>
      </c>
      <c r="Y16" s="4432">
        <f t="shared" ref="Y16" si="35">IF(SUM(Y17:Y19)=0,"NO",SUM(Y17:Y19))</f>
        <v>4.8890992391304344</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40.447221979933111</v>
      </c>
      <c r="Y17" s="4432">
        <f>'Table2(II).B-Hs1'!G26</f>
        <v>4.8890992391304344</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38.361730192143888</v>
      </c>
      <c r="D26" s="4430">
        <f t="shared" ref="D26:AK26" si="58">IF(SUM(D27:D32)=0,"NO",SUM(D27:D32))</f>
        <v>114.5004014884299</v>
      </c>
      <c r="E26" s="2097" t="str">
        <f t="shared" si="58"/>
        <v>NO</v>
      </c>
      <c r="F26" s="2097" t="str">
        <f t="shared" si="58"/>
        <v>NO</v>
      </c>
      <c r="G26" s="4430">
        <f t="shared" si="58"/>
        <v>469.73445690455247</v>
      </c>
      <c r="H26" s="4430">
        <f t="shared" si="58"/>
        <v>0.84606332248263583</v>
      </c>
      <c r="I26" s="4430">
        <f t="shared" si="58"/>
        <v>1453.6457139739014</v>
      </c>
      <c r="J26" s="4430" t="str">
        <f t="shared" si="58"/>
        <v>NO</v>
      </c>
      <c r="K26" s="4430">
        <f t="shared" si="58"/>
        <v>420.64264257898884</v>
      </c>
      <c r="L26" s="2097" t="str">
        <f t="shared" si="58"/>
        <v>NO</v>
      </c>
      <c r="M26" s="2097">
        <f t="shared" si="58"/>
        <v>34.616295318989891</v>
      </c>
      <c r="N26" s="2097" t="str">
        <f t="shared" si="58"/>
        <v>NO</v>
      </c>
      <c r="O26" s="4430">
        <f t="shared" si="58"/>
        <v>27.042200718707591</v>
      </c>
      <c r="P26" s="2097" t="str">
        <f t="shared" si="58"/>
        <v>NO</v>
      </c>
      <c r="Q26" s="2097" t="str">
        <f t="shared" si="58"/>
        <v>NO</v>
      </c>
      <c r="R26" s="2097">
        <f t="shared" si="58"/>
        <v>4.6284953280879924</v>
      </c>
      <c r="S26" s="2097" t="str">
        <f t="shared" si="58"/>
        <v>NO</v>
      </c>
      <c r="T26" s="2097">
        <f t="shared" si="58"/>
        <v>23.27375582346076</v>
      </c>
      <c r="U26" s="2097">
        <f t="shared" si="58"/>
        <v>45.85956171330907</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35.823070709588727</v>
      </c>
      <c r="D27" s="4431">
        <f>IF(SUM('Table2(II).B-Hs2'!J14:M14,'Table2(II).B-Hs2'!J27:M27,'Table2(II).B-Hs2'!J40:M40,'Table2(II).B-Hs2'!J53:M53,'Table2(II).B-Hs2'!J66:M66,'Table2(II).B-Hs2'!J79:M79)=0,"NO",SUM('Table2(II).B-Hs2'!J14:M14,'Table2(II).B-Hs2'!J27:M27,'Table2(II).B-Hs2'!J40:M40,'Table2(II).B-Hs2'!J53:M53,'Table2(II).B-Hs2'!J66:M66,'Table2(II).B-Hs2'!J79:M79))</f>
        <v>106.92312255603953</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438.64889774622623</v>
      </c>
      <c r="H27" s="4431">
        <f>IF(SUM('Table2(II).B-Hs2'!J17:M17,'Table2(II).B-Hs2'!J30:M30,'Table2(II).B-Hs2'!J43:M43,'Table2(II).B-Hs2'!J56:M56,'Table2(II).B-Hs2'!J69:M69,'Table2(II).B-Hs2'!J82:M82)=0,"NO",SUM('Table2(II).B-Hs2'!J17:M17,'Table2(II).B-Hs2'!J30:M30,'Table2(II).B-Hs2'!J43:M43,'Table2(II).B-Hs2'!J56:M56,'Table2(II).B-Hs2'!J69:M69,'Table2(II).B-Hs2'!J82:M82))</f>
        <v>0.7900734944507779</v>
      </c>
      <c r="I27" s="4431">
        <f>IF(SUM('Table2(II).B-Hs2'!J18:M18,'Table2(II).B-Hs2'!J31:M31,'Table2(II).B-Hs2'!J44:M44,'Table2(II).B-Hs2'!J57:M57,'Table2(II).B-Hs2'!J70:M70,'Table2(II).B-Hs2'!J83:M83)=0,"NO",SUM('Table2(II).B-Hs2'!J18:M18,'Table2(II).B-Hs2'!J31:M31,'Table2(II).B-Hs2'!J44:M44,'Table2(II).B-Hs2'!J57:M57,'Table2(II).B-Hs2'!J70:M70,'Table2(II).B-Hs2'!J83:M83))</f>
        <v>1357.4479810361088</v>
      </c>
      <c r="J27" s="4431" t="s">
        <v>199</v>
      </c>
      <c r="K27" s="4431">
        <f>IF(SUM('Table2(II).B-Hs2'!J19:M19,'Table2(II).B-Hs2'!J32:M32,'Table2(II).B-Hs2'!J45:M45,'Table2(II).B-Hs2'!J58:M58,'Table2(II).B-Hs2'!J71:M71,'Table2(II).B-Hs2'!J84:M84)=0,"NO",SUM('Table2(II).B-Hs2'!J19:M19,'Table2(II).B-Hs2'!J32:M32,'Table2(II).B-Hs2'!J45:M45,'Table2(II).B-Hs2'!J58:M58,'Table2(II).B-Hs2'!J71:M71,'Table2(II).B-Hs2'!J84:M84))</f>
        <v>392.80582635611421</v>
      </c>
      <c r="L27" s="2073" t="s">
        <v>199</v>
      </c>
      <c r="M27" s="2073">
        <f>IF(SUM('Table2(II).B-Hs2'!J20:M20,'Table2(II).B-Hs2'!J33:M33,'Table2(II).B-Hs2'!J46:M46,'Table2(II).B-Hs2'!J59:M59,'Table2(II).B-Hs2'!J72:M72,'Table2(II).B-Hs2'!J85:M85)=0,"NO",SUM('Table2(II).B-Hs2'!J20:M20,'Table2(II).B-Hs2'!J33:M33,'Table2(II).B-Hs2'!J46:M46,'Table2(II).B-Hs2'!J59:M59,'Table2(II).B-Hs2'!J72:M72,'Table2(II).B-Hs2'!J85:M85))</f>
        <v>32.325497017601485</v>
      </c>
      <c r="N27" s="2073" t="s">
        <v>199</v>
      </c>
      <c r="O27" s="4431">
        <f>IF(SUM('Table2(II).B-Hs2'!J21:M21,'Table2(II).B-Hs2'!J34:M34,'Table2(II).B-Hs2'!J47:M47,'Table2(II).B-Hs2'!J60:M60,'Table2(II).B-Hs2'!J73:M73,'Table2(II).B-Hs2'!J86:M86)=0,"NO",SUM('Table2(II).B-Hs2'!J21:M21,'Table2(II).B-Hs2'!J34:M34,'Table2(II).B-Hs2'!J47:M47,'Table2(II).B-Hs2'!J60:M60,'Table2(II).B-Hs2'!J73:M73,'Table2(II).B-Hs2'!J86:M86))</f>
        <v>25.252632340538714</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4.3221959642230345</v>
      </c>
      <c r="S27" s="2073" t="s">
        <v>199</v>
      </c>
      <c r="T27" s="2073">
        <f>IF(SUM('Table2(II).B-Hs2'!J23:M23,'Table2(II).B-Hs2'!J36:M36,'Table2(II).B-Hs2'!J49:M49,'Table2(II).B-Hs2'!J62:M62,'Table2(II).B-Hs2'!J75:M75,'Table2(II).B-Hs2'!J88:M88)=0,"NO",SUM('Table2(II).B-Hs2'!J23:M23,'Table2(II).B-Hs2'!J36:M36,'Table2(II).B-Hs2'!J49:M49,'Table2(II).B-Hs2'!J62:M62,'Table2(II).B-Hs2'!J75:M75,'Table2(II).B-Hs2'!J88:M88))</f>
        <v>21.733571357849719</v>
      </c>
      <c r="U27" s="2073">
        <f>IF(SUM('Table2(II).B-Hs2'!J24:M24,'Table2(II).B-Hs2'!J37:M37,'Table2(II).B-Hs2'!J50:M50,'Table2(II).B-Hs2'!J63:M63,'Table2(II).B-Hs2'!J76:M76,'Table2(II).B-Hs2'!J89:M89)=0,"NO",SUM('Table2(II).B-Hs2'!J24:M24,'Table2(II).B-Hs2'!J37:M37,'Table2(II).B-Hs2'!J50:M50,'Table2(II).B-Hs2'!J63:M63,'Table2(II).B-Hs2'!J76:M76,'Table2(II).B-Hs2'!J89:M89))</f>
        <v>42.824719159905214</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0.50782759633443086</v>
      </c>
      <c r="D28" s="4431">
        <f>IF(SUM('Table2(II).B-Hs2'!J93:M93,'Table2(II).B-Hs2'!J106:M106)=0,"NO",SUM('Table2(II).B-Hs2'!J93:M93,'Table2(II).B-Hs2'!J106:M106))</f>
        <v>1.5157414270929961</v>
      </c>
      <c r="E28" s="2073" t="s">
        <v>199</v>
      </c>
      <c r="F28" s="2073" t="str">
        <f>IF(SUM('Table2(II).B-Hs2'!J94:M94,'Table2(II).B-Hs2'!J107:M107)=0,"NO",SUM('Table2(II).B-Hs2'!J94:M94,'Table2(II).B-Hs2'!J107:M107))</f>
        <v>NO</v>
      </c>
      <c r="G28" s="4431">
        <f>IF(SUM('Table2(II).B-Hs2'!J95:M95,'Table2(II).B-Hs2'!J108:M108)=0,"NO",SUM('Table2(II).B-Hs2'!J95:M95,'Table2(II).B-Hs2'!J108:M108))</f>
        <v>6.2182836637058063</v>
      </c>
      <c r="H28" s="4431">
        <f>IF(SUM('Table2(II).B-Hs2'!J96:M96,'Table2(II).B-Hs2'!J109:M109)=0,"NO",SUM('Table2(II).B-Hs2'!J96:M96,'Table2(II).B-Hs2'!J109:M109))</f>
        <v>1.1200076254409096E-2</v>
      </c>
      <c r="I28" s="4431">
        <f>IF(SUM('Table2(II).B-Hs2'!J97:M97,'Table2(II).B-Hs2'!J110:M110)=0,"NO",SUM('Table2(II).B-Hs2'!J97:M97,'Table2(II).B-Hs2'!J110:M110))</f>
        <v>19.243172952621158</v>
      </c>
      <c r="J28" s="4431" t="s">
        <v>199</v>
      </c>
      <c r="K28" s="4431">
        <f>IF(SUM('Table2(II).B-Hs2'!J98:M98,'Table2(II).B-Hs2'!J111:M111)=0,"NO",SUM('Table2(II).B-Hs2'!J98:M98,'Table2(II).B-Hs2'!J111:M111))</f>
        <v>5.5684126087826211</v>
      </c>
      <c r="L28" s="2073" t="s">
        <v>199</v>
      </c>
      <c r="M28" s="2073">
        <f>IF(SUM('Table2(II).B-Hs2'!J99:M99,'Table2(II).B-Hs2'!J112:M112)=0,"NO",SUM('Table2(II).B-Hs2'!J99:M99,'Table2(II).B-Hs2'!J112:M112))</f>
        <v>0.45824601648039004</v>
      </c>
      <c r="N28" s="2073" t="s">
        <v>199</v>
      </c>
      <c r="O28" s="4431">
        <f>IF(SUM('Table2(II).B-Hs2'!J100:M100,'Table2(II).B-Hs2'!J113:M113)=0,"NO",SUM('Table2(II).B-Hs2'!J100:M100,'Table2(II).B-Hs2'!J113:M113))</f>
        <v>0.35798113697663286</v>
      </c>
      <c r="P28" s="2073" t="s">
        <v>199</v>
      </c>
      <c r="Q28" s="2073" t="s">
        <v>199</v>
      </c>
      <c r="R28" s="2073">
        <f>IF(SUM('Table2(II).B-Hs2'!J101:M101,'Table2(II).B-Hs2'!J114:M114)=0,"NO",SUM('Table2(II).B-Hs2'!J101:M101,'Table2(II).B-Hs2'!J114:M114))</f>
        <v>6.1271419337322344E-2</v>
      </c>
      <c r="S28" s="2073" t="s">
        <v>199</v>
      </c>
      <c r="T28" s="2073">
        <f>IF(SUM('Table2(II).B-Hs2'!J102:M102,'Table2(II).B-Hs2'!J115:M115)=0,"NO",SUM('Table2(II).B-Hs2'!J102:M102,'Table2(II).B-Hs2'!J115:M115))</f>
        <v>0.3080949534419844</v>
      </c>
      <c r="U28" s="2073">
        <f>IF(SUM('Table2(II).B-Hs2'!J103:M103,'Table2(II).B-Hs2'!J116:M116)=0,"NO",SUM('Table2(II).B-Hs2'!J103:M103,'Table2(II).B-Hs2'!J116:M116))</f>
        <v>0.60708291511287327</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0.25020935226586882</v>
      </c>
      <c r="D29" s="4431">
        <f>IF(SUM('Table2(II).B-Hs2'!J119:M119)=0,"NO",SUM('Table2(II).B-Hs2'!J119:M119))</f>
        <v>0.74681384669320838</v>
      </c>
      <c r="E29" s="2073" t="s">
        <v>199</v>
      </c>
      <c r="F29" s="2073" t="str">
        <f>IF(SUM('Table2(II).B-Hs2'!J120:M120)=0,"NO",SUM('Table2(II).B-Hs2'!J120:M120))</f>
        <v>NO</v>
      </c>
      <c r="G29" s="4431">
        <f>IF(SUM('Table2(II).B-Hs2'!J121:M121)=0,"NO",SUM('Table2(II).B-Hs2'!J121:M121))</f>
        <v>3.0637813677944359</v>
      </c>
      <c r="H29" s="4431">
        <f>IF(SUM('Table2(II).B-Hs2'!J122:M122)=0,"NO",SUM('Table2(II).B-Hs2'!J122:M122))</f>
        <v>5.5183370206185797E-3</v>
      </c>
      <c r="I29" s="4431">
        <f>IF(SUM('Table2(II).B-Hs2'!J123:M123)=0,"NO",SUM('Table2(II).B-Hs2'!J123:M123))</f>
        <v>9.4812134566326627</v>
      </c>
      <c r="J29" s="4431" t="s">
        <v>199</v>
      </c>
      <c r="K29" s="4431">
        <f>IF(SUM('Table2(II).B-Hs2'!J124:M124)=0,"NO",SUM('Table2(II).B-Hs2'!J124:M124))</f>
        <v>2.7435864495143676</v>
      </c>
      <c r="L29" s="2073" t="s">
        <v>199</v>
      </c>
      <c r="M29" s="2073">
        <f>IF(SUM('Table2(II).B-Hs2'!J125:M125)=0,"NO",SUM('Table2(II).B-Hs2'!J125:M125))</f>
        <v>0.22578024469246288</v>
      </c>
      <c r="N29" s="2073" t="s">
        <v>199</v>
      </c>
      <c r="O29" s="4431">
        <f>IF(SUM('Table2(II).B-Hs2'!J126:M126)=0,"NO",SUM('Table2(II).B-Hs2'!J126:M126))</f>
        <v>0.17637920635438634</v>
      </c>
      <c r="P29" s="2073" t="s">
        <v>199</v>
      </c>
      <c r="Q29" s="2073" t="s">
        <v>199</v>
      </c>
      <c r="R29" s="2073">
        <f>IF(SUM('Table2(II).B-Hs2'!J127:M127)=0,"NO",SUM('Table2(II).B-Hs2'!J127:M127))</f>
        <v>3.0188753536556139E-2</v>
      </c>
      <c r="S29" s="2073" t="s">
        <v>199</v>
      </c>
      <c r="T29" s="2073">
        <f>IF(SUM('Table2(II).B-Hs2'!J128:M128)=0,"NO",SUM('Table2(II).B-Hs2'!J128:M128))</f>
        <v>0.15180001893070677</v>
      </c>
      <c r="U29" s="2073">
        <f>IF(SUM('Table2(II).B-Hs2'!J129:M129)=0,"NO",SUM('Table2(II).B-Hs2'!J129:M129))</f>
        <v>0.29911297467582848</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1.1060103027472326</v>
      </c>
      <c r="D30" s="4431">
        <f>IF(SUM('Table2(II).B-Hs2'!J133:M133)=0,"NO",SUM('Table2(II).B-Hs2'!J133:M133))</f>
        <v>3.3011708043562753</v>
      </c>
      <c r="E30" s="2073" t="s">
        <v>199</v>
      </c>
      <c r="F30" s="2073" t="str">
        <f>IF(SUM('Table2(II).B-Hs2'!J134:M134)=0,"NO",SUM('Table2(II).B-Hs2'!J134:M134))</f>
        <v>NO</v>
      </c>
      <c r="G30" s="4431">
        <f>IF(SUM('Table2(II).B-Hs2'!J135:M135)=0,"NO",SUM('Table2(II).B-Hs2'!J135:M135))</f>
        <v>13.54295404012319</v>
      </c>
      <c r="H30" s="4431">
        <f>IF(SUM('Table2(II).B-Hs2'!J136:M136)=0,"NO",SUM('Table2(II).B-Hs2'!J136:M136))</f>
        <v>2.4392923540085341E-2</v>
      </c>
      <c r="I30" s="4431">
        <f>IF(SUM('Table2(II).B-Hs2'!J137:M137)=0,"NO",SUM('Table2(II).B-Hs2'!J137:M137))</f>
        <v>41.910183095149925</v>
      </c>
      <c r="J30" s="4431" t="s">
        <v>199</v>
      </c>
      <c r="K30" s="4431">
        <f>IF(SUM('Table2(II).B-Hs2'!J138:M138)=0,"NO",SUM('Table2(II).B-Hs2'!J138:M138))</f>
        <v>12.12758376999531</v>
      </c>
      <c r="L30" s="2073" t="s">
        <v>199</v>
      </c>
      <c r="M30" s="2073">
        <f>IF(SUM('Table2(II).B-Hs2'!J139:M139)=0,"NO",SUM('Table2(II).B-Hs2'!J139:M139))</f>
        <v>0.99802535167155226</v>
      </c>
      <c r="N30" s="2073" t="s">
        <v>199</v>
      </c>
      <c r="O30" s="4431">
        <f>IF(SUM('Table2(II).B-Hs2'!J140:M140)=0,"NO",SUM('Table2(II).B-Hs2'!J140:M140))</f>
        <v>0.77965598668368397</v>
      </c>
      <c r="P30" s="2073" t="s">
        <v>199</v>
      </c>
      <c r="Q30" s="2073" t="s">
        <v>199</v>
      </c>
      <c r="R30" s="2073">
        <f>IF(SUM('Table2(II).B-Hs2'!J141:M141)=0,"NO",SUM('Table2(II).B-Hs2'!J141:M141))</f>
        <v>0.13344454208509876</v>
      </c>
      <c r="S30" s="2073" t="s">
        <v>199</v>
      </c>
      <c r="T30" s="2073">
        <f>IF(SUM('Table2(II).B-Hs2'!J142:M142)=0,"NO",SUM('Table2(II).B-Hs2'!J142:M142))</f>
        <v>0.67100763170589495</v>
      </c>
      <c r="U30" s="2073">
        <f>IF(SUM('Table2(II).B-Hs2'!J143:M143)=0,"NO",SUM('Table2(II).B-Hs2'!J143:M143))</f>
        <v>1.3221809204210389</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0.67461223120762892</v>
      </c>
      <c r="D31" s="4431">
        <f>IF(SUM('Table2(II).B-Hs2'!J148:M148)=0,"NO",SUM('Table2(II).B-Hs2'!J148:M148))</f>
        <v>2.0135528542478962</v>
      </c>
      <c r="E31" s="2073" t="s">
        <v>199</v>
      </c>
      <c r="F31" s="2073" t="str">
        <f>IF(SUM('Table2(II).B-Hs2'!J149:M149)=0,"NO",SUM('Table2(II).B-Hs2'!J149:M149))</f>
        <v>NO</v>
      </c>
      <c r="G31" s="4431">
        <f>IF(SUM('Table2(II).B-Hs2'!J150:M150)=0,"NO",SUM('Table2(II).B-Hs2'!J150:M150))</f>
        <v>8.2605400867028571</v>
      </c>
      <c r="H31" s="4431">
        <f>IF(SUM('Table2(II).B-Hs2'!J151:M151)=0,"NO",SUM('Table2(II).B-Hs2'!J151:M151))</f>
        <v>1.4878491216744897E-2</v>
      </c>
      <c r="I31" s="4431">
        <f>IF(SUM('Table2(II).B-Hs2'!J152:M152)=0,"NO",SUM('Table2(II).B-Hs2'!J152:M152))</f>
        <v>25.563163433388805</v>
      </c>
      <c r="J31" s="4431" t="s">
        <v>199</v>
      </c>
      <c r="K31" s="4431">
        <f>IF(SUM('Table2(II).B-Hs2'!J153:M153)=0,"NO",SUM('Table2(II).B-Hs2'!J153:M153))</f>
        <v>7.3972333945823516</v>
      </c>
      <c r="L31" s="2073" t="s">
        <v>199</v>
      </c>
      <c r="M31" s="2073">
        <f>IF(SUM('Table2(II).B-Hs2'!J154:M154)=0,"NO",SUM('Table2(II).B-Hs2'!J154:M154))</f>
        <v>0.60874668854399983</v>
      </c>
      <c r="N31" s="2073" t="s">
        <v>199</v>
      </c>
      <c r="O31" s="4431">
        <f>IF(SUM('Table2(II).B-Hs2'!J155:M155)=0,"NO",SUM('Table2(II).B-Hs2'!J155:M155))</f>
        <v>0.47555204815417484</v>
      </c>
      <c r="P31" s="2073" t="s">
        <v>199</v>
      </c>
      <c r="Q31" s="2073" t="s">
        <v>199</v>
      </c>
      <c r="R31" s="2073">
        <f>IF(SUM('Table2(II).B-Hs2'!J156:M156)=0,"NO",SUM('Table2(II).B-Hs2'!J156:M156))</f>
        <v>8.1394648905981068E-2</v>
      </c>
      <c r="S31" s="2073" t="s">
        <v>199</v>
      </c>
      <c r="T31" s="2073">
        <f>IF(SUM('Table2(II).B-Hs2'!J157:M157)=0,"NO",SUM('Table2(II).B-Hs2'!J157:M157))</f>
        <v>0.40928186153245433</v>
      </c>
      <c r="U31" s="2073">
        <f>IF(SUM('Table2(II).B-Hs2'!J158:M158)=0,"NO",SUM('Table2(II).B-Hs2'!J158:M158))</f>
        <v>0.80646574319411335</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6.4470614816006035</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5.6966393514970672</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0.75042213010353631</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475.68545438258423</v>
      </c>
      <c r="D39" s="4183">
        <f t="shared" ref="D39:AK39" si="72">IF(SUM(D40:D45)=0,"NO",SUM(D40:D45))</f>
        <v>77.516771807667041</v>
      </c>
      <c r="E39" s="4183" t="str">
        <f t="shared" si="72"/>
        <v>NO</v>
      </c>
      <c r="F39" s="4183" t="str">
        <f t="shared" si="72"/>
        <v>NO</v>
      </c>
      <c r="G39" s="4183">
        <f t="shared" si="72"/>
        <v>1489.0582283874312</v>
      </c>
      <c r="H39" s="4183">
        <f t="shared" si="72"/>
        <v>0.9475909211805521</v>
      </c>
      <c r="I39" s="4183">
        <f t="shared" si="72"/>
        <v>1889.7394281660718</v>
      </c>
      <c r="J39" s="4183" t="str">
        <f t="shared" si="72"/>
        <v>NO</v>
      </c>
      <c r="K39" s="4183">
        <f t="shared" si="72"/>
        <v>2019.0846843791464</v>
      </c>
      <c r="L39" s="4183" t="str">
        <f t="shared" si="72"/>
        <v>NO</v>
      </c>
      <c r="M39" s="4183">
        <f t="shared" si="72"/>
        <v>4.7770487540206048</v>
      </c>
      <c r="N39" s="4183" t="str">
        <f t="shared" si="72"/>
        <v>NO</v>
      </c>
      <c r="O39" s="4183">
        <f t="shared" si="72"/>
        <v>90.59137240767042</v>
      </c>
      <c r="P39" s="4183" t="str">
        <f t="shared" si="72"/>
        <v>NO</v>
      </c>
      <c r="Q39" s="4183" t="str">
        <f t="shared" si="72"/>
        <v>NO</v>
      </c>
      <c r="R39" s="4183">
        <f t="shared" si="72"/>
        <v>37.305672344389215</v>
      </c>
      <c r="S39" s="4183" t="str">
        <f t="shared" si="72"/>
        <v>NO</v>
      </c>
      <c r="T39" s="4183">
        <f t="shared" si="72"/>
        <v>19.968882496529332</v>
      </c>
      <c r="U39" s="4183">
        <f t="shared" si="72"/>
        <v>36.871087617500486</v>
      </c>
      <c r="V39" s="4183" t="str">
        <f t="shared" si="72"/>
        <v>NO</v>
      </c>
      <c r="W39" s="4183">
        <f t="shared" si="72"/>
        <v>6141.5462216641918</v>
      </c>
      <c r="X39" s="4183">
        <f t="shared" si="72"/>
        <v>268.16508172695654</v>
      </c>
      <c r="Y39" s="4183">
        <f t="shared" si="72"/>
        <v>54.269001554347824</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322.43408328130437</v>
      </c>
      <c r="AI39" s="4184" t="str">
        <f t="shared" si="72"/>
        <v>NO</v>
      </c>
      <c r="AJ39" s="4184">
        <f t="shared" si="72"/>
        <v>151.50594481761419</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268.16508172695654</v>
      </c>
      <c r="Y41" s="4186">
        <f>IF(SUM(Y16)=0,"NO",Y16*11100/1000)</f>
        <v>54.269001554347824</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322.43408328130437</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475.68545438258423</v>
      </c>
      <c r="D43" s="4186">
        <f>IF(SUM(D26)=0,"NO",D26*677/1000)</f>
        <v>77.516771807667041</v>
      </c>
      <c r="E43" s="4186" t="str">
        <f>IF(SUM(E26)=0,"NO",E26*116/1000)</f>
        <v>NO</v>
      </c>
      <c r="F43" s="4186" t="str">
        <f>IF(SUM(F26)=0,"NO",F26*1650/1000)</f>
        <v>NO</v>
      </c>
      <c r="G43" s="4186">
        <f>IF(SUM(G26)=0,"NO",G26*3170/1000)</f>
        <v>1489.0582283874312</v>
      </c>
      <c r="H43" s="4186">
        <f>IF(SUM(H26)=0,"NO",H26*1120/1000)</f>
        <v>0.9475909211805521</v>
      </c>
      <c r="I43" s="4186">
        <f>IF(SUM(I26)=0,"NO",I26*1300/1000)</f>
        <v>1889.7394281660718</v>
      </c>
      <c r="J43" s="4186" t="str">
        <f>IF(SUM(J26)=0,"NO",J26*328/1000)</f>
        <v>NO</v>
      </c>
      <c r="K43" s="4186">
        <f>IF(SUM(K26)=0,"NO",K26*4800/1000)</f>
        <v>2019.0846843791464</v>
      </c>
      <c r="L43" s="4186" t="str">
        <f>IF(SUM(L26)=0,"NO",L26*16/1000)</f>
        <v>NO</v>
      </c>
      <c r="M43" s="4186">
        <f>IF(SUM(M26)=0,"NO",M26*138/1000)</f>
        <v>4.7770487540206048</v>
      </c>
      <c r="N43" s="4186" t="str">
        <f>IF(SUM(N26)=0,"NO",N26*4/1000)</f>
        <v>NO</v>
      </c>
      <c r="O43" s="4186">
        <f>IF(SUM(O26)=0,"NO",O26*3350/1000)</f>
        <v>90.59137240767042</v>
      </c>
      <c r="P43" s="4186" t="str">
        <f>IF(SUM(P26)=0,"NO",P26*1210/1000)</f>
        <v>NO</v>
      </c>
      <c r="Q43" s="4186" t="str">
        <f>IF(SUM(Q26)=0,"NO",Q26*1330/1000)</f>
        <v>NO</v>
      </c>
      <c r="R43" s="4186">
        <f>IF(SUM(R26)=0,"NO",R26*8060/1000)</f>
        <v>37.305672344389215</v>
      </c>
      <c r="S43" s="4186" t="str">
        <f>IF(SUM(S26)=0,"NO",S26*716/1000)</f>
        <v>NO</v>
      </c>
      <c r="T43" s="4186">
        <f>IF(SUM(T26)=0,"NO",T26*858/1000)</f>
        <v>19.968882496529332</v>
      </c>
      <c r="U43" s="4186">
        <f>IF(SUM(U26)=0,"NO",U26*804/1000)</f>
        <v>36.871087617500486</v>
      </c>
      <c r="V43" s="4186" t="str">
        <f>IF(SUM(V26)=0,"NO",V26*1/1000)</f>
        <v>NO</v>
      </c>
      <c r="W43" s="4186">
        <f t="shared" si="73"/>
        <v>6141.5462216641918</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151.50594481761419</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52"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6408.1365207979152</v>
      </c>
      <c r="I10" s="615"/>
      <c r="J10" s="615"/>
      <c r="K10" s="3161" t="str">
        <f>IF(SUM(K11:K14)=0,"NO",SUM(K11:K14))</f>
        <v>NO</v>
      </c>
      <c r="L10" s="3161" t="str">
        <f>IF(SUM(L11:L14)=0,"NO",SUM(L11:L14))</f>
        <v>NO</v>
      </c>
      <c r="M10" s="615"/>
      <c r="N10" s="1842"/>
    </row>
    <row r="11" spans="2:14" ht="18" customHeight="1" x14ac:dyDescent="0.2">
      <c r="B11" s="286" t="s">
        <v>748</v>
      </c>
      <c r="C11" s="2126" t="s">
        <v>749</v>
      </c>
      <c r="D11" s="699">
        <v>6986.2420000000002</v>
      </c>
      <c r="E11" s="1938">
        <f>IF(SUM($D11)=0,"NA",H11/$D11)</f>
        <v>0.54807962506881391</v>
      </c>
      <c r="F11" s="615"/>
      <c r="G11" s="615"/>
      <c r="H11" s="3149">
        <v>3829.0168960000005</v>
      </c>
      <c r="I11" s="615"/>
      <c r="J11" s="615"/>
      <c r="K11" s="3149" t="s">
        <v>199</v>
      </c>
      <c r="L11" s="699" t="s">
        <v>199</v>
      </c>
      <c r="M11" s="615"/>
      <c r="N11" s="1842"/>
    </row>
    <row r="12" spans="2:14" ht="18" customHeight="1" x14ac:dyDescent="0.2">
      <c r="B12" s="286" t="s">
        <v>750</v>
      </c>
      <c r="C12" s="2127" t="s">
        <v>751</v>
      </c>
      <c r="D12" s="699">
        <v>1499.241</v>
      </c>
      <c r="E12" s="1938">
        <f>IF(SUM($D12)=0,"NA",H12/$D12)</f>
        <v>0.76847881296639176</v>
      </c>
      <c r="F12" s="615"/>
      <c r="G12" s="615"/>
      <c r="H12" s="3149">
        <v>1152.1349440305462</v>
      </c>
      <c r="I12" s="615"/>
      <c r="J12" s="615"/>
      <c r="K12" s="3149" t="s">
        <v>199</v>
      </c>
      <c r="L12" s="699" t="s">
        <v>199</v>
      </c>
      <c r="M12" s="615"/>
      <c r="N12" s="1842"/>
    </row>
    <row r="13" spans="2:14" ht="18" customHeight="1" x14ac:dyDescent="0.2">
      <c r="B13" s="286" t="s">
        <v>752</v>
      </c>
      <c r="C13" s="2127" t="s">
        <v>753</v>
      </c>
      <c r="D13" s="699">
        <v>268.94852521811595</v>
      </c>
      <c r="E13" s="1938">
        <f>IF(SUM($D13)=0,"NA",H13/$D13)</f>
        <v>0.4348634104642119</v>
      </c>
      <c r="F13" s="615"/>
      <c r="G13" s="615"/>
      <c r="H13" s="3149">
        <v>116.95587291567</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1310.028807851699</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29.503350666781337</v>
      </c>
      <c r="I15" s="615"/>
      <c r="J15" s="615"/>
      <c r="K15" s="3149" t="s">
        <v>199</v>
      </c>
      <c r="L15" s="699" t="s">
        <v>199</v>
      </c>
      <c r="M15" s="615"/>
      <c r="N15" s="1842"/>
    </row>
    <row r="16" spans="2:14" ht="18" customHeight="1" x14ac:dyDescent="0.2">
      <c r="B16" s="160" t="s">
        <v>756</v>
      </c>
      <c r="C16" s="474" t="s">
        <v>757</v>
      </c>
      <c r="D16" s="2917">
        <v>412.57667580202349</v>
      </c>
      <c r="E16" s="1938">
        <f>IF(SUM($D16)=0,"NA",H16/$D16)</f>
        <v>0.41491999999999996</v>
      </c>
      <c r="F16" s="615"/>
      <c r="G16" s="615"/>
      <c r="H16" s="3149">
        <v>171.18631432377558</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1109.3391428611421</v>
      </c>
      <c r="I18" s="615"/>
      <c r="J18" s="615"/>
      <c r="K18" s="3150" t="str">
        <f>K19</f>
        <v>NO</v>
      </c>
      <c r="L18" s="3162" t="str">
        <f>L19</f>
        <v>NO</v>
      </c>
      <c r="M18" s="615"/>
      <c r="N18" s="1842"/>
    </row>
    <row r="19" spans="2:14" ht="18" customHeight="1" x14ac:dyDescent="0.2">
      <c r="B19" s="3151" t="s">
        <v>761</v>
      </c>
      <c r="C19" s="474" t="s">
        <v>753</v>
      </c>
      <c r="D19" s="2917">
        <v>1355.7620000000002</v>
      </c>
      <c r="E19" s="1938">
        <f>IF(SUM($D19)=0,"NA",H19/$D19)</f>
        <v>0.41126706042653494</v>
      </c>
      <c r="F19" s="615"/>
      <c r="G19" s="615"/>
      <c r="H19" s="3149">
        <v>557.58025237799995</v>
      </c>
      <c r="I19" s="615"/>
      <c r="J19" s="615"/>
      <c r="K19" s="3149" t="s">
        <v>199</v>
      </c>
      <c r="L19" s="3149" t="s">
        <v>199</v>
      </c>
      <c r="M19" s="615"/>
      <c r="N19" s="1842"/>
    </row>
    <row r="20" spans="2:14" ht="18" customHeight="1" x14ac:dyDescent="0.2">
      <c r="B20" s="3152" t="s">
        <v>762</v>
      </c>
      <c r="C20" s="474" t="s">
        <v>753</v>
      </c>
      <c r="D20" s="2917">
        <v>399.89164988993707</v>
      </c>
      <c r="E20" s="1938">
        <f>IF(SUM($D20)=0,"NA",H20/$D20)</f>
        <v>0.49148083082363336</v>
      </c>
      <c r="F20" s="615"/>
      <c r="G20" s="615"/>
      <c r="H20" s="3149">
        <v>196.53908032733978</v>
      </c>
      <c r="I20" s="615"/>
      <c r="J20" s="615"/>
      <c r="K20" s="3149" t="s">
        <v>199</v>
      </c>
      <c r="L20" s="3149" t="s">
        <v>199</v>
      </c>
      <c r="M20" s="2161"/>
      <c r="N20" s="2174"/>
    </row>
    <row r="21" spans="2:14" ht="18" customHeight="1" thickBot="1" x14ac:dyDescent="0.25">
      <c r="B21" s="3152" t="s">
        <v>763</v>
      </c>
      <c r="C21" s="474" t="s">
        <v>753</v>
      </c>
      <c r="D21" s="2917">
        <v>856.54139849310002</v>
      </c>
      <c r="E21" s="1938">
        <f>IF(SUM($D21)=0,"NA",H21/$D21)</f>
        <v>0.41471411747375575</v>
      </c>
      <c r="F21" s="615"/>
      <c r="G21" s="615"/>
      <c r="H21" s="3149">
        <v>355.21981015580252</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3186.7659698427392</v>
      </c>
      <c r="I22" s="3046">
        <f>IF(SUM(I23:I26,I30,I33:I35,I47)=0,"IE",SUM(I23:I26,I30,I33:I35,I47))</f>
        <v>0.57776359999999993</v>
      </c>
      <c r="J22" s="3046">
        <f>IF(SUM(J23:J26,J30,J33:J35,J47)=0,"IE",SUM(J23:J26,J30,J33:J35,J47))</f>
        <v>10.056942740141992</v>
      </c>
      <c r="K22" s="3046">
        <f>IF(SUM(K23:K26,K30,K33:K35,K47)=0,"NO",SUM(K23:K26,K30,K33:K35,K47))</f>
        <v>-275.69531000000001</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1364.2522900000001</v>
      </c>
      <c r="E23" s="1938">
        <f>IF(SUM($D23)=0,"NA",(H23-K23)/$D23)</f>
        <v>1.4678721880016683</v>
      </c>
      <c r="F23" s="1938" t="str">
        <f>IFERROR(IF(SUM($D23)=0,"NA",I23/$D23),"NA")</f>
        <v>NA</v>
      </c>
      <c r="G23" s="1938" t="str">
        <f>IFERROR(IF(SUM($D23)=0,"NA",J23/$D23),"NA")</f>
        <v>NA</v>
      </c>
      <c r="H23" s="699">
        <v>1726.8526839085866</v>
      </c>
      <c r="I23" s="699" t="s">
        <v>199</v>
      </c>
      <c r="J23" s="699" t="s">
        <v>199</v>
      </c>
      <c r="K23" s="3149">
        <v>-275.69531000000001</v>
      </c>
      <c r="L23" s="699" t="s">
        <v>199</v>
      </c>
      <c r="M23" s="699" t="s">
        <v>199</v>
      </c>
      <c r="N23" s="2921" t="s">
        <v>199</v>
      </c>
    </row>
    <row r="24" spans="2:14" ht="18" customHeight="1" x14ac:dyDescent="0.2">
      <c r="B24" s="286" t="s">
        <v>766</v>
      </c>
      <c r="C24" s="474" t="s">
        <v>349</v>
      </c>
      <c r="D24" s="699">
        <v>1221.9144199999998</v>
      </c>
      <c r="E24" s="2135"/>
      <c r="F24" s="2135"/>
      <c r="G24" s="1938">
        <f>IF(SUM($D24)=0,"NA",J24/$D24)</f>
        <v>8.2304804457107496E-3</v>
      </c>
      <c r="H24" s="2135"/>
      <c r="I24" s="2135"/>
      <c r="J24" s="699">
        <v>10.056942740141992</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1281.891396645</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0.57776359999999993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0.57776359999999993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0.57776359999999993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0.57776359999999993</v>
      </c>
      <c r="J46" s="615"/>
      <c r="K46" s="699" t="s">
        <v>199</v>
      </c>
      <c r="L46" s="699" t="s">
        <v>199</v>
      </c>
      <c r="M46" s="699" t="s">
        <v>199</v>
      </c>
      <c r="N46" s="1842"/>
    </row>
    <row r="47" spans="2:16" ht="18" customHeight="1" x14ac:dyDescent="0.2">
      <c r="B47" s="286" t="s">
        <v>787</v>
      </c>
      <c r="C47" s="2131"/>
      <c r="D47" s="615"/>
      <c r="E47" s="615"/>
      <c r="F47" s="615"/>
      <c r="G47" s="615"/>
      <c r="H47" s="3167">
        <f>H50</f>
        <v>129.72708328915283</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129.72708328915283</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129.72708328915283</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11125.923167063165</v>
      </c>
      <c r="I52" s="3161">
        <f>IF(SUM(I53,I62:I67)=0,"IE",SUM(I53,I62:I67))</f>
        <v>2.5081451494495153</v>
      </c>
      <c r="J52" s="1934">
        <f>J67</f>
        <v>6.2512609452625476E-2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1980.4516043478261</v>
      </c>
      <c r="E63" s="4121">
        <f>IF(SUM($D63)=0,"NA",H63/$D63)</f>
        <v>1.5836064469476556</v>
      </c>
      <c r="F63" s="1917"/>
      <c r="G63" s="2134"/>
      <c r="H63" s="699">
        <v>3136.2559285130451</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7989.6672385501197</v>
      </c>
      <c r="I67" s="3168">
        <f t="shared" ref="I67:N67" si="8">IF(SUM(I69:I70)=0,I70,SUM(I69:I70))</f>
        <v>2.5081451494495153</v>
      </c>
      <c r="J67" s="3168">
        <f t="shared" si="8"/>
        <v>6.2512609452625476E-2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7989.6672385501197</v>
      </c>
      <c r="I70" s="3074">
        <f t="shared" si="9"/>
        <v>2.5081451494495153</v>
      </c>
      <c r="J70" s="3074">
        <f t="shared" si="9"/>
        <v>6.2512609452625476E-2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7989.6672385501197</v>
      </c>
      <c r="I71" s="3101">
        <v>2.5081451494495153</v>
      </c>
      <c r="J71" s="3101">
        <v>6.2512609452625476E-2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238.76239894999998</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444.07216494845363</v>
      </c>
      <c r="E73" s="4121">
        <f t="shared" ref="E73:G74" si="11">IF(SUM($D73)=0,"NA",H73/$D73)</f>
        <v>0.53766576199999994</v>
      </c>
      <c r="F73" s="276" t="s">
        <v>205</v>
      </c>
      <c r="G73" s="276" t="s">
        <v>205</v>
      </c>
      <c r="H73" s="3100">
        <v>238.76239894999998</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350.01272727272698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161.40890909572053</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161.40890909572053</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45.336321219063549</v>
      </c>
      <c r="H22" s="2628" t="str">
        <f>H23</f>
        <v>NO</v>
      </c>
    </row>
    <row r="23" spans="2:8" ht="18" customHeight="1" x14ac:dyDescent="0.2">
      <c r="B23" s="169" t="s">
        <v>857</v>
      </c>
      <c r="C23" s="2523"/>
      <c r="D23" s="76"/>
      <c r="E23" s="76"/>
      <c r="F23" s="1829"/>
      <c r="G23" s="3157">
        <f>IF(SUM(G24,G27)=0,"NO",SUM(G24,G27))</f>
        <v>45.336321219063549</v>
      </c>
      <c r="H23" s="2628" t="str">
        <f>H24</f>
        <v>NO</v>
      </c>
    </row>
    <row r="24" spans="2:8" ht="18" customHeight="1" x14ac:dyDescent="0.2">
      <c r="B24" s="171" t="s">
        <v>858</v>
      </c>
      <c r="C24" s="2523"/>
      <c r="D24" s="76"/>
      <c r="E24" s="76"/>
      <c r="F24" s="1829"/>
      <c r="G24" s="3157">
        <f>IF(SUM(G25:G26)=0,"NO",SUM(G25:G26))</f>
        <v>45.336321219063549</v>
      </c>
      <c r="H24" s="2628" t="str">
        <f>H25</f>
        <v>NO</v>
      </c>
    </row>
    <row r="25" spans="2:8" ht="18" customHeight="1" x14ac:dyDescent="0.25">
      <c r="B25" s="2626" t="s">
        <v>859</v>
      </c>
      <c r="C25" s="2638" t="s">
        <v>859</v>
      </c>
      <c r="D25" s="73" t="s">
        <v>860</v>
      </c>
      <c r="E25" s="699">
        <v>1980451.6043478262</v>
      </c>
      <c r="F25" s="4135">
        <f>IF(SUM(E25)=0,"NA",G25*1000/E25)</f>
        <v>2.0423231696819276E-2</v>
      </c>
      <c r="G25" s="699">
        <v>40.447221979933111</v>
      </c>
      <c r="H25" s="2627" t="s">
        <v>199</v>
      </c>
    </row>
    <row r="26" spans="2:8" ht="18" customHeight="1" x14ac:dyDescent="0.25">
      <c r="B26" s="2626" t="s">
        <v>861</v>
      </c>
      <c r="C26" s="2638" t="s">
        <v>861</v>
      </c>
      <c r="D26" s="73" t="s">
        <v>860</v>
      </c>
      <c r="E26" s="699">
        <v>1980451.6043478262</v>
      </c>
      <c r="F26" s="4135">
        <f>IF(SUM(E26)=0,"NA",G26*1000/E26)</f>
        <v>2.4686789762481684E-3</v>
      </c>
      <c r="G26" s="699">
        <v>4.8890992391304344</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65.314248088740868</v>
      </c>
      <c r="K10" s="3191">
        <f>IF(SUM(K11,K90,K117,K130,K146,K159)=0,"NO",SUM(K11,K90,K117,K130,K146,K159))</f>
        <v>2141.1431007402662</v>
      </c>
      <c r="L10" s="3192">
        <f>IF(SUM(L11,L90,L117,L130,L146,L159)=0,"NO",SUM(L11,L90,L117,L130,L146,L159))</f>
        <v>641.01402206339878</v>
      </c>
      <c r="M10" s="3462">
        <f>IF(SUM(M11,M90,M117,M130,M146,M159)=0,"NO",SUM(M11,M90,M117,M130,M146,M159))</f>
        <v>-214.32005352935113</v>
      </c>
    </row>
    <row r="11" spans="1:13" ht="18" customHeight="1" x14ac:dyDescent="0.2">
      <c r="B11" s="147" t="s">
        <v>888</v>
      </c>
      <c r="C11" s="2524"/>
      <c r="D11" s="150"/>
      <c r="E11" s="150"/>
      <c r="F11" s="150"/>
      <c r="G11" s="150"/>
      <c r="H11" s="150"/>
      <c r="I11" s="150"/>
      <c r="J11" s="3081">
        <f>IF(SUM(J12,J25,J38,J51,J64,J77)=0,"NO",SUM(J12,J25,J38,J51,J64,J77))</f>
        <v>34.539342172036235</v>
      </c>
      <c r="K11" s="3081">
        <f t="shared" ref="K11:M11" si="0">IF(SUM(K12,K25,K38,K51,K64,K77)=0,"NO",SUM(K12,K25,K38,K51,K64,K77))</f>
        <v>2014.8361738721333</v>
      </c>
      <c r="L11" s="3081">
        <f t="shared" si="0"/>
        <v>617.0889713969317</v>
      </c>
      <c r="M11" s="3193">
        <f t="shared" si="0"/>
        <v>-207.56689970245466</v>
      </c>
    </row>
    <row r="12" spans="1:13" ht="18" customHeight="1" x14ac:dyDescent="0.2">
      <c r="B12" s="104" t="s">
        <v>889</v>
      </c>
      <c r="C12" s="2524"/>
      <c r="D12" s="150"/>
      <c r="E12" s="150"/>
      <c r="F12" s="150"/>
      <c r="G12" s="150"/>
      <c r="H12" s="150"/>
      <c r="I12" s="150"/>
      <c r="J12" s="3081">
        <f>IF(SUM(J13:J24)=0,"NO",SUM(J13:J24))</f>
        <v>25.663833122289251</v>
      </c>
      <c r="K12" s="3081">
        <f>IF(SUM(K13:K24)=0,"NO",SUM(K13:K24))</f>
        <v>1174.0728200888084</v>
      </c>
      <c r="L12" s="3081">
        <f>IF(SUM(L13:L24)=0,"NO",SUM(L13:L24))</f>
        <v>195.0661857607638</v>
      </c>
      <c r="M12" s="3193">
        <f>IF(SUM(M13:M24)=0,"NO",SUM(M13:M24))</f>
        <v>-53.291407631326294</v>
      </c>
    </row>
    <row r="13" spans="1:13" ht="18" customHeight="1" x14ac:dyDescent="0.2">
      <c r="B13" s="2634" t="s">
        <v>671</v>
      </c>
      <c r="C13" s="2636" t="s">
        <v>671</v>
      </c>
      <c r="D13" s="3160">
        <v>21.365144937965024</v>
      </c>
      <c r="E13" s="3160">
        <v>122.92490322802408</v>
      </c>
      <c r="F13" s="3160">
        <v>3.6245102832589193</v>
      </c>
      <c r="G13" s="3668">
        <f>IF(SUM(D13)=0,"NA",J13/D13)</f>
        <v>1.7500000000000002E-2</v>
      </c>
      <c r="H13" s="3081">
        <f>IF(SUM(E13)=0,"NA",K13/E13)</f>
        <v>0.13914817943079116</v>
      </c>
      <c r="I13" s="3081">
        <f>IF(SUM(F13)=0,"NA",L13/F13)</f>
        <v>0.78493251652972107</v>
      </c>
      <c r="J13" s="3194">
        <v>0.37389003641438795</v>
      </c>
      <c r="K13" s="3194">
        <v>17.104776490885733</v>
      </c>
      <c r="L13" s="3194">
        <v>2.8449959778262759</v>
      </c>
      <c r="M13" s="3460">
        <v>-0.77951430543264433</v>
      </c>
    </row>
    <row r="14" spans="1:13" ht="18" customHeight="1" x14ac:dyDescent="0.2">
      <c r="B14" s="2634" t="s">
        <v>672</v>
      </c>
      <c r="C14" s="2636" t="s">
        <v>672</v>
      </c>
      <c r="D14" s="3160">
        <v>63.76974294440123</v>
      </c>
      <c r="E14" s="3160">
        <v>366.90083325328135</v>
      </c>
      <c r="F14" s="3160">
        <v>10.818278543575145</v>
      </c>
      <c r="G14" s="3668">
        <f t="shared" ref="G14:G24" si="1">IF(SUM(D14)=0,"NA",J14/D14)</f>
        <v>1.7500000000000002E-2</v>
      </c>
      <c r="H14" s="3081">
        <f t="shared" ref="H14:H24" si="2">IF(SUM(E14)=0,"NA",K14/E14)</f>
        <v>0.13914817943079116</v>
      </c>
      <c r="I14" s="3081">
        <f t="shared" ref="I14:I24" si="3">IF(SUM(F14)=0,"NA",L14/F14)</f>
        <v>0.78493251652972018</v>
      </c>
      <c r="J14" s="3194">
        <v>1.1159705015270216</v>
      </c>
      <c r="K14" s="3194">
        <v>51.053582978834385</v>
      </c>
      <c r="L14" s="3194">
        <v>8.4916186017279145</v>
      </c>
      <c r="M14" s="3460">
        <v>-2.3266599418472231</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261.61345444677863</v>
      </c>
      <c r="E16" s="3160">
        <v>1505.1996447669499</v>
      </c>
      <c r="F16" s="3160">
        <v>44.381662686326408</v>
      </c>
      <c r="G16" s="3668">
        <f t="shared" si="1"/>
        <v>1.7500000000000002E-2</v>
      </c>
      <c r="H16" s="3081">
        <f t="shared" si="2"/>
        <v>0.13914817943079114</v>
      </c>
      <c r="I16" s="3081">
        <f t="shared" si="3"/>
        <v>0.78493251652972174</v>
      </c>
      <c r="J16" s="3194">
        <v>4.5782354528186264</v>
      </c>
      <c r="K16" s="3194">
        <v>209.44579024919463</v>
      </c>
      <c r="L16" s="3194">
        <v>34.836610180151439</v>
      </c>
      <c r="M16" s="3460">
        <v>-9.5450525061750096</v>
      </c>
    </row>
    <row r="17" spans="2:13" ht="18" customHeight="1" x14ac:dyDescent="0.2">
      <c r="B17" s="2634" t="s">
        <v>676</v>
      </c>
      <c r="C17" s="2636" t="s">
        <v>676</v>
      </c>
      <c r="D17" s="3160">
        <v>0.47120568913337479</v>
      </c>
      <c r="E17" s="3160">
        <v>2.7110938823676198</v>
      </c>
      <c r="F17" s="3160">
        <v>7.9938136191117948E-2</v>
      </c>
      <c r="G17" s="3668">
        <f t="shared" si="1"/>
        <v>1.7500000000000002E-2</v>
      </c>
      <c r="H17" s="3081">
        <f t="shared" si="2"/>
        <v>0.13914817943079116</v>
      </c>
      <c r="I17" s="3081">
        <f t="shared" si="3"/>
        <v>0.78493251652972174</v>
      </c>
      <c r="J17" s="3194">
        <v>8.2460995598340591E-3</v>
      </c>
      <c r="K17" s="3194">
        <v>0.37724377799740977</v>
      </c>
      <c r="L17" s="3194">
        <v>6.2746042407189839E-2</v>
      </c>
      <c r="M17" s="3460">
        <v>-1.7192093783928185E-2</v>
      </c>
    </row>
    <row r="18" spans="2:13" ht="18" customHeight="1" x14ac:dyDescent="0.2">
      <c r="B18" s="2634" t="s">
        <v>677</v>
      </c>
      <c r="C18" s="2636" t="s">
        <v>677</v>
      </c>
      <c r="D18" s="3160">
        <v>809.59203904375227</v>
      </c>
      <c r="E18" s="3160">
        <v>4658.0083281714851</v>
      </c>
      <c r="F18" s="3160">
        <v>137.34400956692636</v>
      </c>
      <c r="G18" s="3668">
        <f t="shared" si="1"/>
        <v>1.7500000000000002E-2</v>
      </c>
      <c r="H18" s="3081">
        <f t="shared" si="2"/>
        <v>0.13914817943079114</v>
      </c>
      <c r="I18" s="3081">
        <f t="shared" si="3"/>
        <v>0.78493251652972262</v>
      </c>
      <c r="J18" s="3194">
        <v>14.167860683265666</v>
      </c>
      <c r="K18" s="3194">
        <v>648.15337863852528</v>
      </c>
      <c r="L18" s="3194">
        <v>107.80577905964981</v>
      </c>
      <c r="M18" s="3460">
        <v>-29.538230507276786</v>
      </c>
    </row>
    <row r="19" spans="2:13" ht="18" customHeight="1" x14ac:dyDescent="0.2">
      <c r="B19" s="2634" t="s">
        <v>679</v>
      </c>
      <c r="C19" s="2636" t="s">
        <v>679</v>
      </c>
      <c r="D19" s="3160">
        <v>234.27230682179146</v>
      </c>
      <c r="E19" s="3160">
        <v>1347.8916585256552</v>
      </c>
      <c r="F19" s="3160">
        <v>39.743347757473643</v>
      </c>
      <c r="G19" s="3668">
        <f t="shared" si="1"/>
        <v>1.7499999999999998E-2</v>
      </c>
      <c r="H19" s="3081">
        <f t="shared" si="2"/>
        <v>0.13914817943079116</v>
      </c>
      <c r="I19" s="3081">
        <f t="shared" si="3"/>
        <v>0.78493251652972096</v>
      </c>
      <c r="J19" s="3194">
        <v>4.0997653693813501</v>
      </c>
      <c r="K19" s="3194">
        <v>187.55667035379454</v>
      </c>
      <c r="L19" s="3194">
        <v>31.19584597058963</v>
      </c>
      <c r="M19" s="3460">
        <v>-8.547501786884018</v>
      </c>
    </row>
    <row r="20" spans="2:13" ht="18" customHeight="1" x14ac:dyDescent="0.2">
      <c r="B20" s="2634" t="s">
        <v>681</v>
      </c>
      <c r="C20" s="2636" t="s">
        <v>681</v>
      </c>
      <c r="D20" s="3160">
        <v>19.279166059540202</v>
      </c>
      <c r="E20" s="3160">
        <v>110.92317084986327</v>
      </c>
      <c r="F20" s="3160">
        <v>3.2706324173486019</v>
      </c>
      <c r="G20" s="3668">
        <f t="shared" si="1"/>
        <v>1.7500000000000002E-2</v>
      </c>
      <c r="H20" s="3081">
        <f t="shared" si="2"/>
        <v>0.13914817943079116</v>
      </c>
      <c r="I20" s="3081">
        <f t="shared" si="3"/>
        <v>0.76305057452484704</v>
      </c>
      <c r="J20" s="3194">
        <v>0.33738540604195355</v>
      </c>
      <c r="K20" s="3194">
        <v>15.434757280449077</v>
      </c>
      <c r="L20" s="3194">
        <v>2.4956579451174399</v>
      </c>
      <c r="M20" s="3460">
        <v>-0.63183889447979458</v>
      </c>
    </row>
    <row r="21" spans="2:13" ht="18" customHeight="1" x14ac:dyDescent="0.2">
      <c r="B21" s="2634" t="s">
        <v>683</v>
      </c>
      <c r="C21" s="2636" t="s">
        <v>683</v>
      </c>
      <c r="D21" s="3160">
        <v>15.06085713295198</v>
      </c>
      <c r="E21" s="3160">
        <v>86.653023462969088</v>
      </c>
      <c r="F21" s="3160">
        <v>2.5550133973618285</v>
      </c>
      <c r="G21" s="3668">
        <f t="shared" si="1"/>
        <v>1.7500000000000002E-2</v>
      </c>
      <c r="H21" s="3081">
        <f t="shared" si="2"/>
        <v>0.13914817943079116</v>
      </c>
      <c r="I21" s="3081">
        <f t="shared" si="3"/>
        <v>0.78493251652972118</v>
      </c>
      <c r="J21" s="3194">
        <v>0.26356499982665971</v>
      </c>
      <c r="K21" s="3194">
        <v>12.057610457045779</v>
      </c>
      <c r="L21" s="3194">
        <v>2.0055130957583724</v>
      </c>
      <c r="M21" s="3460">
        <v>-0.54950030160345675</v>
      </c>
    </row>
    <row r="22" spans="2:13" ht="18" customHeight="1" x14ac:dyDescent="0.2">
      <c r="B22" s="2634" t="s">
        <v>686</v>
      </c>
      <c r="C22" s="2636" t="s">
        <v>686</v>
      </c>
      <c r="D22" s="3160">
        <v>2.5777897147492395</v>
      </c>
      <c r="E22" s="3160">
        <v>12.639861694400796</v>
      </c>
      <c r="F22" s="3160">
        <v>0.4373115818458666</v>
      </c>
      <c r="G22" s="3668">
        <f t="shared" si="1"/>
        <v>1.7500000000000005E-2</v>
      </c>
      <c r="H22" s="3081">
        <f t="shared" si="2"/>
        <v>0.16327388434026624</v>
      </c>
      <c r="I22" s="3081">
        <f t="shared" si="3"/>
        <v>0.78493251652971963</v>
      </c>
      <c r="J22" s="3194">
        <v>4.5111320008111702E-2</v>
      </c>
      <c r="K22" s="3194">
        <v>2.0637593163685573</v>
      </c>
      <c r="L22" s="3194">
        <v>0.34326008044586853</v>
      </c>
      <c r="M22" s="3460">
        <v>-9.4051501399997545E-2</v>
      </c>
    </row>
    <row r="23" spans="2:13" ht="18" customHeight="1" x14ac:dyDescent="0.2">
      <c r="B23" s="2634" t="s">
        <v>688</v>
      </c>
      <c r="C23" s="2636" t="s">
        <v>688</v>
      </c>
      <c r="D23" s="3160">
        <v>12.962063075061145</v>
      </c>
      <c r="E23" s="3160">
        <v>74.577558624753195</v>
      </c>
      <c r="F23" s="3160">
        <v>2.1989614881725523</v>
      </c>
      <c r="G23" s="3668">
        <f t="shared" si="1"/>
        <v>1.7500000000000002E-2</v>
      </c>
      <c r="H23" s="3081">
        <f t="shared" si="2"/>
        <v>0.13914817943079114</v>
      </c>
      <c r="I23" s="3081">
        <f t="shared" si="3"/>
        <v>0.76305057452484759</v>
      </c>
      <c r="J23" s="3194">
        <v>0.22683610381357006</v>
      </c>
      <c r="K23" s="3194">
        <v>10.377331509027503</v>
      </c>
      <c r="L23" s="3194">
        <v>1.6779188269080798</v>
      </c>
      <c r="M23" s="3460">
        <v>-0.42480756575418632</v>
      </c>
    </row>
    <row r="24" spans="2:13" ht="18" customHeight="1" x14ac:dyDescent="0.2">
      <c r="B24" s="2634" t="s">
        <v>689</v>
      </c>
      <c r="C24" s="2636" t="s">
        <v>689</v>
      </c>
      <c r="D24" s="3160">
        <v>25.540979978975315</v>
      </c>
      <c r="E24" s="3160">
        <v>146.95067603709325</v>
      </c>
      <c r="F24" s="3160">
        <v>4.3329237806295726</v>
      </c>
      <c r="G24" s="3668">
        <f t="shared" si="1"/>
        <v>1.7500000000000002E-2</v>
      </c>
      <c r="H24" s="3081">
        <f t="shared" si="2"/>
        <v>0.13914817943079114</v>
      </c>
      <c r="I24" s="3081">
        <f t="shared" si="3"/>
        <v>0.76305057452484559</v>
      </c>
      <c r="J24" s="3194">
        <v>0.44696714963206802</v>
      </c>
      <c r="K24" s="3194">
        <v>20.447919036685512</v>
      </c>
      <c r="L24" s="3194">
        <v>3.3062399801817612</v>
      </c>
      <c r="M24" s="3460">
        <v>-0.83705822668925178</v>
      </c>
    </row>
    <row r="25" spans="2:13" ht="18" customHeight="1" x14ac:dyDescent="0.2">
      <c r="B25" s="105" t="s">
        <v>890</v>
      </c>
      <c r="C25" s="2524"/>
      <c r="D25" s="150"/>
      <c r="E25" s="150"/>
      <c r="F25" s="150"/>
      <c r="G25" s="3669"/>
      <c r="H25" s="2135"/>
      <c r="I25" s="2135"/>
      <c r="J25" s="3081">
        <f>IF(SUM(J26:J37)=0,"NO",SUM(J26:J37))</f>
        <v>3.578360502959755E-2</v>
      </c>
      <c r="K25" s="3081">
        <f>IF(SUM(K26:K37)=0,"NO",SUM(K26:K37))</f>
        <v>11.726025032185925</v>
      </c>
      <c r="L25" s="3081">
        <f>IF(SUM(L26:L37)=0,"NO",SUM(L26:L37))</f>
        <v>24.192534523041886</v>
      </c>
      <c r="M25" s="3193">
        <f>IF(SUM(M26:M37)=0,"NO",SUM(M26:M37))</f>
        <v>-5.4386894761956359</v>
      </c>
    </row>
    <row r="26" spans="2:13" ht="18" customHeight="1" x14ac:dyDescent="0.2">
      <c r="B26" s="2634" t="s">
        <v>671</v>
      </c>
      <c r="C26" s="2636" t="s">
        <v>671</v>
      </c>
      <c r="D26" s="3461">
        <v>8.6887081675096151E-2</v>
      </c>
      <c r="E26" s="3461">
        <v>10.055774254092491</v>
      </c>
      <c r="F26" s="3461">
        <v>0.43168997270543163</v>
      </c>
      <c r="G26" s="3668">
        <f>IF(SUM(D26)=0,"NA",J26/D26)</f>
        <v>6.000000000000001E-3</v>
      </c>
      <c r="H26" s="3081">
        <f>IF(SUM(E26)=0,"NA",K26/E26)</f>
        <v>1.6988603141281245E-2</v>
      </c>
      <c r="I26" s="3081">
        <f>IF(SUM(F26)=0,"NA",L26/F26)</f>
        <v>0.81645410677818864</v>
      </c>
      <c r="J26" s="3194">
        <v>5.21322490050577E-4</v>
      </c>
      <c r="K26" s="3194">
        <v>0.17083355808109074</v>
      </c>
      <c r="L26" s="3194">
        <v>0.35245505107031383</v>
      </c>
      <c r="M26" s="3460">
        <v>-7.9234921635118041E-2</v>
      </c>
    </row>
    <row r="27" spans="2:13" ht="18" customHeight="1" x14ac:dyDescent="0.2">
      <c r="B27" s="2634" t="s">
        <v>672</v>
      </c>
      <c r="C27" s="2636" t="s">
        <v>672</v>
      </c>
      <c r="D27" s="3461">
        <v>0.25933673184516298</v>
      </c>
      <c r="E27" s="3461">
        <v>30.014031786459952</v>
      </c>
      <c r="F27" s="3461">
        <v>1.2884892038426305</v>
      </c>
      <c r="G27" s="3668">
        <f t="shared" ref="G27:G37" si="7">IF(SUM(D27)=0,"NA",J27/D27)</f>
        <v>6.0000000000000001E-3</v>
      </c>
      <c r="H27" s="3081">
        <f t="shared" ref="H27:H37" si="8">IF(SUM(E27)=0,"NA",K27/E27)</f>
        <v>1.6988603141281242E-2</v>
      </c>
      <c r="I27" s="3081">
        <f t="shared" ref="I27:I37" si="9">IF(SUM(F27)=0,"NA",L27/F27)</f>
        <v>0.81645410677818853</v>
      </c>
      <c r="J27" s="3194">
        <v>1.5560203910709779E-3</v>
      </c>
      <c r="K27" s="3194">
        <v>0.50989647468996857</v>
      </c>
      <c r="L27" s="3194">
        <v>1.0519923020166742</v>
      </c>
      <c r="M27" s="3460">
        <v>-0.23649690182595684</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1.063921150538488</v>
      </c>
      <c r="E29" s="3461">
        <v>123.13166362262389</v>
      </c>
      <c r="F29" s="3461">
        <v>5.2859882456879985</v>
      </c>
      <c r="G29" s="3668">
        <f t="shared" si="7"/>
        <v>6.000000000000001E-3</v>
      </c>
      <c r="H29" s="3081">
        <f t="shared" si="8"/>
        <v>1.6988603141281242E-2</v>
      </c>
      <c r="I29" s="3081">
        <f t="shared" si="9"/>
        <v>0.81645410677818842</v>
      </c>
      <c r="J29" s="3194">
        <v>6.3835269032309289E-3</v>
      </c>
      <c r="K29" s="3194">
        <v>2.0918349674104935</v>
      </c>
      <c r="L29" s="3194">
        <v>4.315766811573198</v>
      </c>
      <c r="M29" s="3460">
        <v>-0.97022143411480177</v>
      </c>
    </row>
    <row r="30" spans="2:13" ht="18" customHeight="1" x14ac:dyDescent="0.2">
      <c r="B30" s="2634" t="s">
        <v>676</v>
      </c>
      <c r="C30" s="2636" t="s">
        <v>676</v>
      </c>
      <c r="D30" s="3461">
        <v>1.9162840840246176E-3</v>
      </c>
      <c r="E30" s="3461">
        <v>0.22177888570039417</v>
      </c>
      <c r="F30" s="3461">
        <v>9.5208701682697513E-3</v>
      </c>
      <c r="G30" s="3668">
        <f t="shared" si="7"/>
        <v>6.000000000000001E-3</v>
      </c>
      <c r="H30" s="3081">
        <f t="shared" si="8"/>
        <v>1.6988603141281245E-2</v>
      </c>
      <c r="I30" s="3081">
        <f t="shared" si="9"/>
        <v>0.8164541067781883</v>
      </c>
      <c r="J30" s="3194">
        <v>1.1497704504147708E-5</v>
      </c>
      <c r="K30" s="3194">
        <v>3.7677134742795703E-3</v>
      </c>
      <c r="L30" s="3194">
        <v>7.7733535489857789E-3</v>
      </c>
      <c r="M30" s="3460">
        <v>-1.7475166192839737E-3</v>
      </c>
    </row>
    <row r="31" spans="2:13" ht="18" customHeight="1" x14ac:dyDescent="0.2">
      <c r="B31" s="2634" t="s">
        <v>677</v>
      </c>
      <c r="C31" s="2636" t="s">
        <v>677</v>
      </c>
      <c r="D31" s="3461">
        <v>3.2924227672757431</v>
      </c>
      <c r="E31" s="3461">
        <v>381.04467843174029</v>
      </c>
      <c r="F31" s="3461">
        <v>16.358080708186407</v>
      </c>
      <c r="G31" s="3668">
        <f t="shared" si="7"/>
        <v>6.0000000000000001E-3</v>
      </c>
      <c r="H31" s="3081">
        <f t="shared" si="8"/>
        <v>1.6988603141281242E-2</v>
      </c>
      <c r="I31" s="3081">
        <f t="shared" si="9"/>
        <v>0.81645410677818853</v>
      </c>
      <c r="J31" s="3194">
        <v>1.9754536603654459E-2</v>
      </c>
      <c r="K31" s="3194">
        <v>6.4734168209739638</v>
      </c>
      <c r="L31" s="3194">
        <v>13.35562217320785</v>
      </c>
      <c r="M31" s="3460">
        <v>-3.0024585349785626</v>
      </c>
    </row>
    <row r="32" spans="2:13" ht="18" customHeight="1" x14ac:dyDescent="0.2">
      <c r="B32" s="2634" t="s">
        <v>679</v>
      </c>
      <c r="C32" s="2636" t="s">
        <v>679</v>
      </c>
      <c r="D32" s="3461">
        <v>0.95273105406683767</v>
      </c>
      <c r="E32" s="3461">
        <v>110.2632085214307</v>
      </c>
      <c r="F32" s="3461">
        <v>4.7335511194135771</v>
      </c>
      <c r="G32" s="3668">
        <f t="shared" si="7"/>
        <v>6.000000000000001E-3</v>
      </c>
      <c r="H32" s="3081">
        <f t="shared" si="8"/>
        <v>1.6988603141281242E-2</v>
      </c>
      <c r="I32" s="3081">
        <f t="shared" si="9"/>
        <v>0.81645410677818842</v>
      </c>
      <c r="J32" s="3194">
        <v>5.7163863244010273E-3</v>
      </c>
      <c r="K32" s="3194">
        <v>1.8732178906549262</v>
      </c>
      <c r="L32" s="3194">
        <v>3.8647272510897062</v>
      </c>
      <c r="M32" s="3460">
        <v>-0.86882386832387237</v>
      </c>
    </row>
    <row r="33" spans="2:13" ht="18" customHeight="1" x14ac:dyDescent="0.2">
      <c r="B33" s="2634" t="s">
        <v>681</v>
      </c>
      <c r="C33" s="2636" t="s">
        <v>681</v>
      </c>
      <c r="D33" s="3461">
        <v>7.8403890116673425E-2</v>
      </c>
      <c r="E33" s="3461">
        <v>9.0739820518326653</v>
      </c>
      <c r="F33" s="3461">
        <v>0.38954206461934271</v>
      </c>
      <c r="G33" s="3668">
        <f t="shared" si="7"/>
        <v>6.0000000000000001E-3</v>
      </c>
      <c r="H33" s="3081">
        <f t="shared" si="8"/>
        <v>1.6988603141281242E-2</v>
      </c>
      <c r="I33" s="3081">
        <f t="shared" si="9"/>
        <v>0.81645410677818819</v>
      </c>
      <c r="J33" s="3194">
        <v>4.7042334070004059E-4</v>
      </c>
      <c r="K33" s="3194">
        <v>0.15415427998969403</v>
      </c>
      <c r="L33" s="3194">
        <v>0.31804321842131672</v>
      </c>
      <c r="M33" s="3460">
        <v>-7.1498846198026003E-2</v>
      </c>
    </row>
    <row r="34" spans="2:13" ht="18" customHeight="1" x14ac:dyDescent="0.2">
      <c r="B34" s="2634" t="s">
        <v>683</v>
      </c>
      <c r="C34" s="2636" t="s">
        <v>683</v>
      </c>
      <c r="D34" s="3461">
        <v>6.1249007559149908E-2</v>
      </c>
      <c r="E34" s="3461">
        <v>7.0885818861441745</v>
      </c>
      <c r="F34" s="3461">
        <v>0.30430970740064212</v>
      </c>
      <c r="G34" s="3668">
        <f t="shared" si="7"/>
        <v>6.000000000000001E-3</v>
      </c>
      <c r="H34" s="3081">
        <f t="shared" si="8"/>
        <v>1.6988603141281242E-2</v>
      </c>
      <c r="I34" s="3081">
        <f t="shared" si="9"/>
        <v>0.8164541067781883</v>
      </c>
      <c r="J34" s="3194">
        <v>3.6749404535489953E-4</v>
      </c>
      <c r="K34" s="3194">
        <v>0.12042510449817824</v>
      </c>
      <c r="L34" s="3194">
        <v>0.24845491033972311</v>
      </c>
      <c r="M34" s="3460">
        <v>-5.5854797060919066E-2</v>
      </c>
    </row>
    <row r="35" spans="2:13" ht="18" customHeight="1" x14ac:dyDescent="0.2">
      <c r="B35" s="2634" t="s">
        <v>686</v>
      </c>
      <c r="C35" s="2636" t="s">
        <v>686</v>
      </c>
      <c r="D35" s="3461">
        <v>1.048327198982125E-2</v>
      </c>
      <c r="E35" s="3461">
        <v>1.2132691597134002</v>
      </c>
      <c r="F35" s="3461">
        <v>5.2085112215786059E-2</v>
      </c>
      <c r="G35" s="3668">
        <f t="shared" si="7"/>
        <v>6.000000000000001E-3</v>
      </c>
      <c r="H35" s="3081">
        <f t="shared" si="8"/>
        <v>1.6988603141281242E-2</v>
      </c>
      <c r="I35" s="3081">
        <f t="shared" si="9"/>
        <v>0.81645410677818842</v>
      </c>
      <c r="J35" s="3194">
        <v>6.2899631938927506E-5</v>
      </c>
      <c r="K35" s="3194">
        <v>2.0611748257926724E-2</v>
      </c>
      <c r="L35" s="3194">
        <v>4.2525103770581316E-2</v>
      </c>
      <c r="M35" s="3460">
        <v>-9.5600084452047551E-3</v>
      </c>
    </row>
    <row r="36" spans="2:13" ht="18" customHeight="1" x14ac:dyDescent="0.2">
      <c r="B36" s="2634" t="s">
        <v>688</v>
      </c>
      <c r="C36" s="2636" t="s">
        <v>688</v>
      </c>
      <c r="D36" s="3461">
        <v>5.271369964260382E-2</v>
      </c>
      <c r="E36" s="3461">
        <v>6.1007580584444039</v>
      </c>
      <c r="F36" s="3461">
        <v>0.2619028642832224</v>
      </c>
      <c r="G36" s="3668">
        <f t="shared" si="7"/>
        <v>6.000000000000001E-3</v>
      </c>
      <c r="H36" s="3081">
        <f t="shared" si="8"/>
        <v>1.6988603141281245E-2</v>
      </c>
      <c r="I36" s="3081">
        <f t="shared" si="9"/>
        <v>0.8164541067781883</v>
      </c>
      <c r="J36" s="3194">
        <v>3.1628219785562298E-4</v>
      </c>
      <c r="K36" s="3194">
        <v>0.10364335751588546</v>
      </c>
      <c r="L36" s="3194">
        <v>0.21383166912100743</v>
      </c>
      <c r="M36" s="3460">
        <v>-4.8071195162215009E-2</v>
      </c>
    </row>
    <row r="37" spans="2:13" ht="18" customHeight="1" x14ac:dyDescent="0.2">
      <c r="B37" s="2634" t="s">
        <v>689</v>
      </c>
      <c r="C37" s="2636" t="s">
        <v>689</v>
      </c>
      <c r="D37" s="3461">
        <v>0.10386923280599074</v>
      </c>
      <c r="E37" s="3461">
        <v>12.021183551181402</v>
      </c>
      <c r="F37" s="3461">
        <v>0.51606413071420087</v>
      </c>
      <c r="G37" s="3668">
        <f t="shared" si="7"/>
        <v>6.000000000000001E-3</v>
      </c>
      <c r="H37" s="3081">
        <f t="shared" si="8"/>
        <v>1.6988603141281242E-2</v>
      </c>
      <c r="I37" s="3081">
        <f t="shared" si="9"/>
        <v>0.81645410677818853</v>
      </c>
      <c r="J37" s="3194">
        <v>6.2321539683594452E-4</v>
      </c>
      <c r="K37" s="3194">
        <v>0.20422311663951875</v>
      </c>
      <c r="L37" s="3194">
        <v>0.42134267888252519</v>
      </c>
      <c r="M37" s="3460">
        <v>-9.4721451831675865E-2</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6.1879353175981713</v>
      </c>
      <c r="K51" s="3081">
        <f>IF(SUM(K52:K63)=0,"NO",SUM(K52:K63))</f>
        <v>107.6610208246659</v>
      </c>
      <c r="L51" s="3081">
        <f>IF(SUM(L52:L63)=0,"NO",SUM(L52:L63))</f>
        <v>36.437836452326962</v>
      </c>
      <c r="M51" s="3193">
        <f>IF(SUM(M52:M63)=0,"NO",SUM(M52:M63))</f>
        <v>-9.5567949017427978</v>
      </c>
    </row>
    <row r="52" spans="2:13" ht="18" customHeight="1" x14ac:dyDescent="0.2">
      <c r="B52" s="2634" t="s">
        <v>671</v>
      </c>
      <c r="C52" s="2636" t="s">
        <v>671</v>
      </c>
      <c r="D52" s="3461">
        <v>1.7676568423728871</v>
      </c>
      <c r="E52" s="3461">
        <v>7.2057752549404057</v>
      </c>
      <c r="F52" s="3461">
        <v>0.6700844067172419</v>
      </c>
      <c r="G52" s="3081">
        <f>IF(SUM(D52)=0,"NA",J52/D52)</f>
        <v>5.1000000000000004E-2</v>
      </c>
      <c r="H52" s="3081">
        <f>IF(SUM(E52)=0,"NA",K52/E52)</f>
        <v>0.21767078840102894</v>
      </c>
      <c r="I52" s="3081">
        <f>IF(SUM(F52)=0,"NA",L52/F52)</f>
        <v>0.79221933907516418</v>
      </c>
      <c r="J52" s="3194">
        <v>9.0150498961017247E-2</v>
      </c>
      <c r="K52" s="3194">
        <v>1.5684867807835035</v>
      </c>
      <c r="L52" s="3194">
        <v>0.53085382581410689</v>
      </c>
      <c r="M52" s="3460">
        <v>-0.13923058090313509</v>
      </c>
    </row>
    <row r="53" spans="2:13" ht="18" customHeight="1" x14ac:dyDescent="0.2">
      <c r="B53" s="2634" t="s">
        <v>672</v>
      </c>
      <c r="C53" s="2636" t="s">
        <v>672</v>
      </c>
      <c r="D53" s="3461">
        <v>5.2760242338317394</v>
      </c>
      <c r="E53" s="3461">
        <v>21.507480387186369</v>
      </c>
      <c r="F53" s="3461">
        <v>2.0000384032723608</v>
      </c>
      <c r="G53" s="3081">
        <f t="shared" ref="G53:G63" si="39">IF(SUM(D53)=0,"NA",J53/D53)</f>
        <v>5.1000000000000004E-2</v>
      </c>
      <c r="H53" s="3081">
        <f t="shared" ref="H53:H63" si="40">IF(SUM(E53)=0,"NA",K53/E53)</f>
        <v>0.21767078840102894</v>
      </c>
      <c r="I53" s="3081">
        <f t="shared" ref="I53:I63" si="41">IF(SUM(F53)=0,"NA",L53/F53)</f>
        <v>0.79221933907516362</v>
      </c>
      <c r="J53" s="3194">
        <v>0.26907723592541871</v>
      </c>
      <c r="K53" s="3194">
        <v>4.6815502123985242</v>
      </c>
      <c r="L53" s="3194">
        <v>1.5844691019653752</v>
      </c>
      <c r="M53" s="3460">
        <v>-0.41556930130698455</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21.64473089943392</v>
      </c>
      <c r="E55" s="3461">
        <v>88.233792089202169</v>
      </c>
      <c r="F55" s="3461">
        <v>8.2050974576217879</v>
      </c>
      <c r="G55" s="3081">
        <f t="shared" si="39"/>
        <v>5.1000000000000018E-2</v>
      </c>
      <c r="H55" s="3081">
        <f t="shared" si="40"/>
        <v>0.21767078840102896</v>
      </c>
      <c r="I55" s="3081">
        <f t="shared" si="41"/>
        <v>0.79221933907516395</v>
      </c>
      <c r="J55" s="3194">
        <v>1.1038812758711303</v>
      </c>
      <c r="K55" s="3194">
        <v>19.205919087669109</v>
      </c>
      <c r="L55" s="3194">
        <v>6.5002368849244405</v>
      </c>
      <c r="M55" s="3460">
        <v>-1.704860572697346</v>
      </c>
    </row>
    <row r="56" spans="2:13" ht="18" customHeight="1" x14ac:dyDescent="0.2">
      <c r="B56" s="2634" t="s">
        <v>676</v>
      </c>
      <c r="C56" s="2636" t="s">
        <v>676</v>
      </c>
      <c r="D56" s="3461">
        <v>3.8985457996194434E-2</v>
      </c>
      <c r="E56" s="3461">
        <v>0.15892250226259483</v>
      </c>
      <c r="F56" s="3461">
        <v>1.477863059490205E-2</v>
      </c>
      <c r="G56" s="3081">
        <f t="shared" si="39"/>
        <v>5.0999999999999997E-2</v>
      </c>
      <c r="H56" s="3081">
        <f t="shared" si="40"/>
        <v>0.21767078840102894</v>
      </c>
      <c r="I56" s="3081">
        <f t="shared" si="41"/>
        <v>0.7922193390751644</v>
      </c>
      <c r="J56" s="3194">
        <v>1.9882583578059161E-3</v>
      </c>
      <c r="K56" s="3194">
        <v>3.4592786362163321E-2</v>
      </c>
      <c r="L56" s="3194">
        <v>1.1707916962329305E-2</v>
      </c>
      <c r="M56" s="3460">
        <v>-3.070713632572749E-3</v>
      </c>
    </row>
    <row r="57" spans="2:13" ht="18" customHeight="1" x14ac:dyDescent="0.2">
      <c r="B57" s="2634" t="s">
        <v>677</v>
      </c>
      <c r="C57" s="2636" t="s">
        <v>677</v>
      </c>
      <c r="D57" s="3461">
        <v>66.982035998423385</v>
      </c>
      <c r="E57" s="3461">
        <v>273.04931927570931</v>
      </c>
      <c r="F57" s="3461">
        <v>25.391590028562948</v>
      </c>
      <c r="G57" s="3081">
        <f t="shared" si="39"/>
        <v>5.1000000000000004E-2</v>
      </c>
      <c r="H57" s="3081">
        <f t="shared" si="40"/>
        <v>0.21767078840102894</v>
      </c>
      <c r="I57" s="3081">
        <f t="shared" si="41"/>
        <v>0.79221933907516429</v>
      </c>
      <c r="J57" s="3194">
        <v>3.4160838359195926</v>
      </c>
      <c r="K57" s="3194">
        <v>59.434860599107914</v>
      </c>
      <c r="L57" s="3194">
        <v>20.115708670495671</v>
      </c>
      <c r="M57" s="3460">
        <v>-5.2758813580672825</v>
      </c>
    </row>
    <row r="58" spans="2:13" ht="18" customHeight="1" x14ac:dyDescent="0.2">
      <c r="B58" s="2634" t="s">
        <v>679</v>
      </c>
      <c r="C58" s="2636" t="s">
        <v>679</v>
      </c>
      <c r="D58" s="3461">
        <v>19.38264623686954</v>
      </c>
      <c r="E58" s="3461">
        <v>79.012503604155725</v>
      </c>
      <c r="F58" s="3461">
        <v>7.3475850588782352</v>
      </c>
      <c r="G58" s="3081">
        <f t="shared" si="39"/>
        <v>5.1000000000000004E-2</v>
      </c>
      <c r="H58" s="3081">
        <f t="shared" si="40"/>
        <v>0.21767078840102896</v>
      </c>
      <c r="I58" s="3081">
        <f t="shared" si="41"/>
        <v>0.79221933907516418</v>
      </c>
      <c r="J58" s="3194">
        <v>0.98851495808034662</v>
      </c>
      <c r="K58" s="3194">
        <v>17.198713953055719</v>
      </c>
      <c r="L58" s="3194">
        <v>5.8208989791430668</v>
      </c>
      <c r="M58" s="3460">
        <v>-1.5266860797351693</v>
      </c>
    </row>
    <row r="59" spans="2:13" ht="18" customHeight="1" x14ac:dyDescent="0.2">
      <c r="B59" s="2634" t="s">
        <v>681</v>
      </c>
      <c r="C59" s="2636" t="s">
        <v>681</v>
      </c>
      <c r="D59" s="3461">
        <v>1.595072249654268</v>
      </c>
      <c r="E59" s="3461">
        <v>6.5022417648505604</v>
      </c>
      <c r="F59" s="3461">
        <v>0.6046609367041651</v>
      </c>
      <c r="G59" s="3081">
        <f t="shared" si="39"/>
        <v>5.1000000000000011E-2</v>
      </c>
      <c r="H59" s="3081">
        <f t="shared" si="40"/>
        <v>0.21767078840102894</v>
      </c>
      <c r="I59" s="3081">
        <f t="shared" si="41"/>
        <v>0.79221933907516418</v>
      </c>
      <c r="J59" s="3194">
        <v>8.1348684732367685E-2</v>
      </c>
      <c r="K59" s="3194">
        <v>1.4153480913291192</v>
      </c>
      <c r="L59" s="3194">
        <v>0.47902408764034332</v>
      </c>
      <c r="M59" s="3460">
        <v>-0.1256368490638218</v>
      </c>
    </row>
    <row r="60" spans="2:13" ht="18" customHeight="1" x14ac:dyDescent="0.2">
      <c r="B60" s="2634" t="s">
        <v>683</v>
      </c>
      <c r="C60" s="2636" t="s">
        <v>683</v>
      </c>
      <c r="D60" s="3461">
        <v>1.2460681750750058</v>
      </c>
      <c r="E60" s="3461">
        <v>5.0795420280053021</v>
      </c>
      <c r="F60" s="3461">
        <v>0.4723602646221276</v>
      </c>
      <c r="G60" s="3081">
        <f t="shared" si="39"/>
        <v>5.1000000000000004E-2</v>
      </c>
      <c r="H60" s="3081">
        <f t="shared" si="40"/>
        <v>0.21767078840102896</v>
      </c>
      <c r="I60" s="3081">
        <f t="shared" si="41"/>
        <v>0.7922193390751634</v>
      </c>
      <c r="J60" s="3194">
        <v>6.3549476928825302E-2</v>
      </c>
      <c r="K60" s="3194">
        <v>1.1056679179520756</v>
      </c>
      <c r="L60" s="3194">
        <v>0.37421293664431121</v>
      </c>
      <c r="M60" s="3460">
        <v>-9.8147327977816071E-2</v>
      </c>
    </row>
    <row r="61" spans="2:13" ht="18" customHeight="1" x14ac:dyDescent="0.2">
      <c r="B61" s="2634" t="s">
        <v>686</v>
      </c>
      <c r="C61" s="2636" t="s">
        <v>686</v>
      </c>
      <c r="D61" s="3461">
        <v>0.21327482873181744</v>
      </c>
      <c r="E61" s="3461">
        <v>0.86940544484549498</v>
      </c>
      <c r="F61" s="3461">
        <v>8.0848348872192444E-2</v>
      </c>
      <c r="G61" s="3081">
        <f t="shared" si="39"/>
        <v>5.1000000000000004E-2</v>
      </c>
      <c r="H61" s="3081">
        <f t="shared" si="40"/>
        <v>0.21767078840102894</v>
      </c>
      <c r="I61" s="3081">
        <f t="shared" si="41"/>
        <v>0.79221933907516462</v>
      </c>
      <c r="J61" s="3194">
        <v>1.0877016265322691E-2</v>
      </c>
      <c r="K61" s="3194">
        <v>0.18924416861966617</v>
      </c>
      <c r="L61" s="3194">
        <v>6.404962550884663E-2</v>
      </c>
      <c r="M61" s="3460">
        <v>-1.6798723363345858E-2</v>
      </c>
    </row>
    <row r="62" spans="2:13" ht="18" customHeight="1" x14ac:dyDescent="0.2">
      <c r="B62" s="2634" t="s">
        <v>688</v>
      </c>
      <c r="C62" s="2636" t="s">
        <v>688</v>
      </c>
      <c r="D62" s="3461">
        <v>1.072423311539825</v>
      </c>
      <c r="E62" s="3461">
        <v>4.3716863906352978</v>
      </c>
      <c r="F62" s="3461">
        <v>0.40653486651755449</v>
      </c>
      <c r="G62" s="3081">
        <f t="shared" si="39"/>
        <v>5.1000000000000011E-2</v>
      </c>
      <c r="H62" s="3081">
        <f t="shared" si="40"/>
        <v>0.21767078840102896</v>
      </c>
      <c r="I62" s="3081">
        <f t="shared" si="41"/>
        <v>0.79221933907516484</v>
      </c>
      <c r="J62" s="3194">
        <v>5.4693588888531083E-2</v>
      </c>
      <c r="K62" s="3194">
        <v>0.95158842329163396</v>
      </c>
      <c r="L62" s="3194">
        <v>0.32206478326354737</v>
      </c>
      <c r="M62" s="3460">
        <v>-8.4470083254007414E-2</v>
      </c>
    </row>
    <row r="63" spans="2:13" ht="18" customHeight="1" x14ac:dyDescent="0.2">
      <c r="B63" s="2634" t="s">
        <v>689</v>
      </c>
      <c r="C63" s="2636" t="s">
        <v>689</v>
      </c>
      <c r="D63" s="3461">
        <v>2.113146817015922</v>
      </c>
      <c r="E63" s="3461">
        <v>8.614149918187179</v>
      </c>
      <c r="F63" s="3461">
        <v>0.80105295170624524</v>
      </c>
      <c r="G63" s="3081">
        <f t="shared" si="39"/>
        <v>5.1000000000000018E-2</v>
      </c>
      <c r="H63" s="3081">
        <f t="shared" si="40"/>
        <v>0.21767078840102894</v>
      </c>
      <c r="I63" s="3081">
        <f t="shared" si="41"/>
        <v>0.79221933907516418</v>
      </c>
      <c r="J63" s="3194">
        <v>0.10777048766781205</v>
      </c>
      <c r="K63" s="3194">
        <v>1.8750488040964621</v>
      </c>
      <c r="L63" s="3194">
        <v>0.63460963996493103</v>
      </c>
      <c r="M63" s="3460">
        <v>-0.1664433117413143</v>
      </c>
    </row>
    <row r="64" spans="2:13" ht="18" customHeight="1" x14ac:dyDescent="0.2">
      <c r="B64" s="104" t="s">
        <v>893</v>
      </c>
      <c r="C64" s="2524"/>
      <c r="D64" s="150"/>
      <c r="E64" s="150"/>
      <c r="F64" s="150"/>
      <c r="G64" s="2135"/>
      <c r="H64" s="2135"/>
      <c r="I64" s="2135"/>
      <c r="J64" s="3081">
        <f>IF(SUM(J65:J76)=0,"NO",SUM(J65:J76))</f>
        <v>0.66857459236570094</v>
      </c>
      <c r="K64" s="3081">
        <f>IF(SUM(K65:K76)=0,"NO",SUM(K65:K76))</f>
        <v>387.3351529886084</v>
      </c>
      <c r="L64" s="3081">
        <f>IF(SUM(L65:L76)=0,"NO",SUM(L65:L76))</f>
        <v>54.907744522451637</v>
      </c>
      <c r="M64" s="3193">
        <f>IF(SUM(M65:M76)=0,"NO",SUM(M65:M76))</f>
        <v>-22.379119007553754</v>
      </c>
    </row>
    <row r="65" spans="2:13" ht="18" customHeight="1" x14ac:dyDescent="0.2">
      <c r="B65" s="2634" t="s">
        <v>671</v>
      </c>
      <c r="C65" s="2636" t="s">
        <v>671</v>
      </c>
      <c r="D65" s="3461">
        <v>2.7829422439877365</v>
      </c>
      <c r="E65" s="3461">
        <v>53.39025492441953</v>
      </c>
      <c r="F65" s="3461">
        <v>1.2082198896038578</v>
      </c>
      <c r="G65" s="3081">
        <f>IF(SUM(D65)=0,"NA",J65/D65)</f>
        <v>3.4999999999999992E-3</v>
      </c>
      <c r="H65" s="3081">
        <f>IF(SUM(E65)=0,"NA",K65/E65)</f>
        <v>0.10569325878975225</v>
      </c>
      <c r="I65" s="3081">
        <f>IF(SUM(F65)=0,"NA",L65/F65)</f>
        <v>0.6620792742734154</v>
      </c>
      <c r="J65" s="3194">
        <v>9.7402978539570754E-3</v>
      </c>
      <c r="K65" s="3194">
        <v>5.6429900305775176</v>
      </c>
      <c r="L65" s="3194">
        <v>0.79993734767162827</v>
      </c>
      <c r="M65" s="3460">
        <v>-0.3260358490014143</v>
      </c>
    </row>
    <row r="66" spans="2:13" ht="18" customHeight="1" x14ac:dyDescent="0.2">
      <c r="B66" s="2634" t="s">
        <v>672</v>
      </c>
      <c r="C66" s="2636" t="s">
        <v>672</v>
      </c>
      <c r="D66" s="3461">
        <v>8.3064033519782168</v>
      </c>
      <c r="E66" s="3461">
        <v>159.35687972873509</v>
      </c>
      <c r="F66" s="3461">
        <v>3.6062414743295186</v>
      </c>
      <c r="G66" s="3081">
        <f t="shared" ref="G66:G76" si="42">IF(SUM(D66)=0,"NA",J66/D66)</f>
        <v>3.4999999999999988E-3</v>
      </c>
      <c r="H66" s="3081">
        <f t="shared" ref="H66:H76" si="43">IF(SUM(E66)=0,"NA",K66/E66)</f>
        <v>0.10569325878975223</v>
      </c>
      <c r="I66" s="3081">
        <f t="shared" ref="I66:I76" si="44">IF(SUM(F66)=0,"NA",L66/F66)</f>
        <v>0.66207927427341629</v>
      </c>
      <c r="J66" s="3194">
        <v>2.907241173192375E-2</v>
      </c>
      <c r="K66" s="3194">
        <v>16.842947929096621</v>
      </c>
      <c r="L66" s="3194">
        <v>2.3876177381787826</v>
      </c>
      <c r="M66" s="3460">
        <v>-0.97313743210487746</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34.076770182905527</v>
      </c>
      <c r="E68" s="3461">
        <v>653.75681115795442</v>
      </c>
      <c r="F68" s="3461">
        <v>14.794497297741112</v>
      </c>
      <c r="G68" s="3081">
        <f t="shared" si="42"/>
        <v>3.5000000000000001E-3</v>
      </c>
      <c r="H68" s="3081">
        <f t="shared" si="43"/>
        <v>0.10569325878975225</v>
      </c>
      <c r="I68" s="3081">
        <f t="shared" si="44"/>
        <v>0.66207927427341495</v>
      </c>
      <c r="J68" s="3194">
        <v>0.11926869564016934</v>
      </c>
      <c r="K68" s="3194">
        <v>69.097687827280865</v>
      </c>
      <c r="L68" s="3194">
        <v>9.7951300341284337</v>
      </c>
      <c r="M68" s="3460">
        <v>-3.9922670769802164</v>
      </c>
    </row>
    <row r="69" spans="2:13" ht="18" customHeight="1" x14ac:dyDescent="0.2">
      <c r="B69" s="2634" t="s">
        <v>676</v>
      </c>
      <c r="C69" s="2636" t="s">
        <v>676</v>
      </c>
      <c r="D69" s="3461">
        <v>6.1377454808014202E-2</v>
      </c>
      <c r="E69" s="3461">
        <v>1.1775156189070946</v>
      </c>
      <c r="F69" s="3461">
        <v>2.6647143623808343E-2</v>
      </c>
      <c r="G69" s="3081">
        <f t="shared" si="42"/>
        <v>3.5000000000000001E-3</v>
      </c>
      <c r="H69" s="3081">
        <f t="shared" si="43"/>
        <v>0.10569325878975223</v>
      </c>
      <c r="I69" s="3081">
        <f t="shared" si="44"/>
        <v>0.66207927427341484</v>
      </c>
      <c r="J69" s="3194">
        <v>2.1482109182804972E-4</v>
      </c>
      <c r="K69" s="3194">
        <v>0.12445546303812281</v>
      </c>
      <c r="L69" s="3194">
        <v>1.7642521511910481E-2</v>
      </c>
      <c r="M69" s="3460">
        <v>-7.1906812407297079E-3</v>
      </c>
    </row>
    <row r="70" spans="2:13" ht="18" customHeight="1" x14ac:dyDescent="0.2">
      <c r="B70" s="2634" t="s">
        <v>677</v>
      </c>
      <c r="C70" s="2636" t="s">
        <v>677</v>
      </c>
      <c r="D70" s="3461">
        <v>105.45436936622177</v>
      </c>
      <c r="E70" s="3461">
        <v>2023.123431871441</v>
      </c>
      <c r="F70" s="3461">
        <v>45.783223417288561</v>
      </c>
      <c r="G70" s="3081">
        <f t="shared" si="42"/>
        <v>3.4999999999999992E-3</v>
      </c>
      <c r="H70" s="3081">
        <f t="shared" si="43"/>
        <v>0.10569325878975223</v>
      </c>
      <c r="I70" s="3081">
        <f t="shared" si="44"/>
        <v>0.66207927427341573</v>
      </c>
      <c r="J70" s="3194">
        <v>0.36909029278177613</v>
      </c>
      <c r="K70" s="3194">
        <v>213.83050844839988</v>
      </c>
      <c r="L70" s="3194">
        <v>30.312123334016064</v>
      </c>
      <c r="M70" s="3460">
        <v>-12.354516131803836</v>
      </c>
    </row>
    <row r="71" spans="2:13" ht="18" customHeight="1" x14ac:dyDescent="0.2">
      <c r="B71" s="2634" t="s">
        <v>679</v>
      </c>
      <c r="C71" s="2636" t="s">
        <v>679</v>
      </c>
      <c r="D71" s="3461">
        <v>30.5154166350775</v>
      </c>
      <c r="E71" s="3461">
        <v>585.43287299311976</v>
      </c>
      <c r="F71" s="3461">
        <v>13.248328598159558</v>
      </c>
      <c r="G71" s="3081">
        <f t="shared" si="42"/>
        <v>3.4999999999999996E-3</v>
      </c>
      <c r="H71" s="3081">
        <f t="shared" si="43"/>
        <v>0.10569325878975223</v>
      </c>
      <c r="I71" s="3081">
        <f t="shared" si="44"/>
        <v>0.6620792742734164</v>
      </c>
      <c r="J71" s="3194">
        <v>0.10680395822277124</v>
      </c>
      <c r="K71" s="3194">
        <v>61.876308149289962</v>
      </c>
      <c r="L71" s="3194">
        <v>8.7714437836052284</v>
      </c>
      <c r="M71" s="3460">
        <v>-3.5750363816365347</v>
      </c>
    </row>
    <row r="72" spans="2:13" ht="18" customHeight="1" x14ac:dyDescent="0.2">
      <c r="B72" s="2634" t="s">
        <v>681</v>
      </c>
      <c r="C72" s="2636" t="s">
        <v>681</v>
      </c>
      <c r="D72" s="3461">
        <v>2.511230595988613</v>
      </c>
      <c r="E72" s="3461">
        <v>48.177514996399935</v>
      </c>
      <c r="F72" s="3461">
        <v>1.0902557392307</v>
      </c>
      <c r="G72" s="3081">
        <f t="shared" si="42"/>
        <v>3.5000000000000005E-3</v>
      </c>
      <c r="H72" s="3081">
        <f t="shared" si="43"/>
        <v>0.10569325878975223</v>
      </c>
      <c r="I72" s="3081">
        <f t="shared" si="44"/>
        <v>0.66207927427341584</v>
      </c>
      <c r="J72" s="3194">
        <v>8.7893070859601467E-3</v>
      </c>
      <c r="K72" s="3194">
        <v>5.0920385603616678</v>
      </c>
      <c r="L72" s="3194">
        <v>0.72183572860228828</v>
      </c>
      <c r="M72" s="3460">
        <v>-0.29420344643166924</v>
      </c>
    </row>
    <row r="73" spans="2:13" ht="18" customHeight="1" x14ac:dyDescent="0.2">
      <c r="B73" s="2634" t="s">
        <v>683</v>
      </c>
      <c r="C73" s="2636" t="s">
        <v>683</v>
      </c>
      <c r="D73" s="3461">
        <v>1.9617697735098185</v>
      </c>
      <c r="E73" s="3461">
        <v>37.636206262271081</v>
      </c>
      <c r="F73" s="3461">
        <v>0.85170623439954618</v>
      </c>
      <c r="G73" s="3081">
        <f t="shared" si="42"/>
        <v>3.4999999999999996E-3</v>
      </c>
      <c r="H73" s="3081">
        <f t="shared" si="43"/>
        <v>0.10569325878975225</v>
      </c>
      <c r="I73" s="3081">
        <f t="shared" si="44"/>
        <v>0.66207927427341529</v>
      </c>
      <c r="J73" s="3194">
        <v>6.8661942072843641E-3</v>
      </c>
      <c r="K73" s="3194">
        <v>3.9778932883427114</v>
      </c>
      <c r="L73" s="3194">
        <v>0.56389704556539488</v>
      </c>
      <c r="M73" s="3460">
        <v>-0.2298313143340982</v>
      </c>
    </row>
    <row r="74" spans="2:13" ht="18" customHeight="1" x14ac:dyDescent="0.2">
      <c r="B74" s="2634" t="s">
        <v>686</v>
      </c>
      <c r="C74" s="2636" t="s">
        <v>686</v>
      </c>
      <c r="D74" s="3461">
        <v>0.33577305064498408</v>
      </c>
      <c r="E74" s="3461">
        <v>6.44174661167159</v>
      </c>
      <c r="F74" s="3461">
        <v>0.1457765352689874</v>
      </c>
      <c r="G74" s="3081">
        <f t="shared" si="42"/>
        <v>3.5000000000000001E-3</v>
      </c>
      <c r="H74" s="3081">
        <f t="shared" si="43"/>
        <v>0.10569325878975225</v>
      </c>
      <c r="I74" s="3081">
        <f t="shared" si="44"/>
        <v>0.66207927427341529</v>
      </c>
      <c r="J74" s="3194">
        <v>1.1752056772574443E-3</v>
      </c>
      <c r="K74" s="3194">
        <v>0.68084919168541502</v>
      </c>
      <c r="L74" s="3194">
        <v>9.6515622676984103E-2</v>
      </c>
      <c r="M74" s="3460">
        <v>-3.9337521960917381E-2</v>
      </c>
    </row>
    <row r="75" spans="2:13" ht="18" customHeight="1" x14ac:dyDescent="0.2">
      <c r="B75" s="2634" t="s">
        <v>688</v>
      </c>
      <c r="C75" s="2636" t="s">
        <v>688</v>
      </c>
      <c r="D75" s="3461">
        <v>1.6883888691399194</v>
      </c>
      <c r="E75" s="3461">
        <v>32.391441945904049</v>
      </c>
      <c r="F75" s="3461">
        <v>0.73301737306539849</v>
      </c>
      <c r="G75" s="3081">
        <f t="shared" si="42"/>
        <v>3.4999999999999996E-3</v>
      </c>
      <c r="H75" s="3081">
        <f t="shared" si="43"/>
        <v>0.10569325878975225</v>
      </c>
      <c r="I75" s="3081">
        <f t="shared" si="44"/>
        <v>0.66207927427341573</v>
      </c>
      <c r="J75" s="3194">
        <v>5.9093610419897174E-3</v>
      </c>
      <c r="K75" s="3194">
        <v>3.4235570561616728</v>
      </c>
      <c r="L75" s="3194">
        <v>0.48531561038894466</v>
      </c>
      <c r="M75" s="3460">
        <v>-0.19780334988403636</v>
      </c>
    </row>
    <row r="76" spans="2:13" ht="18" customHeight="1" x14ac:dyDescent="0.2">
      <c r="B76" s="2634" t="s">
        <v>689</v>
      </c>
      <c r="C76" s="2636" t="s">
        <v>689</v>
      </c>
      <c r="D76" s="3461">
        <v>3.3268705802238991</v>
      </c>
      <c r="E76" s="3461">
        <v>63.825423888131631</v>
      </c>
      <c r="F76" s="3461">
        <v>1.4443674545701981</v>
      </c>
      <c r="G76" s="3081">
        <f t="shared" si="42"/>
        <v>3.5000000000000001E-3</v>
      </c>
      <c r="H76" s="3081">
        <f t="shared" si="43"/>
        <v>0.10569325878975223</v>
      </c>
      <c r="I76" s="3081">
        <f t="shared" si="44"/>
        <v>0.66207927427341673</v>
      </c>
      <c r="J76" s="3194">
        <v>1.1644047030783648E-2</v>
      </c>
      <c r="K76" s="3194">
        <v>6.7459170443739307</v>
      </c>
      <c r="L76" s="3194">
        <v>0.95628575610597899</v>
      </c>
      <c r="M76" s="3460">
        <v>-0.38975982217542088</v>
      </c>
    </row>
    <row r="77" spans="2:13" ht="18" customHeight="1" x14ac:dyDescent="0.2">
      <c r="B77" s="104" t="s">
        <v>894</v>
      </c>
      <c r="C77" s="2524"/>
      <c r="D77" s="150"/>
      <c r="E77" s="150"/>
      <c r="F77" s="150"/>
      <c r="G77" s="2135"/>
      <c r="H77" s="2135"/>
      <c r="I77" s="2135"/>
      <c r="J77" s="3081">
        <f>IF(SUM(J78:J89)=0,"NO",SUM(J78:J89))</f>
        <v>1.9832155347535163</v>
      </c>
      <c r="K77" s="3081">
        <f>IF(SUM(K78:K89)=0,"NO",SUM(K78:K89))</f>
        <v>334.04115493786486</v>
      </c>
      <c r="L77" s="3081">
        <f>IF(SUM(L78:L89)=0,"NO",SUM(L78:L89))</f>
        <v>306.48467013834738</v>
      </c>
      <c r="M77" s="3193">
        <f>IF(SUM(M78:M89)=0,"NO",SUM(M78:M89))</f>
        <v>-116.90088868563618</v>
      </c>
    </row>
    <row r="78" spans="2:13" ht="18" customHeight="1" x14ac:dyDescent="0.2">
      <c r="B78" s="2634" t="s">
        <v>671</v>
      </c>
      <c r="C78" s="2636" t="s">
        <v>671</v>
      </c>
      <c r="D78" s="3461">
        <v>3.4604276199228066</v>
      </c>
      <c r="E78" s="3461">
        <v>122.43934880409071</v>
      </c>
      <c r="F78" s="3461">
        <v>3.6790708569322028</v>
      </c>
      <c r="G78" s="3081">
        <f>IF(SUM(D78)=0,"NA",J78/D78)</f>
        <v>8.3495393403351503E-3</v>
      </c>
      <c r="H78" s="3081">
        <f>IF(SUM(E78)=0,"NA",K78/E78)</f>
        <v>3.974672361132793E-2</v>
      </c>
      <c r="I78" s="3081">
        <f>IF(SUM(F78)=0,"NA",L78/F78)</f>
        <v>0.87374390593661622</v>
      </c>
      <c r="J78" s="3194">
        <v>2.8892976546927802E-2</v>
      </c>
      <c r="K78" s="3194">
        <v>4.8665629560671686</v>
      </c>
      <c r="L78" s="3194">
        <v>3.2145657407535166</v>
      </c>
      <c r="M78" s="3460">
        <v>-0.45256652523614904</v>
      </c>
    </row>
    <row r="79" spans="2:13" ht="18" customHeight="1" x14ac:dyDescent="0.2">
      <c r="B79" s="2634" t="s">
        <v>672</v>
      </c>
      <c r="C79" s="2636" t="s">
        <v>672</v>
      </c>
      <c r="D79" s="3461">
        <v>10.328531841975039</v>
      </c>
      <c r="E79" s="3461">
        <v>365.45157180948337</v>
      </c>
      <c r="F79" s="3461">
        <v>10.981128539123821</v>
      </c>
      <c r="G79" s="3081">
        <f t="shared" ref="G79:G89" si="45">IF(SUM(D79)=0,"NA",J79/D79)</f>
        <v>8.3495393403351503E-3</v>
      </c>
      <c r="H79" s="3081">
        <f t="shared" ref="H79:H89" si="46">IF(SUM(E79)=0,"NA",K79/E79)</f>
        <v>3.9746723611327937E-2</v>
      </c>
      <c r="I79" s="3081">
        <f t="shared" ref="I79:I89" si="47">IF(SUM(F79)=0,"NA",L79/F79)</f>
        <v>7.7103164024023094</v>
      </c>
      <c r="J79" s="3194">
        <v>8.6238482942474853E-2</v>
      </c>
      <c r="K79" s="3194">
        <v>14.525502618036899</v>
      </c>
      <c r="L79" s="3194">
        <v>84.667975492094513</v>
      </c>
      <c r="M79" s="3460">
        <v>-76.424081968432958</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42.372491557610601</v>
      </c>
      <c r="E81" s="3461">
        <v>1499.254093237299</v>
      </c>
      <c r="F81" s="3461">
        <v>45.049749900183862</v>
      </c>
      <c r="G81" s="3081">
        <f t="shared" si="45"/>
        <v>8.3495393403351485E-3</v>
      </c>
      <c r="H81" s="3081">
        <f t="shared" si="46"/>
        <v>3.974672361132793E-2</v>
      </c>
      <c r="I81" s="3081">
        <f t="shared" si="47"/>
        <v>0.87374390593661644</v>
      </c>
      <c r="J81" s="3194">
        <v>0.35379078520828866</v>
      </c>
      <c r="K81" s="3194">
        <v>59.590438067054997</v>
      </c>
      <c r="L81" s="3194">
        <v>39.361944439254344</v>
      </c>
      <c r="M81" s="3460">
        <v>-5.5416189488898091</v>
      </c>
    </row>
    <row r="82" spans="2:13" ht="18" customHeight="1" x14ac:dyDescent="0.2">
      <c r="B82" s="2634" t="s">
        <v>676</v>
      </c>
      <c r="C82" s="2636" t="s">
        <v>676</v>
      </c>
      <c r="D82" s="3461">
        <v>7.6319312884436635E-2</v>
      </c>
      <c r="E82" s="3461">
        <v>2.7003850382382866</v>
      </c>
      <c r="F82" s="3461">
        <v>8.1141463048571089E-2</v>
      </c>
      <c r="G82" s="3081">
        <f t="shared" si="45"/>
        <v>8.3495393403351485E-3</v>
      </c>
      <c r="H82" s="3081">
        <f t="shared" si="46"/>
        <v>3.9746723611327917E-2</v>
      </c>
      <c r="I82" s="3081">
        <f t="shared" si="47"/>
        <v>1.4063762395209352</v>
      </c>
      <c r="J82" s="3194">
        <v>6.3723110535595089E-4</v>
      </c>
      <c r="K82" s="3194">
        <v>0.10733145775902235</v>
      </c>
      <c r="L82" s="3194">
        <v>0.11411542567147633</v>
      </c>
      <c r="M82" s="3460">
        <v>-5.3199866824925154E-2</v>
      </c>
    </row>
    <row r="83" spans="2:13" ht="18" customHeight="1" x14ac:dyDescent="0.2">
      <c r="B83" s="2634" t="s">
        <v>677</v>
      </c>
      <c r="C83" s="2636" t="s">
        <v>677</v>
      </c>
      <c r="D83" s="3461">
        <v>131.12640522266742</v>
      </c>
      <c r="E83" s="3461">
        <v>4639.6091552531489</v>
      </c>
      <c r="F83" s="3461">
        <v>139.4114800296733</v>
      </c>
      <c r="G83" s="3081">
        <f t="shared" si="45"/>
        <v>8.3495393403351503E-3</v>
      </c>
      <c r="H83" s="3081">
        <f t="shared" si="46"/>
        <v>3.9746723611327937E-2</v>
      </c>
      <c r="I83" s="3081">
        <f t="shared" si="47"/>
        <v>0.91032625911810827</v>
      </c>
      <c r="J83" s="3194">
        <v>1.0948450789633901</v>
      </c>
      <c r="K83" s="3194">
        <v>184.40926275843358</v>
      </c>
      <c r="L83" s="3194">
        <v>126.90993109353136</v>
      </c>
      <c r="M83" s="3460">
        <v>-22.249158455640128</v>
      </c>
    </row>
    <row r="84" spans="2:13" ht="18" customHeight="1" x14ac:dyDescent="0.2">
      <c r="B84" s="2634" t="s">
        <v>679</v>
      </c>
      <c r="C84" s="2636" t="s">
        <v>679</v>
      </c>
      <c r="D84" s="3461">
        <v>37.944154531271472</v>
      </c>
      <c r="E84" s="3461">
        <v>1342.5674748932629</v>
      </c>
      <c r="F84" s="3461">
        <v>40.34161336686099</v>
      </c>
      <c r="G84" s="3081">
        <f t="shared" si="45"/>
        <v>8.3495393403351503E-3</v>
      </c>
      <c r="H84" s="3081">
        <f t="shared" si="46"/>
        <v>3.9746723611327937E-2</v>
      </c>
      <c r="I84" s="3081">
        <f t="shared" si="47"/>
        <v>1.0074221103224976</v>
      </c>
      <c r="J84" s="3194">
        <v>0.31681621099460738</v>
      </c>
      <c r="K84" s="3194">
        <v>53.362658354140976</v>
      </c>
      <c r="L84" s="3194">
        <v>40.641033271857381</v>
      </c>
      <c r="M84" s="3460">
        <v>-10.355260367530772</v>
      </c>
    </row>
    <row r="85" spans="2:13" ht="18" customHeight="1" x14ac:dyDescent="0.2">
      <c r="B85" s="2634" t="s">
        <v>681</v>
      </c>
      <c r="C85" s="2636" t="s">
        <v>681</v>
      </c>
      <c r="D85" s="3461" t="s">
        <v>199</v>
      </c>
      <c r="E85" s="3461">
        <v>105.60432131596531</v>
      </c>
      <c r="F85" s="3461">
        <v>3.2766474205948608</v>
      </c>
      <c r="G85" s="3081" t="str">
        <f t="shared" si="45"/>
        <v>NA</v>
      </c>
      <c r="H85" s="3081">
        <f t="shared" si="46"/>
        <v>4.1583693095443963E-2</v>
      </c>
      <c r="I85" s="3081">
        <f t="shared" si="47"/>
        <v>0.89413649538653373</v>
      </c>
      <c r="J85" s="3194">
        <v>2.6072020312522981E-2</v>
      </c>
      <c r="K85" s="3194">
        <v>4.3914176871557524</v>
      </c>
      <c r="L85" s="3194">
        <v>2.9297700412680143</v>
      </c>
      <c r="M85" s="3460">
        <v>-0.43743770807341847</v>
      </c>
    </row>
    <row r="86" spans="2:13" ht="18" customHeight="1" x14ac:dyDescent="0.2">
      <c r="B86" s="2634" t="s">
        <v>683</v>
      </c>
      <c r="C86" s="2636" t="s">
        <v>683</v>
      </c>
      <c r="D86" s="3461">
        <v>2.4393471775596796</v>
      </c>
      <c r="E86" s="3461">
        <v>86.310743275759208</v>
      </c>
      <c r="F86" s="3461">
        <v>2.593474592339498</v>
      </c>
      <c r="G86" s="3081">
        <f t="shared" si="45"/>
        <v>8.3495393403351485E-3</v>
      </c>
      <c r="H86" s="3081">
        <f t="shared" si="46"/>
        <v>3.9746723611327917E-2</v>
      </c>
      <c r="I86" s="3081">
        <f t="shared" si="47"/>
        <v>0.88214932987779715</v>
      </c>
      <c r="J86" s="3194">
        <v>2.0367425223770053E-2</v>
      </c>
      <c r="K86" s="3194">
        <v>3.4305692576698807</v>
      </c>
      <c r="L86" s="3194">
        <v>2.2878318736873813</v>
      </c>
      <c r="M86" s="3460">
        <v>-0.34082539622069319</v>
      </c>
    </row>
    <row r="87" spans="2:13" ht="18" customHeight="1" x14ac:dyDescent="0.2">
      <c r="B87" s="2634" t="s">
        <v>686</v>
      </c>
      <c r="C87" s="2636" t="s">
        <v>686</v>
      </c>
      <c r="D87" s="3461">
        <v>0.41751435589001135</v>
      </c>
      <c r="E87" s="3461">
        <v>14.772794424948184</v>
      </c>
      <c r="F87" s="3461">
        <v>0.44389453206942853</v>
      </c>
      <c r="G87" s="3081">
        <f t="shared" si="45"/>
        <v>8.3495393403351485E-3</v>
      </c>
      <c r="H87" s="3081">
        <f t="shared" si="46"/>
        <v>3.974672361132793E-2</v>
      </c>
      <c r="I87" s="3081">
        <f t="shared" si="47"/>
        <v>1.1424792463089424</v>
      </c>
      <c r="J87" s="3194">
        <v>3.4860525396583396E-3</v>
      </c>
      <c r="K87" s="3194">
        <v>0.58717017697538165</v>
      </c>
      <c r="L87" s="3194">
        <v>0.50714029043934139</v>
      </c>
      <c r="M87" s="3460">
        <v>-0.17389409947835999</v>
      </c>
    </row>
    <row r="88" spans="2:13" ht="18" customHeight="1" x14ac:dyDescent="0.2">
      <c r="B88" s="2634" t="s">
        <v>688</v>
      </c>
      <c r="C88" s="2636" t="s">
        <v>688</v>
      </c>
      <c r="D88" s="3461" t="s">
        <v>199</v>
      </c>
      <c r="E88" s="3461">
        <v>71.001508554318292</v>
      </c>
      <c r="F88" s="3461">
        <v>2.2030055869283762</v>
      </c>
      <c r="G88" s="3081" t="str">
        <f t="shared" si="45"/>
        <v>NA</v>
      </c>
      <c r="H88" s="3081">
        <f t="shared" si="46"/>
        <v>4.1583693095443956E-2</v>
      </c>
      <c r="I88" s="3081">
        <f t="shared" si="47"/>
        <v>0.91125834608860634</v>
      </c>
      <c r="J88" s="3194">
        <v>1.7529138487707912E-2</v>
      </c>
      <c r="K88" s="3194">
        <v>2.9525049410363104</v>
      </c>
      <c r="L88" s="3194">
        <v>2.0075072275683117</v>
      </c>
      <c r="M88" s="3460">
        <v>-0.33182432680838259</v>
      </c>
    </row>
    <row r="89" spans="2:13" ht="18" customHeight="1" x14ac:dyDescent="0.2">
      <c r="B89" s="2634" t="s">
        <v>689</v>
      </c>
      <c r="C89" s="2636" t="s">
        <v>689</v>
      </c>
      <c r="D89" s="3461" t="s">
        <v>199</v>
      </c>
      <c r="E89" s="3461">
        <v>139.9042805116371</v>
      </c>
      <c r="F89" s="3461">
        <v>4.3408924384549019</v>
      </c>
      <c r="G89" s="3081" t="str">
        <f t="shared" si="45"/>
        <v>NA</v>
      </c>
      <c r="H89" s="3081">
        <f t="shared" si="46"/>
        <v>4.1583693095443963E-2</v>
      </c>
      <c r="I89" s="3081">
        <f t="shared" si="47"/>
        <v>0.88526847801590225</v>
      </c>
      <c r="J89" s="3194">
        <v>3.4540132428812563E-2</v>
      </c>
      <c r="K89" s="3194">
        <v>5.8177366635348191</v>
      </c>
      <c r="L89" s="3194">
        <v>3.8428552422217095</v>
      </c>
      <c r="M89" s="3460">
        <v>-0.54102102250057915</v>
      </c>
    </row>
    <row r="90" spans="2:13" ht="18" customHeight="1" x14ac:dyDescent="0.2">
      <c r="B90" s="88" t="s">
        <v>657</v>
      </c>
      <c r="C90" s="2524" t="s">
        <v>895</v>
      </c>
      <c r="D90" s="150"/>
      <c r="E90" s="150"/>
      <c r="F90" s="150"/>
      <c r="G90" s="2135"/>
      <c r="H90" s="2135"/>
      <c r="I90" s="2135"/>
      <c r="J90" s="3081">
        <f>IF(SUM(J91,J104)=0,"NO",SUM(J91,J104))</f>
        <v>30.601037698620633</v>
      </c>
      <c r="K90" s="3081">
        <f t="shared" ref="K90:M90" si="48">IF(SUM(K91,K104)=0,"NO",SUM(K91,K104))</f>
        <v>2.7404211132884013</v>
      </c>
      <c r="L90" s="3081">
        <f t="shared" si="48"/>
        <v>1.5158559542315899</v>
      </c>
      <c r="M90" s="3193" t="str">
        <f t="shared" si="48"/>
        <v>NO</v>
      </c>
    </row>
    <row r="91" spans="2:13" ht="18" customHeight="1" x14ac:dyDescent="0.2">
      <c r="B91" s="104" t="s">
        <v>896</v>
      </c>
      <c r="C91" s="2524"/>
      <c r="D91" s="150"/>
      <c r="E91" s="150"/>
      <c r="F91" s="150"/>
      <c r="G91" s="2135"/>
      <c r="H91" s="2135"/>
      <c r="I91" s="2135"/>
      <c r="J91" s="3081">
        <f>IF(SUM(J92:J103)=0,"NO",SUM(J92:J103))</f>
        <v>30.601037698620633</v>
      </c>
      <c r="K91" s="3081">
        <f>IF(SUM(K92:K103)=0,"NO",SUM(K92:K103))</f>
        <v>2.7404211132884013</v>
      </c>
      <c r="L91" s="3081">
        <f>IF(SUM(L92:L103)=0,"NO",SUM(L92:L103))</f>
        <v>1.5158559542315899</v>
      </c>
      <c r="M91" s="3193" t="str">
        <f>IF(SUM(M92:M103)=0,"NO",SUM(M92:M103))</f>
        <v>NO</v>
      </c>
    </row>
    <row r="92" spans="2:13" ht="18" customHeight="1" x14ac:dyDescent="0.2">
      <c r="B92" s="2634" t="s">
        <v>671</v>
      </c>
      <c r="C92" s="2636" t="s">
        <v>671</v>
      </c>
      <c r="D92" s="3461">
        <v>0.74303158098899103</v>
      </c>
      <c r="E92" s="3461">
        <v>1.6381111858998296</v>
      </c>
      <c r="F92" s="3461">
        <v>2.2084130426891738E-2</v>
      </c>
      <c r="G92" s="3081">
        <f>IF(SUM(D92)=0,"NA",J92/D92)</f>
        <v>0.6</v>
      </c>
      <c r="H92" s="3081">
        <f>IF(SUM(E92)=0,"NA",K92/E92)</f>
        <v>2.4372287826246553E-2</v>
      </c>
      <c r="I92" s="3081">
        <f>IF(SUM(F92)=0,"NA",L92/F92)</f>
        <v>0.99999999999999178</v>
      </c>
      <c r="J92" s="3194">
        <v>0.4458189485933946</v>
      </c>
      <c r="K92" s="3194">
        <v>3.9924517314144724E-2</v>
      </c>
      <c r="L92" s="3194">
        <v>2.2084130426891557E-2</v>
      </c>
      <c r="M92" s="3460" t="s">
        <v>199</v>
      </c>
    </row>
    <row r="93" spans="2:13" ht="18" customHeight="1" x14ac:dyDescent="0.2">
      <c r="B93" s="2634" t="s">
        <v>672</v>
      </c>
      <c r="C93" s="2636" t="s">
        <v>672</v>
      </c>
      <c r="D93" s="3461">
        <v>2.2177679138999142</v>
      </c>
      <c r="E93" s="3461">
        <v>4.8893620681016605</v>
      </c>
      <c r="F93" s="3461">
        <v>6.5915739142542548E-2</v>
      </c>
      <c r="G93" s="3081">
        <f t="shared" ref="G93:G103" si="49">IF(SUM(D93)=0,"NA",J93/D93)</f>
        <v>0.6</v>
      </c>
      <c r="H93" s="3081">
        <f t="shared" ref="H93:H103" si="50">IF(SUM(E93)=0,"NA",K93/E93)</f>
        <v>2.4372287826246557E-2</v>
      </c>
      <c r="I93" s="3081">
        <f t="shared" ref="I93:I103" si="51">IF(SUM(F93)=0,"NA",L93/F93)</f>
        <v>0.99999999999999178</v>
      </c>
      <c r="J93" s="3194">
        <v>1.3306607483399484</v>
      </c>
      <c r="K93" s="3194">
        <v>0.11916493961050578</v>
      </c>
      <c r="L93" s="3194">
        <v>6.5915739142542007E-2</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9.0983262332175023</v>
      </c>
      <c r="E95" s="3461">
        <v>20.058460981916561</v>
      </c>
      <c r="F95" s="3461">
        <v>0.27041733937250095</v>
      </c>
      <c r="G95" s="3081">
        <f t="shared" si="49"/>
        <v>0.6</v>
      </c>
      <c r="H95" s="3081">
        <f t="shared" si="50"/>
        <v>2.4372287826246553E-2</v>
      </c>
      <c r="I95" s="3081">
        <f t="shared" si="51"/>
        <v>0.9999999999999899</v>
      </c>
      <c r="J95" s="3194">
        <v>5.4589957399305016</v>
      </c>
      <c r="K95" s="3194">
        <v>0.48887058440280645</v>
      </c>
      <c r="L95" s="3194">
        <v>0.27041733937249823</v>
      </c>
      <c r="M95" s="3460" t="s">
        <v>199</v>
      </c>
    </row>
    <row r="96" spans="2:13" ht="18" customHeight="1" x14ac:dyDescent="0.2">
      <c r="B96" s="2634" t="s">
        <v>676</v>
      </c>
      <c r="C96" s="2636" t="s">
        <v>676</v>
      </c>
      <c r="D96" s="3461">
        <v>1.6387471706107066E-2</v>
      </c>
      <c r="E96" s="3461">
        <v>3.6128344201279236E-2</v>
      </c>
      <c r="F96" s="3461">
        <v>4.870628271855764E-4</v>
      </c>
      <c r="G96" s="3081">
        <f t="shared" si="49"/>
        <v>0.60000000000000009</v>
      </c>
      <c r="H96" s="3081">
        <f t="shared" si="50"/>
        <v>2.437228782624655E-2</v>
      </c>
      <c r="I96" s="3081">
        <f t="shared" si="51"/>
        <v>0.99999999999999389</v>
      </c>
      <c r="J96" s="3194">
        <v>9.8324830236642402E-3</v>
      </c>
      <c r="K96" s="3194">
        <v>8.8053040355928302E-4</v>
      </c>
      <c r="L96" s="3194">
        <v>4.8706282718557342E-4</v>
      </c>
      <c r="M96" s="3460" t="s">
        <v>199</v>
      </c>
    </row>
    <row r="97" spans="2:13" ht="18" customHeight="1" x14ac:dyDescent="0.2">
      <c r="B97" s="2634" t="s">
        <v>677</v>
      </c>
      <c r="C97" s="2636" t="s">
        <v>677</v>
      </c>
      <c r="D97" s="3461">
        <v>28.155786186961226</v>
      </c>
      <c r="E97" s="3461">
        <v>62.073146661243271</v>
      </c>
      <c r="F97" s="3461">
        <v>0.83683664373579458</v>
      </c>
      <c r="G97" s="3081">
        <f t="shared" si="49"/>
        <v>0.6</v>
      </c>
      <c r="H97" s="3081">
        <f t="shared" si="50"/>
        <v>2.4372287826246553E-2</v>
      </c>
      <c r="I97" s="3081">
        <f t="shared" si="51"/>
        <v>0.99999999999999445</v>
      </c>
      <c r="J97" s="3194">
        <v>16.893471712176733</v>
      </c>
      <c r="K97" s="3194">
        <v>1.5128645967086363</v>
      </c>
      <c r="L97" s="3194">
        <v>0.83683664373578992</v>
      </c>
      <c r="M97" s="3460" t="s">
        <v>199</v>
      </c>
    </row>
    <row r="98" spans="2:13" ht="18" customHeight="1" x14ac:dyDescent="0.2">
      <c r="B98" s="2634" t="s">
        <v>679</v>
      </c>
      <c r="C98" s="2636" t="s">
        <v>679</v>
      </c>
      <c r="D98" s="3461">
        <v>8.1474627494997733</v>
      </c>
      <c r="E98" s="3461">
        <v>17.962156936712365</v>
      </c>
      <c r="F98" s="3461">
        <v>0.24215610024099482</v>
      </c>
      <c r="G98" s="3081">
        <f t="shared" si="49"/>
        <v>0.6</v>
      </c>
      <c r="H98" s="3081">
        <f t="shared" si="50"/>
        <v>2.437228782624655E-2</v>
      </c>
      <c r="I98" s="3081">
        <f t="shared" si="51"/>
        <v>0.99999999999999201</v>
      </c>
      <c r="J98" s="3194">
        <v>4.8884776496998636</v>
      </c>
      <c r="K98" s="3194">
        <v>0.43777885884176482</v>
      </c>
      <c r="L98" s="3194">
        <v>0.24215610024099288</v>
      </c>
      <c r="M98" s="3460" t="s">
        <v>199</v>
      </c>
    </row>
    <row r="99" spans="2:13" ht="18" customHeight="1" x14ac:dyDescent="0.2">
      <c r="B99" s="2634" t="s">
        <v>681</v>
      </c>
      <c r="C99" s="2636" t="s">
        <v>681</v>
      </c>
      <c r="D99" s="3461">
        <v>0.67048593767854281</v>
      </c>
      <c r="E99" s="3461">
        <v>1.4781747406185017</v>
      </c>
      <c r="F99" s="3461">
        <v>1.9927953637423026E-2</v>
      </c>
      <c r="G99" s="3081">
        <f t="shared" si="49"/>
        <v>0.6</v>
      </c>
      <c r="H99" s="3081">
        <f t="shared" si="50"/>
        <v>2.4372287826246553E-2</v>
      </c>
      <c r="I99" s="3081">
        <f t="shared" si="51"/>
        <v>0.99999999999999323</v>
      </c>
      <c r="J99" s="3194">
        <v>0.40229156260712567</v>
      </c>
      <c r="K99" s="3194">
        <v>3.6026500235841467E-2</v>
      </c>
      <c r="L99" s="3194">
        <v>1.992795363742289E-2</v>
      </c>
      <c r="M99" s="3460" t="s">
        <v>199</v>
      </c>
    </row>
    <row r="100" spans="2:13" ht="18" customHeight="1" x14ac:dyDescent="0.2">
      <c r="B100" s="2634" t="s">
        <v>683</v>
      </c>
      <c r="C100" s="2636" t="s">
        <v>683</v>
      </c>
      <c r="D100" s="3461">
        <v>0.5237826618560032</v>
      </c>
      <c r="E100" s="3461">
        <v>1.1547480071098344</v>
      </c>
      <c r="F100" s="3461">
        <v>1.5567689066965635E-2</v>
      </c>
      <c r="G100" s="3081">
        <f t="shared" si="49"/>
        <v>0.6</v>
      </c>
      <c r="H100" s="3081">
        <f t="shared" si="50"/>
        <v>2.437228782624655E-2</v>
      </c>
      <c r="I100" s="3081">
        <f t="shared" si="51"/>
        <v>0.99999999999999034</v>
      </c>
      <c r="J100" s="3194">
        <v>0.31426959711360192</v>
      </c>
      <c r="K100" s="3194">
        <v>2.8143850796065482E-2</v>
      </c>
      <c r="L100" s="3194">
        <v>1.5567689066965484E-2</v>
      </c>
      <c r="M100" s="3460" t="s">
        <v>199</v>
      </c>
    </row>
    <row r="101" spans="2:13" ht="18" customHeight="1" x14ac:dyDescent="0.2">
      <c r="B101" s="2634" t="s">
        <v>686</v>
      </c>
      <c r="C101" s="2636" t="s">
        <v>686</v>
      </c>
      <c r="D101" s="3461">
        <v>8.9649715589044943E-2</v>
      </c>
      <c r="E101" s="3461">
        <v>0.19764463002189503</v>
      </c>
      <c r="F101" s="3461">
        <v>2.6645381736897554E-3</v>
      </c>
      <c r="G101" s="3081">
        <f t="shared" si="49"/>
        <v>0.60000000000000009</v>
      </c>
      <c r="H101" s="3081">
        <f t="shared" si="50"/>
        <v>2.437228782624655E-2</v>
      </c>
      <c r="I101" s="3081">
        <f t="shared" si="51"/>
        <v>0.99999999999999312</v>
      </c>
      <c r="J101" s="3194">
        <v>5.3789829353426973E-2</v>
      </c>
      <c r="K101" s="3194">
        <v>4.8170518102056354E-3</v>
      </c>
      <c r="L101" s="3194">
        <v>2.6645381736897372E-3</v>
      </c>
      <c r="M101" s="3460" t="s">
        <v>199</v>
      </c>
    </row>
    <row r="102" spans="2:13" ht="18" customHeight="1" x14ac:dyDescent="0.2">
      <c r="B102" s="2634" t="s">
        <v>688</v>
      </c>
      <c r="C102" s="2636" t="s">
        <v>688</v>
      </c>
      <c r="D102" s="3461">
        <v>0.45079133549089112</v>
      </c>
      <c r="E102" s="3461">
        <v>0.9938289947130694</v>
      </c>
      <c r="F102" s="3461">
        <v>1.3398265838233664E-2</v>
      </c>
      <c r="G102" s="3081">
        <f t="shared" si="49"/>
        <v>0.6</v>
      </c>
      <c r="H102" s="3081">
        <f t="shared" si="50"/>
        <v>2.437228782624655E-2</v>
      </c>
      <c r="I102" s="3081">
        <f t="shared" si="51"/>
        <v>0.99999999999999212</v>
      </c>
      <c r="J102" s="3194">
        <v>0.27047480129453466</v>
      </c>
      <c r="K102" s="3194">
        <v>2.4221886309216189E-2</v>
      </c>
      <c r="L102" s="3194">
        <v>1.3398265838233558E-2</v>
      </c>
      <c r="M102" s="3460" t="s">
        <v>199</v>
      </c>
    </row>
    <row r="103" spans="2:13" ht="18" customHeight="1" x14ac:dyDescent="0.2">
      <c r="B103" s="2634" t="s">
        <v>689</v>
      </c>
      <c r="C103" s="2636" t="s">
        <v>689</v>
      </c>
      <c r="D103" s="3461">
        <v>0.88825771081306681</v>
      </c>
      <c r="E103" s="3461">
        <v>1.9582813561005552</v>
      </c>
      <c r="F103" s="3461">
        <v>2.6400491769378361E-2</v>
      </c>
      <c r="G103" s="3081">
        <f t="shared" si="49"/>
        <v>0.6</v>
      </c>
      <c r="H103" s="3081">
        <f t="shared" si="50"/>
        <v>2.437228782624655E-2</v>
      </c>
      <c r="I103" s="3081">
        <f t="shared" si="51"/>
        <v>0.99999999999998546</v>
      </c>
      <c r="J103" s="3194">
        <v>0.53295462648784009</v>
      </c>
      <c r="K103" s="3194">
        <v>4.7727796855655147E-2</v>
      </c>
      <c r="L103" s="3194">
        <v>2.6400491769377976E-2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0.17386821808399361</v>
      </c>
      <c r="K117" s="3081">
        <f>IF(SUM(K118:K129)=0,"NO",SUM(K118:K129))</f>
        <v>13.151467540485113</v>
      </c>
      <c r="L117" s="3081">
        <f>IF(SUM(L118:L129)=0,"NO",SUM(L118:L129))</f>
        <v>10.602202076438465</v>
      </c>
      <c r="M117" s="3193">
        <f>IF(SUM(M118:M129)=0,"NO",SUM(M118:M129))</f>
        <v>-6.7531538268964688</v>
      </c>
    </row>
    <row r="118" spans="2:13" ht="18" customHeight="1" x14ac:dyDescent="0.2">
      <c r="B118" s="2634" t="s">
        <v>671</v>
      </c>
      <c r="C118" s="2636" t="s">
        <v>671</v>
      </c>
      <c r="D118" s="3461">
        <v>0.72372658865287931</v>
      </c>
      <c r="E118" s="3461">
        <v>3.9990853880844042</v>
      </c>
      <c r="F118" s="3461">
        <v>0.2528458870412002</v>
      </c>
      <c r="G118" s="4443">
        <f>IF(SUM(D118)=0,"NA",J118/D118)</f>
        <v>3.5000000000000001E-3</v>
      </c>
      <c r="H118" s="3081">
        <f>IF(SUM(E118)=0,"NA",K118/E118)</f>
        <v>4.791107435471121E-2</v>
      </c>
      <c r="I118" s="3081">
        <f>IF(SUM(F118)=0,"NA",L118/F118)</f>
        <v>0.610889349402578</v>
      </c>
      <c r="J118" s="3194">
        <v>2.5330430602850777E-3</v>
      </c>
      <c r="K118" s="3194">
        <v>0.19160047737935101</v>
      </c>
      <c r="L118" s="3194">
        <v>0.15446085943371651</v>
      </c>
      <c r="M118" s="3460">
        <v>-9.8385027607483772E-2</v>
      </c>
    </row>
    <row r="119" spans="2:13" ht="18" customHeight="1" x14ac:dyDescent="0.2">
      <c r="B119" s="2634" t="s">
        <v>672</v>
      </c>
      <c r="C119" s="2636" t="s">
        <v>672</v>
      </c>
      <c r="D119" s="3461">
        <v>2.1601472236405233</v>
      </c>
      <c r="E119" s="3461">
        <v>11.936293807101295</v>
      </c>
      <c r="F119" s="3461">
        <v>0.75468325948563442</v>
      </c>
      <c r="G119" s="4443">
        <f t="shared" ref="G119:G129" si="77">IF(SUM(D119)=0,"NA",J119/D119)</f>
        <v>3.5000000000000001E-3</v>
      </c>
      <c r="H119" s="3081">
        <f t="shared" ref="H119:H129" si="78">IF(SUM(E119)=0,"NA",K119/E119)</f>
        <v>4.7911074354711203E-2</v>
      </c>
      <c r="I119" s="3081">
        <f t="shared" ref="I119:I129" si="79">IF(SUM(F119)=0,"NA",L119/F119)</f>
        <v>0.61088934940257789</v>
      </c>
      <c r="J119" s="3194">
        <v>7.560515282741832E-3</v>
      </c>
      <c r="K119" s="3194">
        <v>0.57188066011170902</v>
      </c>
      <c r="L119" s="3194">
        <v>0.46102796539219609</v>
      </c>
      <c r="M119" s="3460">
        <v>-0.29365529409343855</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8.8619390826606939</v>
      </c>
      <c r="E121" s="3461">
        <v>48.968286713810919</v>
      </c>
      <c r="F121" s="3461">
        <v>3.0960653973363015</v>
      </c>
      <c r="G121" s="4443">
        <f t="shared" si="77"/>
        <v>3.5000000000000001E-3</v>
      </c>
      <c r="H121" s="3081">
        <f t="shared" si="78"/>
        <v>4.7911074354711203E-2</v>
      </c>
      <c r="I121" s="3081">
        <f t="shared" si="79"/>
        <v>0.610889349402578</v>
      </c>
      <c r="J121" s="3194">
        <v>3.1016786789312429E-2</v>
      </c>
      <c r="K121" s="3194">
        <v>2.3461232257682116</v>
      </c>
      <c r="L121" s="3194">
        <v>1.8913533762866073</v>
      </c>
      <c r="M121" s="3460">
        <v>-1.2047120210496955</v>
      </c>
    </row>
    <row r="122" spans="2:13" ht="18" customHeight="1" x14ac:dyDescent="0.2">
      <c r="B122" s="2634" t="s">
        <v>676</v>
      </c>
      <c r="C122" s="2636" t="s">
        <v>676</v>
      </c>
      <c r="D122" s="3461">
        <v>1.5961702433590332E-2</v>
      </c>
      <c r="E122" s="3461">
        <v>8.8199344851952355E-2</v>
      </c>
      <c r="F122" s="3461">
        <v>5.5764854764021174E-3</v>
      </c>
      <c r="G122" s="4443">
        <f t="shared" si="77"/>
        <v>3.5000000000000001E-3</v>
      </c>
      <c r="H122" s="3081">
        <f t="shared" si="78"/>
        <v>4.791107435471121E-2</v>
      </c>
      <c r="I122" s="3081">
        <f t="shared" si="79"/>
        <v>0.61088934940257789</v>
      </c>
      <c r="J122" s="3194">
        <v>5.5865958517566162E-5</v>
      </c>
      <c r="K122" s="3194">
        <v>4.2257253692387043E-3</v>
      </c>
      <c r="L122" s="3194">
        <v>3.4066155846322142E-3</v>
      </c>
      <c r="M122" s="3460">
        <v>-2.1698698917699049E-3</v>
      </c>
    </row>
    <row r="123" spans="2:13" ht="18" customHeight="1" x14ac:dyDescent="0.2">
      <c r="B123" s="2634" t="s">
        <v>677</v>
      </c>
      <c r="C123" s="2636" t="s">
        <v>677</v>
      </c>
      <c r="D123" s="3461">
        <v>27.424259761350875</v>
      </c>
      <c r="E123" s="3461">
        <v>151.53782963092334</v>
      </c>
      <c r="F123" s="3461">
        <v>9.5811199899591628</v>
      </c>
      <c r="G123" s="4443">
        <f t="shared" si="77"/>
        <v>3.4999999999999996E-3</v>
      </c>
      <c r="H123" s="3081">
        <f t="shared" si="78"/>
        <v>4.7911074354711203E-2</v>
      </c>
      <c r="I123" s="3081">
        <f t="shared" si="79"/>
        <v>0.61088934940257789</v>
      </c>
      <c r="J123" s="3194">
        <v>9.5984909164728058E-2</v>
      </c>
      <c r="K123" s="3194">
        <v>7.2603402229987264</v>
      </c>
      <c r="L123" s="3194">
        <v>5.8530041572141869</v>
      </c>
      <c r="M123" s="3460">
        <v>-3.728115832744979</v>
      </c>
    </row>
    <row r="124" spans="2:13" ht="18" customHeight="1" x14ac:dyDescent="0.2">
      <c r="B124" s="2634" t="s">
        <v>679</v>
      </c>
      <c r="C124" s="2636" t="s">
        <v>679</v>
      </c>
      <c r="D124" s="3461">
        <v>7.9357803527320661</v>
      </c>
      <c r="E124" s="3461">
        <v>43.850625013971353</v>
      </c>
      <c r="F124" s="3461">
        <v>2.7724964843222839</v>
      </c>
      <c r="G124" s="4443">
        <f t="shared" si="77"/>
        <v>3.5000000000000001E-3</v>
      </c>
      <c r="H124" s="3081">
        <f t="shared" si="78"/>
        <v>4.791107435471121E-2</v>
      </c>
      <c r="I124" s="3081">
        <f t="shared" si="79"/>
        <v>0.61088934940257789</v>
      </c>
      <c r="J124" s="3194">
        <v>2.7775231234562232E-2</v>
      </c>
      <c r="K124" s="3194">
        <v>2.1009305555449407</v>
      </c>
      <c r="L124" s="3194">
        <v>1.6936885735285745</v>
      </c>
      <c r="M124" s="3460">
        <v>-1.0788079107937103</v>
      </c>
    </row>
    <row r="125" spans="2:13" ht="18" customHeight="1" x14ac:dyDescent="0.2">
      <c r="B125" s="2634" t="s">
        <v>681</v>
      </c>
      <c r="C125" s="2636" t="s">
        <v>681</v>
      </c>
      <c r="D125" s="3461">
        <v>0.65306578190114439</v>
      </c>
      <c r="E125" s="3461">
        <v>3.6086360053733149</v>
      </c>
      <c r="F125" s="3461">
        <v>0.22815936226470276</v>
      </c>
      <c r="G125" s="4443">
        <f t="shared" si="77"/>
        <v>3.4999999999999996E-3</v>
      </c>
      <c r="H125" s="3081">
        <f t="shared" si="78"/>
        <v>4.7911074354711203E-2</v>
      </c>
      <c r="I125" s="3081">
        <f t="shared" si="79"/>
        <v>0.610889349402578</v>
      </c>
      <c r="J125" s="3194">
        <v>2.2857302366540051E-3</v>
      </c>
      <c r="K125" s="3194">
        <v>0.17289362797252891</v>
      </c>
      <c r="L125" s="3194">
        <v>0.13938012437399139</v>
      </c>
      <c r="M125" s="3460">
        <v>-8.8779237890711474E-2</v>
      </c>
    </row>
    <row r="126" spans="2:13" ht="18" customHeight="1" x14ac:dyDescent="0.2">
      <c r="B126" s="2634" t="s">
        <v>683</v>
      </c>
      <c r="C126" s="2636" t="s">
        <v>683</v>
      </c>
      <c r="D126" s="3461">
        <v>0.51017406091408957</v>
      </c>
      <c r="E126" s="3461">
        <v>2.8190613200750776</v>
      </c>
      <c r="F126" s="3461">
        <v>0.17823776962145618</v>
      </c>
      <c r="G126" s="4443">
        <f t="shared" si="77"/>
        <v>3.5000000000000005E-3</v>
      </c>
      <c r="H126" s="3081">
        <f t="shared" si="78"/>
        <v>4.7911074354711203E-2</v>
      </c>
      <c r="I126" s="3081">
        <f t="shared" si="79"/>
        <v>0.61088934940257822</v>
      </c>
      <c r="J126" s="3194">
        <v>1.7856092131993137E-3</v>
      </c>
      <c r="K126" s="3194">
        <v>0.13506425651660736</v>
      </c>
      <c r="L126" s="3194">
        <v>0.10888355512301798</v>
      </c>
      <c r="M126" s="3460">
        <v>-6.9354214498438316E-2</v>
      </c>
    </row>
    <row r="127" spans="2:13" ht="18" customHeight="1" x14ac:dyDescent="0.2">
      <c r="B127" s="2634" t="s">
        <v>686</v>
      </c>
      <c r="C127" s="2636" t="s">
        <v>686</v>
      </c>
      <c r="D127" s="3461">
        <v>8.7320491479784976E-2</v>
      </c>
      <c r="E127" s="3461">
        <v>0.48250555808257656</v>
      </c>
      <c r="F127" s="3461">
        <v>3.0506861943784908E-2</v>
      </c>
      <c r="G127" s="4443">
        <f t="shared" si="77"/>
        <v>3.5000000000000005E-3</v>
      </c>
      <c r="H127" s="3081">
        <f t="shared" si="78"/>
        <v>4.7911074354711203E-2</v>
      </c>
      <c r="I127" s="3081">
        <f t="shared" si="79"/>
        <v>0.610889349402578</v>
      </c>
      <c r="J127" s="3194">
        <v>3.0562172017924746E-4</v>
      </c>
      <c r="K127" s="3194">
        <v>2.3117359669855751E-2</v>
      </c>
      <c r="L127" s="3194">
        <v>1.8636317045153027E-2</v>
      </c>
      <c r="M127" s="3460">
        <v>-1.187054489863189E-2</v>
      </c>
    </row>
    <row r="128" spans="2:13" ht="18" customHeight="1" x14ac:dyDescent="0.2">
      <c r="B128" s="2634" t="s">
        <v>688</v>
      </c>
      <c r="C128" s="2636" t="s">
        <v>688</v>
      </c>
      <c r="D128" s="3461">
        <v>0.43907915057237934</v>
      </c>
      <c r="E128" s="3461">
        <v>2.4262132175286202</v>
      </c>
      <c r="F128" s="3461">
        <v>0.15339958355601901</v>
      </c>
      <c r="G128" s="4443">
        <f t="shared" si="77"/>
        <v>3.5000000000000005E-3</v>
      </c>
      <c r="H128" s="3081">
        <f t="shared" si="78"/>
        <v>4.7911074354711196E-2</v>
      </c>
      <c r="I128" s="3081">
        <f t="shared" si="79"/>
        <v>0.61088934940257789</v>
      </c>
      <c r="J128" s="3194">
        <v>1.536777027003328E-3</v>
      </c>
      <c r="K128" s="3194">
        <v>0.11624248186539682</v>
      </c>
      <c r="L128" s="3194">
        <v>9.3710171797162845E-2</v>
      </c>
      <c r="M128" s="3460">
        <v>-5.9689411758856219E-2</v>
      </c>
    </row>
    <row r="129" spans="2:13" ht="18" customHeight="1" x14ac:dyDescent="0.2">
      <c r="B129" s="2634" t="s">
        <v>689</v>
      </c>
      <c r="C129" s="2636" t="s">
        <v>689</v>
      </c>
      <c r="D129" s="3461">
        <v>0.86517954194585089</v>
      </c>
      <c r="E129" s="3461">
        <v>4.7807098958536312</v>
      </c>
      <c r="F129" s="3461">
        <v>0.30226482232798041</v>
      </c>
      <c r="G129" s="4443">
        <f t="shared" si="77"/>
        <v>3.5000000000000001E-3</v>
      </c>
      <c r="H129" s="3081">
        <f t="shared" si="78"/>
        <v>4.7911074354711203E-2</v>
      </c>
      <c r="I129" s="3081">
        <f t="shared" si="79"/>
        <v>0.61088934940257789</v>
      </c>
      <c r="J129" s="3194">
        <v>3.0281283968104783E-3</v>
      </c>
      <c r="K129" s="3194">
        <v>0.22904894728854697</v>
      </c>
      <c r="L129" s="3194">
        <v>0.18465036065922574</v>
      </c>
      <c r="M129" s="3460">
        <v>-0.11761446166875474</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75.916609368479271</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75.916609368479271</v>
      </c>
      <c r="L131" s="3196"/>
      <c r="M131" s="3193" t="str">
        <f>IF(SUM(M132:M143)=0,"NO",SUM(M132:M143))</f>
        <v>NO</v>
      </c>
    </row>
    <row r="132" spans="2:13" ht="18" customHeight="1" x14ac:dyDescent="0.2">
      <c r="B132" s="2634" t="s">
        <v>671</v>
      </c>
      <c r="C132" s="2636" t="s">
        <v>671</v>
      </c>
      <c r="D132" s="3461" t="s">
        <v>199</v>
      </c>
      <c r="E132" s="3461">
        <v>1.5421899693166976</v>
      </c>
      <c r="F132" s="346"/>
      <c r="G132" s="3668" t="str">
        <f>IF(SUM(D132)=0,"NA",J132/D132)</f>
        <v>NA</v>
      </c>
      <c r="H132" s="3081">
        <f>IF(SUM(E132)=0,"NA",K132/E132)</f>
        <v>0.71716865285881459</v>
      </c>
      <c r="I132" s="4253"/>
      <c r="J132" s="3194" t="s">
        <v>199</v>
      </c>
      <c r="K132" s="3194">
        <v>1.1060103027472326</v>
      </c>
      <c r="L132" s="3196"/>
      <c r="M132" s="3460" t="s">
        <v>199</v>
      </c>
    </row>
    <row r="133" spans="2:13" ht="18" customHeight="1" x14ac:dyDescent="0.2">
      <c r="B133" s="2634" t="s">
        <v>672</v>
      </c>
      <c r="C133" s="2636" t="s">
        <v>672</v>
      </c>
      <c r="D133" s="3461" t="s">
        <v>199</v>
      </c>
      <c r="E133" s="3461">
        <v>4.6030606485615051</v>
      </c>
      <c r="F133" s="346"/>
      <c r="G133" s="3668" t="str">
        <f t="shared" ref="G133:G143" si="80">IF(SUM(D133)=0,"NA",J133/D133)</f>
        <v>NA</v>
      </c>
      <c r="H133" s="3081">
        <f t="shared" ref="H133:H143" si="81">IF(SUM(E133)=0,"NA",K133/E133)</f>
        <v>0.71716865285881448</v>
      </c>
      <c r="I133" s="4253"/>
      <c r="J133" s="3194" t="s">
        <v>199</v>
      </c>
      <c r="K133" s="3194">
        <v>3.3011708043562753</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18.883918010272161</v>
      </c>
      <c r="F135" s="346"/>
      <c r="G135" s="3668" t="str">
        <f t="shared" si="80"/>
        <v>NA</v>
      </c>
      <c r="H135" s="3081">
        <f t="shared" si="81"/>
        <v>0.71716865285881448</v>
      </c>
      <c r="I135" s="4253"/>
      <c r="J135" s="3194" t="s">
        <v>199</v>
      </c>
      <c r="K135" s="3194">
        <v>13.54295404012319</v>
      </c>
      <c r="L135" s="3196"/>
      <c r="M135" s="3460" t="s">
        <v>199</v>
      </c>
    </row>
    <row r="136" spans="2:13" ht="18" customHeight="1" x14ac:dyDescent="0.2">
      <c r="B136" s="2634" t="s">
        <v>676</v>
      </c>
      <c r="C136" s="2636" t="s">
        <v>676</v>
      </c>
      <c r="D136" s="3461" t="s">
        <v>199</v>
      </c>
      <c r="E136" s="3461">
        <v>3.4012813363842688E-2</v>
      </c>
      <c r="F136" s="346"/>
      <c r="G136" s="3668" t="str">
        <f t="shared" si="80"/>
        <v>NA</v>
      </c>
      <c r="H136" s="3081">
        <f t="shared" si="81"/>
        <v>0.71716865285881448</v>
      </c>
      <c r="I136" s="4253"/>
      <c r="J136" s="3194" t="s">
        <v>199</v>
      </c>
      <c r="K136" s="3194">
        <v>2.4392923540085341E-2</v>
      </c>
      <c r="L136" s="3196"/>
      <c r="M136" s="3460" t="s">
        <v>199</v>
      </c>
    </row>
    <row r="137" spans="2:13" ht="18" customHeight="1" x14ac:dyDescent="0.2">
      <c r="B137" s="2634" t="s">
        <v>677</v>
      </c>
      <c r="C137" s="2636" t="s">
        <v>677</v>
      </c>
      <c r="D137" s="3461" t="s">
        <v>199</v>
      </c>
      <c r="E137" s="3461">
        <v>58.438392319694124</v>
      </c>
      <c r="F137" s="346"/>
      <c r="G137" s="3668" t="str">
        <f t="shared" si="80"/>
        <v>NA</v>
      </c>
      <c r="H137" s="3081">
        <f t="shared" si="81"/>
        <v>0.71716865285881448</v>
      </c>
      <c r="I137" s="4253"/>
      <c r="J137" s="3194" t="s">
        <v>199</v>
      </c>
      <c r="K137" s="3194">
        <v>41.910183095149925</v>
      </c>
      <c r="L137" s="3196"/>
      <c r="M137" s="3460" t="s">
        <v>199</v>
      </c>
    </row>
    <row r="138" spans="2:13" ht="18" customHeight="1" x14ac:dyDescent="0.2">
      <c r="B138" s="2634" t="s">
        <v>679</v>
      </c>
      <c r="C138" s="2636" t="s">
        <v>679</v>
      </c>
      <c r="D138" s="3461" t="s">
        <v>199</v>
      </c>
      <c r="E138" s="3461">
        <v>16.910365116561795</v>
      </c>
      <c r="F138" s="346"/>
      <c r="G138" s="3668" t="str">
        <f t="shared" si="80"/>
        <v>NA</v>
      </c>
      <c r="H138" s="3081">
        <f t="shared" si="81"/>
        <v>0.71716865285881437</v>
      </c>
      <c r="I138" s="4253"/>
      <c r="J138" s="3194" t="s">
        <v>199</v>
      </c>
      <c r="K138" s="3194">
        <v>12.12758376999531</v>
      </c>
      <c r="L138" s="3196"/>
      <c r="M138" s="3460" t="s">
        <v>199</v>
      </c>
    </row>
    <row r="139" spans="2:13" ht="18" customHeight="1" x14ac:dyDescent="0.2">
      <c r="B139" s="2634" t="s">
        <v>681</v>
      </c>
      <c r="C139" s="2636" t="s">
        <v>681</v>
      </c>
      <c r="D139" s="3461" t="s">
        <v>199</v>
      </c>
      <c r="E139" s="3461">
        <v>1.3916187603755021</v>
      </c>
      <c r="F139" s="346"/>
      <c r="G139" s="3668" t="str">
        <f t="shared" si="80"/>
        <v>NA</v>
      </c>
      <c r="H139" s="3081">
        <f t="shared" si="81"/>
        <v>0.71716865285881448</v>
      </c>
      <c r="I139" s="4253"/>
      <c r="J139" s="3194" t="s">
        <v>199</v>
      </c>
      <c r="K139" s="3194">
        <v>0.99802535167155226</v>
      </c>
      <c r="L139" s="3196"/>
      <c r="M139" s="3460" t="s">
        <v>199</v>
      </c>
    </row>
    <row r="140" spans="2:13" ht="18" customHeight="1" x14ac:dyDescent="0.2">
      <c r="B140" s="2634" t="s">
        <v>683</v>
      </c>
      <c r="C140" s="2636" t="s">
        <v>683</v>
      </c>
      <c r="D140" s="3461" t="s">
        <v>199</v>
      </c>
      <c r="E140" s="3461">
        <v>1.087130598326878</v>
      </c>
      <c r="F140" s="346"/>
      <c r="G140" s="3668" t="str">
        <f t="shared" si="80"/>
        <v>NA</v>
      </c>
      <c r="H140" s="3081">
        <f t="shared" si="81"/>
        <v>0.71716865285881437</v>
      </c>
      <c r="I140" s="4253"/>
      <c r="J140" s="3194" t="s">
        <v>199</v>
      </c>
      <c r="K140" s="3194">
        <v>0.77965598668368397</v>
      </c>
      <c r="L140" s="3196"/>
      <c r="M140" s="3460" t="s">
        <v>199</v>
      </c>
    </row>
    <row r="141" spans="2:13" ht="18" customHeight="1" x14ac:dyDescent="0.2">
      <c r="B141" s="2634" t="s">
        <v>686</v>
      </c>
      <c r="C141" s="2636" t="s">
        <v>686</v>
      </c>
      <c r="D141" s="3461" t="s">
        <v>199</v>
      </c>
      <c r="E141" s="3461">
        <v>0.18607135372294273</v>
      </c>
      <c r="F141" s="346"/>
      <c r="G141" s="3668" t="str">
        <f t="shared" si="80"/>
        <v>NA</v>
      </c>
      <c r="H141" s="3081">
        <f t="shared" si="81"/>
        <v>0.71716865285881437</v>
      </c>
      <c r="I141" s="4253"/>
      <c r="J141" s="3194" t="s">
        <v>199</v>
      </c>
      <c r="K141" s="3194">
        <v>0.13344454208509876</v>
      </c>
      <c r="L141" s="3196"/>
      <c r="M141" s="3460" t="s">
        <v>199</v>
      </c>
    </row>
    <row r="142" spans="2:13" ht="18" customHeight="1" x14ac:dyDescent="0.2">
      <c r="B142" s="2634" t="s">
        <v>688</v>
      </c>
      <c r="C142" s="2636" t="s">
        <v>688</v>
      </c>
      <c r="D142" s="3461" t="s">
        <v>199</v>
      </c>
      <c r="E142" s="3461">
        <v>0.93563435745704993</v>
      </c>
      <c r="F142" s="346"/>
      <c r="G142" s="3668" t="str">
        <f t="shared" si="80"/>
        <v>NA</v>
      </c>
      <c r="H142" s="3081">
        <f t="shared" si="81"/>
        <v>0.71716865285881448</v>
      </c>
      <c r="I142" s="4253"/>
      <c r="J142" s="3194" t="s">
        <v>199</v>
      </c>
      <c r="K142" s="3194">
        <v>0.67100763170589495</v>
      </c>
      <c r="L142" s="3196"/>
      <c r="M142" s="3460" t="s">
        <v>199</v>
      </c>
    </row>
    <row r="143" spans="2:13" ht="18" customHeight="1" x14ac:dyDescent="0.2">
      <c r="B143" s="2634" t="s">
        <v>689</v>
      </c>
      <c r="C143" s="2636" t="s">
        <v>689</v>
      </c>
      <c r="D143" s="3461" t="s">
        <v>199</v>
      </c>
      <c r="E143" s="3461">
        <v>1.8436122593346675</v>
      </c>
      <c r="F143" s="346"/>
      <c r="G143" s="3668" t="str">
        <f t="shared" si="80"/>
        <v>NA</v>
      </c>
      <c r="H143" s="3081">
        <f t="shared" si="81"/>
        <v>0.71716865285881448</v>
      </c>
      <c r="I143" s="4253"/>
      <c r="J143" s="3194" t="s">
        <v>199</v>
      </c>
      <c r="K143" s="3194">
        <v>1.3221809204210389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34.498428845880085</v>
      </c>
      <c r="L146" s="3081">
        <f>IF(SUM(L147:L158)=0,"NO",SUM(L147:L158))</f>
        <v>11.806992635796927</v>
      </c>
      <c r="M146" s="3193" t="str">
        <f>IF(SUM(M147:M158)=0,"NO",SUM(M147:M158))</f>
        <v>NO</v>
      </c>
    </row>
    <row r="147" spans="2:13" ht="18" customHeight="1" x14ac:dyDescent="0.2">
      <c r="B147" s="2634" t="s">
        <v>671</v>
      </c>
      <c r="C147" s="2636" t="s">
        <v>671</v>
      </c>
      <c r="D147" s="3461">
        <v>0.85890497773223373</v>
      </c>
      <c r="E147" s="3461">
        <v>1.4346506411423423</v>
      </c>
      <c r="F147" s="3461">
        <v>0.1720131550695162</v>
      </c>
      <c r="G147" s="3668" t="str">
        <f>IFERROR(J147/D147,"NA")</f>
        <v>NA</v>
      </c>
      <c r="H147" s="3081">
        <f>IF(SUM(E147)=0,"NA",K147/E147)</f>
        <v>0.35032854809719927</v>
      </c>
      <c r="I147" s="3081">
        <f>IF(SUM(F147)=0,"NA",L147/F147)</f>
        <v>0.99999999999999933</v>
      </c>
      <c r="J147" s="3194" t="s">
        <v>199</v>
      </c>
      <c r="K147" s="3194">
        <v>0.50259907613811283</v>
      </c>
      <c r="L147" s="3194">
        <v>0.17201315506951609</v>
      </c>
      <c r="M147" s="3460" t="s">
        <v>199</v>
      </c>
    </row>
    <row r="148" spans="2:13" ht="18" customHeight="1" x14ac:dyDescent="0.2">
      <c r="B148" s="2634" t="s">
        <v>672</v>
      </c>
      <c r="C148" s="2636" t="s">
        <v>672</v>
      </c>
      <c r="D148" s="3461">
        <v>2.5636217213918004</v>
      </c>
      <c r="E148" s="3461">
        <v>4.2820820016108687</v>
      </c>
      <c r="F148" s="3461">
        <v>0.51341728379041207</v>
      </c>
      <c r="G148" s="3668" t="str">
        <f t="shared" ref="G148:G158" si="82">IFERROR(J148/D148,"NA")</f>
        <v>NA</v>
      </c>
      <c r="H148" s="3081">
        <f t="shared" ref="H148:H158" si="83">IF(SUM(E148)=0,"NA",K148/E148)</f>
        <v>0.35032854809719921</v>
      </c>
      <c r="I148" s="3081">
        <f t="shared" ref="I148:I158" si="84">IF(SUM(F148)=0,"NA",L148/F148)</f>
        <v>0.99999999999999956</v>
      </c>
      <c r="J148" s="3194" t="s">
        <v>199</v>
      </c>
      <c r="K148" s="3194">
        <v>1.5001355704574844</v>
      </c>
      <c r="L148" s="3194">
        <v>0.51341728379041185</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10.517181087163049</v>
      </c>
      <c r="E150" s="3461">
        <v>17.567112755064819</v>
      </c>
      <c r="F150" s="3461">
        <v>2.1062789809612106</v>
      </c>
      <c r="G150" s="3668" t="str">
        <f t="shared" si="82"/>
        <v>NA</v>
      </c>
      <c r="H150" s="3081">
        <f t="shared" si="83"/>
        <v>0.35032854809719921</v>
      </c>
      <c r="I150" s="3081">
        <f t="shared" si="84"/>
        <v>0.99999999999999956</v>
      </c>
      <c r="J150" s="3194" t="s">
        <v>199</v>
      </c>
      <c r="K150" s="3194">
        <v>6.1542611057416474</v>
      </c>
      <c r="L150" s="3194">
        <v>2.1062789809612097</v>
      </c>
      <c r="M150" s="3460" t="s">
        <v>199</v>
      </c>
    </row>
    <row r="151" spans="2:13" ht="18" customHeight="1" x14ac:dyDescent="0.2">
      <c r="B151" s="2634" t="s">
        <v>676</v>
      </c>
      <c r="C151" s="2636" t="s">
        <v>676</v>
      </c>
      <c r="D151" s="3461">
        <v>1.8943045465290988E-2</v>
      </c>
      <c r="E151" s="3461">
        <v>3.1641046479580034E-2</v>
      </c>
      <c r="F151" s="3461">
        <v>3.7937293432776299E-3</v>
      </c>
      <c r="G151" s="3668" t="str">
        <f t="shared" si="82"/>
        <v>NA</v>
      </c>
      <c r="H151" s="3081">
        <f t="shared" si="83"/>
        <v>0.35032854809719927</v>
      </c>
      <c r="I151" s="3081">
        <f t="shared" si="84"/>
        <v>0.999999999999999</v>
      </c>
      <c r="J151" s="3194" t="s">
        <v>199</v>
      </c>
      <c r="K151" s="3194">
        <v>1.1084761873467271E-2</v>
      </c>
      <c r="L151" s="3194">
        <v>3.793729343277626E-3</v>
      </c>
      <c r="M151" s="3460" t="s">
        <v>199</v>
      </c>
    </row>
    <row r="152" spans="2:13" ht="18" customHeight="1" x14ac:dyDescent="0.2">
      <c r="B152" s="2634" t="s">
        <v>677</v>
      </c>
      <c r="C152" s="2636" t="s">
        <v>677</v>
      </c>
      <c r="D152" s="3461">
        <v>32.546590921151932</v>
      </c>
      <c r="E152" s="3461">
        <v>54.363391460731343</v>
      </c>
      <c r="F152" s="3461">
        <v>6.5181154333111193</v>
      </c>
      <c r="G152" s="3668" t="str">
        <f t="shared" si="82"/>
        <v>NA</v>
      </c>
      <c r="H152" s="3081">
        <f t="shared" si="83"/>
        <v>0.35032854809719927</v>
      </c>
      <c r="I152" s="3081">
        <f t="shared" si="84"/>
        <v>0.999999999999999</v>
      </c>
      <c r="J152" s="3194" t="s">
        <v>199</v>
      </c>
      <c r="K152" s="3194">
        <v>19.045048000077692</v>
      </c>
      <c r="L152" s="3194">
        <v>6.5181154333111131</v>
      </c>
      <c r="M152" s="3460" t="s">
        <v>199</v>
      </c>
    </row>
    <row r="153" spans="2:13" ht="18" customHeight="1" x14ac:dyDescent="0.2">
      <c r="B153" s="2634" t="s">
        <v>679</v>
      </c>
      <c r="C153" s="2636" t="s">
        <v>679</v>
      </c>
      <c r="D153" s="3461">
        <v>9.4180334867045037</v>
      </c>
      <c r="E153" s="3461">
        <v>15.731178803591641</v>
      </c>
      <c r="F153" s="3461">
        <v>1.8861523644626563</v>
      </c>
      <c r="G153" s="3668" t="str">
        <f t="shared" si="82"/>
        <v>NA</v>
      </c>
      <c r="H153" s="3081">
        <f t="shared" si="83"/>
        <v>0.35032854809719921</v>
      </c>
      <c r="I153" s="3081">
        <f t="shared" si="84"/>
        <v>1.0000000000000002</v>
      </c>
      <c r="J153" s="3194" t="s">
        <v>199</v>
      </c>
      <c r="K153" s="3194">
        <v>5.5110810301196951</v>
      </c>
      <c r="L153" s="3194">
        <v>1.8861523644626565</v>
      </c>
      <c r="M153" s="3460" t="s">
        <v>199</v>
      </c>
    </row>
    <row r="154" spans="2:13" ht="18" customHeight="1" x14ac:dyDescent="0.2">
      <c r="B154" s="2634" t="s">
        <v>681</v>
      </c>
      <c r="C154" s="2636" t="s">
        <v>681</v>
      </c>
      <c r="D154" s="3461">
        <v>0.77504607355322774</v>
      </c>
      <c r="E154" s="3461">
        <v>1.294578999034091</v>
      </c>
      <c r="F154" s="3461">
        <v>0.1552187074152612</v>
      </c>
      <c r="G154" s="3668" t="str">
        <f t="shared" si="82"/>
        <v>NA</v>
      </c>
      <c r="H154" s="3081">
        <f t="shared" si="83"/>
        <v>0.35032854809719921</v>
      </c>
      <c r="I154" s="3081">
        <f t="shared" si="84"/>
        <v>1.0000000000000002</v>
      </c>
      <c r="J154" s="3194" t="s">
        <v>199</v>
      </c>
      <c r="K154" s="3194">
        <v>0.4535279811287386</v>
      </c>
      <c r="L154" s="3194">
        <v>0.15521870741526123</v>
      </c>
      <c r="M154" s="3460" t="s">
        <v>199</v>
      </c>
    </row>
    <row r="155" spans="2:13" ht="18" customHeight="1" x14ac:dyDescent="0.2">
      <c r="B155" s="2634" t="s">
        <v>683</v>
      </c>
      <c r="C155" s="2636" t="s">
        <v>683</v>
      </c>
      <c r="D155" s="3461">
        <v>0.60546489143726723</v>
      </c>
      <c r="E155" s="3461">
        <v>1.0113232746456995</v>
      </c>
      <c r="F155" s="3461">
        <v>0.12125663369064195</v>
      </c>
      <c r="G155" s="3668" t="str">
        <f t="shared" si="82"/>
        <v>NA</v>
      </c>
      <c r="H155" s="3081">
        <f t="shared" si="83"/>
        <v>0.35032854809719927</v>
      </c>
      <c r="I155" s="3081">
        <f t="shared" si="84"/>
        <v>0.999999999999999</v>
      </c>
      <c r="J155" s="3194" t="s">
        <v>199</v>
      </c>
      <c r="K155" s="3194">
        <v>0.35429541446353302</v>
      </c>
      <c r="L155" s="3194">
        <v>0.12125663369064182</v>
      </c>
      <c r="M155" s="3460" t="s">
        <v>199</v>
      </c>
    </row>
    <row r="156" spans="2:13" ht="18" customHeight="1" x14ac:dyDescent="0.2">
      <c r="B156" s="2634" t="s">
        <v>686</v>
      </c>
      <c r="C156" s="2636" t="s">
        <v>686</v>
      </c>
      <c r="D156" s="3461">
        <v>0.10363030178235533</v>
      </c>
      <c r="E156" s="3461">
        <v>0.17309630605049289</v>
      </c>
      <c r="F156" s="3461">
        <v>2.0754071326323464E-2</v>
      </c>
      <c r="G156" s="3668" t="str">
        <f t="shared" si="82"/>
        <v>NA</v>
      </c>
      <c r="H156" s="3081">
        <f t="shared" si="83"/>
        <v>0.35032854809719916</v>
      </c>
      <c r="I156" s="3081">
        <f t="shared" si="84"/>
        <v>0.99999999999999978</v>
      </c>
      <c r="J156" s="3194" t="s">
        <v>199</v>
      </c>
      <c r="K156" s="3194">
        <v>6.0640577579657608E-2</v>
      </c>
      <c r="L156" s="3194">
        <v>2.075407132632346E-2</v>
      </c>
      <c r="M156" s="3460" t="s">
        <v>199</v>
      </c>
    </row>
    <row r="157" spans="2:13" ht="18" customHeight="1" x14ac:dyDescent="0.2">
      <c r="B157" s="2634" t="s">
        <v>688</v>
      </c>
      <c r="C157" s="2636" t="s">
        <v>688</v>
      </c>
      <c r="D157" s="3461">
        <v>0.52109080135777486</v>
      </c>
      <c r="E157" s="3461">
        <v>0.87039110453772461</v>
      </c>
      <c r="F157" s="3461">
        <v>0.10435900960303575</v>
      </c>
      <c r="G157" s="3668" t="str">
        <f t="shared" si="82"/>
        <v>NA</v>
      </c>
      <c r="H157" s="3081">
        <f t="shared" si="83"/>
        <v>0.35032854809719927</v>
      </c>
      <c r="I157" s="3081">
        <f t="shared" si="84"/>
        <v>0.99999999999999933</v>
      </c>
      <c r="J157" s="3194" t="s">
        <v>199</v>
      </c>
      <c r="K157" s="3194">
        <v>0.30492285192941865</v>
      </c>
      <c r="L157" s="3194">
        <v>0.10435900960303568</v>
      </c>
      <c r="M157" s="3460" t="s">
        <v>199</v>
      </c>
    </row>
    <row r="158" spans="2:13" ht="18" customHeight="1" x14ac:dyDescent="0.2">
      <c r="B158" s="2634" t="s">
        <v>689</v>
      </c>
      <c r="C158" s="2636" t="s">
        <v>689</v>
      </c>
      <c r="D158" s="3461">
        <v>1.0267786576593516</v>
      </c>
      <c r="E158" s="3461">
        <v>1.7150542815709424</v>
      </c>
      <c r="F158" s="3461">
        <v>0.20563326682348018</v>
      </c>
      <c r="G158" s="3668" t="str">
        <f t="shared" si="82"/>
        <v>NA</v>
      </c>
      <c r="H158" s="3081">
        <f t="shared" si="83"/>
        <v>0.35032854809719927</v>
      </c>
      <c r="I158" s="3081">
        <f t="shared" si="84"/>
        <v>0.99999999999999878</v>
      </c>
      <c r="J158" s="3194" t="s">
        <v>199</v>
      </c>
      <c r="K158" s="3194">
        <v>0.60083247637063342</v>
      </c>
      <c r="L158" s="3194">
        <v>0.20563326682347993</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0.69629757647308754</v>
      </c>
      <c r="K162" s="3200">
        <f t="shared" ref="K162:M162" si="90">IF(SUM(K163,K165,K175)=0,"NO",SUM(K163,K165,K175))</f>
        <v>5.1807639051275158</v>
      </c>
      <c r="L162" s="3200">
        <f t="shared" si="90"/>
        <v>0.56999999999999995</v>
      </c>
      <c r="M162" s="3201" t="str">
        <f t="shared" si="90"/>
        <v>NO</v>
      </c>
    </row>
    <row r="163" spans="2:13" ht="18" customHeight="1" x14ac:dyDescent="0.2">
      <c r="B163" s="88" t="s">
        <v>904</v>
      </c>
      <c r="C163" s="2524"/>
      <c r="D163" s="2053"/>
      <c r="E163" s="2053"/>
      <c r="F163" s="2053"/>
      <c r="G163" s="3670"/>
      <c r="H163" s="4253"/>
      <c r="I163" s="4253"/>
      <c r="J163" s="3197">
        <f>J164</f>
        <v>0.69629757647308754</v>
      </c>
      <c r="K163" s="3197">
        <f t="shared" ref="K163:M163" si="91">K164</f>
        <v>4.4303417750239795</v>
      </c>
      <c r="L163" s="3197">
        <f t="shared" si="91"/>
        <v>0.56999999999999995</v>
      </c>
      <c r="M163" s="3193" t="str">
        <f t="shared" si="91"/>
        <v>NO</v>
      </c>
    </row>
    <row r="164" spans="2:13" ht="18" customHeight="1" x14ac:dyDescent="0.2">
      <c r="B164" s="2634" t="s">
        <v>905</v>
      </c>
      <c r="C164" s="2636" t="s">
        <v>905</v>
      </c>
      <c r="D164" s="4136">
        <v>8.1917361938010291</v>
      </c>
      <c r="E164" s="4136">
        <v>559.67058845175438</v>
      </c>
      <c r="F164" s="2635">
        <v>0.56999999999999995</v>
      </c>
      <c r="G164" s="3668">
        <f t="shared" ref="G164" si="92">IF(SUM(D164)=0,"NA",J164/D164)</f>
        <v>8.5000000000000006E-2</v>
      </c>
      <c r="H164" s="3081">
        <f t="shared" ref="H164" si="93">IF(SUM(E164)=0,"NA",K164/E164)</f>
        <v>7.9159810546412003E-3</v>
      </c>
      <c r="I164" s="3081">
        <f t="shared" ref="I164" si="94">IF(SUM(F164)=0,"NA",L164/F164)</f>
        <v>1</v>
      </c>
      <c r="J164" s="3120">
        <v>0.69629757647308754</v>
      </c>
      <c r="K164" s="3120">
        <v>4.4303417750239795</v>
      </c>
      <c r="L164" s="3120">
        <v>0.56999999999999995</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0.75042213010353631</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0.75042213010353631</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0.75042213010353631</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0.75042213010353631</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1943.1837325816937</v>
      </c>
      <c r="D10" s="2517">
        <f t="shared" ref="D10:I10" si="0">IF(SUM(D11,D21,D32:D33,D43:D48)=0,"NO",SUM(D11,D21,D32:D33,D43:D48))</f>
        <v>2315.3852512387875</v>
      </c>
      <c r="E10" s="2517">
        <f t="shared" si="0"/>
        <v>36.694517195846174</v>
      </c>
      <c r="F10" s="2517">
        <f t="shared" si="0"/>
        <v>18.72469865665936</v>
      </c>
      <c r="G10" s="2517">
        <f t="shared" si="0"/>
        <v>306.84471968401829</v>
      </c>
      <c r="H10" s="2925">
        <f t="shared" si="0"/>
        <v>17.899275314901068</v>
      </c>
      <c r="I10" s="2934" t="str">
        <f t="shared" si="0"/>
        <v>NO</v>
      </c>
      <c r="J10" s="2935">
        <f>IF(SUM(C10:E10)=0,"NO",SUM(C10)+28*SUM(D10)+265*SUM(E10))</f>
        <v>76498.017824166978</v>
      </c>
    </row>
    <row r="11" spans="1:10" ht="18" customHeight="1" x14ac:dyDescent="0.2">
      <c r="B11" s="234" t="s">
        <v>923</v>
      </c>
      <c r="C11" s="2936"/>
      <c r="D11" s="2163">
        <f>SUM(D17:D20)</f>
        <v>2070.6619163518048</v>
      </c>
      <c r="E11" s="1955"/>
      <c r="F11" s="1955"/>
      <c r="G11" s="1955"/>
      <c r="H11" s="2937"/>
      <c r="I11" s="2937"/>
      <c r="J11" s="1887">
        <f>IF(SUM(C11:E11)=0,"NO",SUM(C11)+28*SUM(D11)+265*SUM(E11))</f>
        <v>57978.533657850538</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1563.6949519248146</v>
      </c>
      <c r="E17" s="615"/>
      <c r="F17" s="615"/>
      <c r="G17" s="615"/>
      <c r="H17" s="2939"/>
      <c r="I17" s="2940"/>
      <c r="J17" s="2943">
        <f>IF(SUM(C17:E17)=0,"NO",SUM(C17)+28*SUM(D17)+265*SUM(E17))</f>
        <v>43783.458653894806</v>
      </c>
    </row>
    <row r="18" spans="2:10" ht="18" customHeight="1" x14ac:dyDescent="0.2">
      <c r="B18" s="228" t="s">
        <v>930</v>
      </c>
      <c r="C18" s="2945"/>
      <c r="D18" s="2930">
        <f>Table3.A!G24</f>
        <v>492.61946980381526</v>
      </c>
      <c r="E18" s="615"/>
      <c r="F18" s="615"/>
      <c r="G18" s="615"/>
      <c r="H18" s="2939"/>
      <c r="I18" s="2940"/>
      <c r="J18" s="2943">
        <f t="shared" ref="J18:J22" si="1">IF(SUM(C18:E18)=0,"NO",SUM(C18)+28*SUM(D18)+265*SUM(E18))</f>
        <v>13793.345154506827</v>
      </c>
    </row>
    <row r="19" spans="2:10" ht="18" customHeight="1" x14ac:dyDescent="0.2">
      <c r="B19" s="228" t="s">
        <v>931</v>
      </c>
      <c r="C19" s="2945"/>
      <c r="D19" s="2930">
        <f>Table3.A!G27</f>
        <v>3.4931927076543863</v>
      </c>
      <c r="E19" s="615"/>
      <c r="F19" s="615"/>
      <c r="G19" s="615"/>
      <c r="H19" s="2939"/>
      <c r="I19" s="2940"/>
      <c r="J19" s="2943">
        <f t="shared" si="1"/>
        <v>97.809395814322812</v>
      </c>
    </row>
    <row r="20" spans="2:10" ht="18" customHeight="1" thickBot="1" x14ac:dyDescent="0.25">
      <c r="B20" s="1296" t="s">
        <v>932</v>
      </c>
      <c r="C20" s="2946"/>
      <c r="D20" s="2517">
        <f>Table3.A!G30</f>
        <v>10.854301915520544</v>
      </c>
      <c r="E20" s="1948"/>
      <c r="F20" s="1948"/>
      <c r="G20" s="1948"/>
      <c r="H20" s="2947"/>
      <c r="I20" s="2948"/>
      <c r="J20" s="2943">
        <f t="shared" si="1"/>
        <v>303.92045363457521</v>
      </c>
    </row>
    <row r="21" spans="2:10" ht="18" customHeight="1" x14ac:dyDescent="0.2">
      <c r="B21" s="1455" t="s">
        <v>933</v>
      </c>
      <c r="C21" s="2949"/>
      <c r="D21" s="2930">
        <f>IF(SUM(D27:D31)=0,"NO",SUM(D27:D31))</f>
        <v>235.71239496175161</v>
      </c>
      <c r="E21" s="2930">
        <f>IF(SUM(E27:E31)=0,"NO",SUM(E27:E31))</f>
        <v>1.7439196949091933</v>
      </c>
      <c r="F21" s="2160"/>
      <c r="G21" s="2160"/>
      <c r="H21" s="2930" t="str">
        <f>IF(SUM(H27:H31)=0,"NE",SUM(H27:H31))</f>
        <v>NE</v>
      </c>
      <c r="I21" s="2940"/>
      <c r="J21" s="2950">
        <f t="shared" si="1"/>
        <v>7062.0857780799815</v>
      </c>
    </row>
    <row r="22" spans="2:10" ht="18" customHeight="1" x14ac:dyDescent="0.2">
      <c r="B22" s="228" t="s">
        <v>934</v>
      </c>
      <c r="C22" s="2945"/>
      <c r="D22" s="2930">
        <f>D27</f>
        <v>155.51781413676403</v>
      </c>
      <c r="E22" s="2930">
        <f>E27</f>
        <v>0.66005383435611009</v>
      </c>
      <c r="F22" s="2951"/>
      <c r="G22" s="2951"/>
      <c r="H22" s="2930" t="str">
        <f>H27</f>
        <v>NE</v>
      </c>
      <c r="I22" s="2940"/>
      <c r="J22" s="2943">
        <f t="shared" si="1"/>
        <v>4529.413061933762</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155.51781413676403</v>
      </c>
      <c r="E27" s="2930">
        <f>'Table3.B(b)'!X15</f>
        <v>0.66005383435611009</v>
      </c>
      <c r="F27" s="615"/>
      <c r="G27" s="615"/>
      <c r="H27" s="2953" t="s">
        <v>221</v>
      </c>
      <c r="I27" s="2940"/>
      <c r="J27" s="2943">
        <f t="shared" ref="J27:J49" si="2">IF(SUM(C27:E27)=0,"NO",SUM(C27)+28*SUM(D27)+265*SUM(E27))</f>
        <v>4529.413061933762</v>
      </c>
    </row>
    <row r="28" spans="2:10" ht="18" customHeight="1" x14ac:dyDescent="0.2">
      <c r="B28" s="228" t="s">
        <v>938</v>
      </c>
      <c r="C28" s="2945"/>
      <c r="D28" s="2930">
        <f>'Table3.B(a)'!K24</f>
        <v>25.122494895360074</v>
      </c>
      <c r="E28" s="2930" t="str">
        <f>'Table3.B(b)'!X24</f>
        <v>NA</v>
      </c>
      <c r="F28" s="2951"/>
      <c r="G28" s="2951"/>
      <c r="H28" s="2953" t="s">
        <v>221</v>
      </c>
      <c r="I28" s="2940"/>
      <c r="J28" s="2943">
        <f t="shared" si="2"/>
        <v>703.42985707008211</v>
      </c>
    </row>
    <row r="29" spans="2:10" ht="18" customHeight="1" x14ac:dyDescent="0.2">
      <c r="B29" s="228" t="s">
        <v>939</v>
      </c>
      <c r="C29" s="2945"/>
      <c r="D29" s="2930">
        <f>'Table3.B(a)'!K27</f>
        <v>51.12063624779784</v>
      </c>
      <c r="E29" s="2930">
        <f>'Table3.B(b)'!X27</f>
        <v>0.23386305865260298</v>
      </c>
      <c r="F29" s="2951"/>
      <c r="G29" s="2951"/>
      <c r="H29" s="2953" t="s">
        <v>221</v>
      </c>
      <c r="I29" s="2940"/>
      <c r="J29" s="2943">
        <f t="shared" si="2"/>
        <v>1493.3515254812794</v>
      </c>
    </row>
    <row r="30" spans="2:10" ht="18" customHeight="1" x14ac:dyDescent="0.2">
      <c r="B30" s="228" t="s">
        <v>940</v>
      </c>
      <c r="C30" s="2945"/>
      <c r="D30" s="2930">
        <f>'Table3.B(a)'!K30</f>
        <v>3.9514496818296863</v>
      </c>
      <c r="E30" s="2930">
        <f>'Table3.B(b)'!X30</f>
        <v>0.33913585446106609</v>
      </c>
      <c r="F30" s="2951"/>
      <c r="G30" s="2951"/>
      <c r="H30" s="2953" t="s">
        <v>221</v>
      </c>
      <c r="I30" s="2940"/>
      <c r="J30" s="2943">
        <f t="shared" si="2"/>
        <v>200.51159252341373</v>
      </c>
    </row>
    <row r="31" spans="2:10" ht="18" customHeight="1" thickBot="1" x14ac:dyDescent="0.25">
      <c r="B31" s="1296" t="s">
        <v>941</v>
      </c>
      <c r="C31" s="2954"/>
      <c r="D31" s="2955"/>
      <c r="E31" s="2956">
        <f>SUM('Table3.B(b)'!Y47:Z47)</f>
        <v>0.51086694743941419</v>
      </c>
      <c r="F31" s="2957"/>
      <c r="G31" s="2957"/>
      <c r="H31" s="2958"/>
      <c r="I31" s="2959"/>
      <c r="J31" s="2943">
        <f t="shared" si="2"/>
        <v>135.37974107144476</v>
      </c>
    </row>
    <row r="32" spans="2:10" ht="18" customHeight="1" thickBot="1" x14ac:dyDescent="0.25">
      <c r="B32" s="2658" t="s">
        <v>942</v>
      </c>
      <c r="C32" s="2960"/>
      <c r="D32" s="2961">
        <f>Table3.C!G11</f>
        <v>1.1431266</v>
      </c>
      <c r="E32" s="2962"/>
      <c r="F32" s="2962"/>
      <c r="G32" s="2962"/>
      <c r="H32" s="2963" t="s">
        <v>221</v>
      </c>
      <c r="I32" s="2964"/>
      <c r="J32" s="2965">
        <f t="shared" si="2"/>
        <v>32.007544799999998</v>
      </c>
    </row>
    <row r="33" spans="2:10" ht="18" customHeight="1" x14ac:dyDescent="0.2">
      <c r="B33" s="2657" t="s">
        <v>943</v>
      </c>
      <c r="C33" s="2966"/>
      <c r="D33" s="2967" t="s">
        <v>221</v>
      </c>
      <c r="E33" s="2967">
        <f>IF(SUM(E34,E42)=0,"NO",SUM(E34,E42))</f>
        <v>34.626501267459396</v>
      </c>
      <c r="F33" s="2967" t="str">
        <f>IF(SUM(F34,F42)=0,"NO",SUM(F34,F42))</f>
        <v>NO</v>
      </c>
      <c r="G33" s="2967" t="str">
        <f>IF(SUM(G34,G42)=0,"NO",SUM(G34,G42))</f>
        <v>NO</v>
      </c>
      <c r="H33" s="2967" t="str">
        <f>IF(SUM(H34,H42)=0,"NO",SUM(H34,H42))</f>
        <v>NO</v>
      </c>
      <c r="I33" s="2968"/>
      <c r="J33" s="2969">
        <f t="shared" si="2"/>
        <v>9176.0228358767399</v>
      </c>
    </row>
    <row r="34" spans="2:10" ht="18" customHeight="1" x14ac:dyDescent="0.2">
      <c r="B34" s="228" t="s">
        <v>944</v>
      </c>
      <c r="C34" s="2970"/>
      <c r="D34" s="615"/>
      <c r="E34" s="2971">
        <f>IF(SUM(E35:E41)=0,"NO",SUM(E35:E41))</f>
        <v>25.299199526434087</v>
      </c>
      <c r="F34" s="615"/>
      <c r="G34" s="615"/>
      <c r="H34" s="615"/>
      <c r="I34" s="2940"/>
      <c r="J34" s="2972">
        <f t="shared" si="2"/>
        <v>6704.287874505033</v>
      </c>
    </row>
    <row r="35" spans="2:10" ht="18" customHeight="1" x14ac:dyDescent="0.2">
      <c r="B35" s="232" t="s">
        <v>945</v>
      </c>
      <c r="C35" s="2970"/>
      <c r="D35" s="615"/>
      <c r="E35" s="4248">
        <f>Table3.D!F11</f>
        <v>6.7133956006848168</v>
      </c>
      <c r="F35" s="615"/>
      <c r="G35" s="615"/>
      <c r="H35" s="615"/>
      <c r="I35" s="2940"/>
      <c r="J35" s="2972">
        <f t="shared" si="2"/>
        <v>1779.0498341814764</v>
      </c>
    </row>
    <row r="36" spans="2:10" ht="18" customHeight="1" x14ac:dyDescent="0.2">
      <c r="B36" s="232" t="s">
        <v>946</v>
      </c>
      <c r="C36" s="2970"/>
      <c r="D36" s="615"/>
      <c r="E36" s="4248">
        <f>Table3.D!F12</f>
        <v>1.296412036633162</v>
      </c>
      <c r="F36" s="615"/>
      <c r="G36" s="615"/>
      <c r="H36" s="615"/>
      <c r="I36" s="2940"/>
      <c r="J36" s="2972">
        <f t="shared" si="2"/>
        <v>343.54918970778795</v>
      </c>
    </row>
    <row r="37" spans="2:10" ht="18" customHeight="1" x14ac:dyDescent="0.2">
      <c r="B37" s="232" t="s">
        <v>947</v>
      </c>
      <c r="C37" s="2970"/>
      <c r="D37" s="615"/>
      <c r="E37" s="4248">
        <f>Table3.D!F16</f>
        <v>10.554060693012467</v>
      </c>
      <c r="F37" s="615"/>
      <c r="G37" s="615"/>
      <c r="H37" s="615"/>
      <c r="I37" s="2940"/>
      <c r="J37" s="2972">
        <f t="shared" si="2"/>
        <v>2796.8260836483037</v>
      </c>
    </row>
    <row r="38" spans="2:10" ht="18" customHeight="1" x14ac:dyDescent="0.2">
      <c r="B38" s="232" t="s">
        <v>948</v>
      </c>
      <c r="C38" s="2970"/>
      <c r="D38" s="615"/>
      <c r="E38" s="4248">
        <f>Table3.D!F17</f>
        <v>5.9295009525999864</v>
      </c>
      <c r="F38" s="615"/>
      <c r="G38" s="615"/>
      <c r="H38" s="615"/>
      <c r="I38" s="2940"/>
      <c r="J38" s="2972">
        <f t="shared" si="2"/>
        <v>1571.3177524389964</v>
      </c>
    </row>
    <row r="39" spans="2:10" ht="26.25" customHeight="1" x14ac:dyDescent="0.2">
      <c r="B39" s="1708" t="s">
        <v>949</v>
      </c>
      <c r="C39" s="2970"/>
      <c r="D39" s="2951"/>
      <c r="E39" s="4248">
        <f>Table3.D!F18</f>
        <v>0.71783024350365676</v>
      </c>
      <c r="F39" s="2951"/>
      <c r="G39" s="2951"/>
      <c r="H39" s="2951"/>
      <c r="I39" s="2940"/>
      <c r="J39" s="2972">
        <f t="shared" si="2"/>
        <v>190.22501452846905</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9.3273017410253107</v>
      </c>
      <c r="F42" s="2957"/>
      <c r="G42" s="2957"/>
      <c r="H42" s="2957"/>
      <c r="I42" s="2976"/>
      <c r="J42" s="2977">
        <f t="shared" si="2"/>
        <v>2471.7349613717074</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7.8678133252312366</v>
      </c>
      <c r="E44" s="2984">
        <f>SUM(Table3.F!J10,Table3.F!J20,Table3.F!J23,Table3.F!J26:J27)</f>
        <v>0.32409623347758237</v>
      </c>
      <c r="F44" s="2919">
        <v>18.72469865665936</v>
      </c>
      <c r="G44" s="2919">
        <v>306.84471968401829</v>
      </c>
      <c r="H44" s="2920">
        <v>17.899275314901068</v>
      </c>
      <c r="I44" s="2985" t="s">
        <v>199</v>
      </c>
      <c r="J44" s="2986">
        <f t="shared" si="2"/>
        <v>306.18427497803395</v>
      </c>
    </row>
    <row r="45" spans="2:10" ht="18" customHeight="1" thickBot="1" x14ac:dyDescent="0.25">
      <c r="B45" s="2660" t="s">
        <v>955</v>
      </c>
      <c r="C45" s="2987">
        <f>'Table3.G-J'!E10</f>
        <v>1159.4904844523769</v>
      </c>
      <c r="D45" s="2988"/>
      <c r="E45" s="2988"/>
      <c r="F45" s="2988"/>
      <c r="G45" s="2988"/>
      <c r="H45" s="2989"/>
      <c r="I45" s="2990"/>
      <c r="J45" s="2986">
        <f t="shared" si="2"/>
        <v>1159.4904844523769</v>
      </c>
    </row>
    <row r="46" spans="2:10" ht="18" customHeight="1" thickBot="1" x14ac:dyDescent="0.25">
      <c r="B46" s="2660" t="s">
        <v>956</v>
      </c>
      <c r="C46" s="2987">
        <f>'Table3.G-J'!E13</f>
        <v>783.69324812931677</v>
      </c>
      <c r="D46" s="2988"/>
      <c r="E46" s="2988"/>
      <c r="F46" s="2988"/>
      <c r="G46" s="2988"/>
      <c r="H46" s="2989"/>
      <c r="I46" s="2990"/>
      <c r="J46" s="2986">
        <f t="shared" si="2"/>
        <v>783.69324812931677</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27906.764999999999</v>
      </c>
      <c r="D10" s="3208"/>
      <c r="E10" s="3208"/>
      <c r="F10" s="3109">
        <f>IF(SUM(C10)=0,"NA",G10*1000/C10)</f>
        <v>56.032827593051884</v>
      </c>
      <c r="G10" s="3209">
        <f>G15</f>
        <v>1563.6949519248146</v>
      </c>
      <c r="I10" s="275" t="s">
        <v>977</v>
      </c>
      <c r="J10" s="276" t="s">
        <v>978</v>
      </c>
      <c r="K10" s="699">
        <v>463.11151237801164</v>
      </c>
      <c r="L10" s="699">
        <v>362.49090311276143</v>
      </c>
      <c r="M10" s="3125">
        <v>518.99646479664329</v>
      </c>
      <c r="N10" s="3125">
        <v>44.463544868028393</v>
      </c>
      <c r="O10" s="2921">
        <v>56.830799964344138</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16.039774577790777</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27906.764999999999</v>
      </c>
      <c r="D15" s="3215"/>
      <c r="E15" s="3215"/>
      <c r="F15" s="3109">
        <f>IF(SUM(C15)=0,"NA",G15*1000/C15)</f>
        <v>56.032827593051884</v>
      </c>
      <c r="G15" s="3216">
        <f>G20</f>
        <v>1563.6949519248146</v>
      </c>
      <c r="I15" s="1780" t="s">
        <v>989</v>
      </c>
      <c r="J15" s="1853" t="s">
        <v>428</v>
      </c>
      <c r="K15" s="3408">
        <v>75</v>
      </c>
      <c r="L15" s="3408">
        <v>57.725610381230616</v>
      </c>
      <c r="M15" s="1563">
        <v>80.442683969419932</v>
      </c>
      <c r="N15" s="1563">
        <v>66.564646618535392</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1563.6949519248146</v>
      </c>
      <c r="I20" s="72"/>
      <c r="J20" s="287"/>
      <c r="K20" s="287"/>
      <c r="L20" s="287"/>
      <c r="M20" s="287"/>
      <c r="N20" s="287"/>
      <c r="O20" s="287"/>
    </row>
    <row r="21" spans="2:15" ht="18" customHeight="1" x14ac:dyDescent="0.2">
      <c r="B21" s="2652" t="s">
        <v>994</v>
      </c>
      <c r="C21" s="3239">
        <v>2612.2849999999999</v>
      </c>
      <c r="D21" s="3224">
        <v>238.53838264631398</v>
      </c>
      <c r="E21" s="3224">
        <v>6.156854496558875</v>
      </c>
      <c r="F21" s="3109">
        <f t="shared" ref="F21:F30" si="0">IF(SUM(C21)=0,"NA",G21*1000/C21)</f>
        <v>97.076391078632994</v>
      </c>
      <c r="G21" s="3206">
        <v>253.59120026884676</v>
      </c>
      <c r="I21" s="72"/>
      <c r="J21" s="287"/>
      <c r="K21" s="287"/>
      <c r="L21" s="287"/>
      <c r="M21" s="287"/>
      <c r="N21" s="287"/>
      <c r="O21" s="287"/>
    </row>
    <row r="22" spans="2:15" ht="18" customHeight="1" x14ac:dyDescent="0.2">
      <c r="B22" s="2652" t="s">
        <v>965</v>
      </c>
      <c r="C22" s="3239">
        <v>24589.460999999999</v>
      </c>
      <c r="D22" s="3224">
        <v>125.09228003053703</v>
      </c>
      <c r="E22" s="3224">
        <v>6.21225</v>
      </c>
      <c r="F22" s="3109">
        <f t="shared" si="0"/>
        <v>51.366017836953432</v>
      </c>
      <c r="G22" s="3206">
        <v>1263.0626923270709</v>
      </c>
      <c r="I22" s="72"/>
      <c r="J22" s="287"/>
      <c r="K22" s="287"/>
      <c r="L22" s="287"/>
      <c r="M22" s="287"/>
      <c r="N22" s="287"/>
      <c r="O22" s="287"/>
    </row>
    <row r="23" spans="2:15" ht="18" customHeight="1" x14ac:dyDescent="0.2">
      <c r="B23" s="2652" t="s">
        <v>966</v>
      </c>
      <c r="C23" s="3239">
        <v>705.01900000000001</v>
      </c>
      <c r="D23" s="3224">
        <v>199.65143977902446</v>
      </c>
      <c r="E23" s="3224">
        <v>5.0560033777245321</v>
      </c>
      <c r="F23" s="3109">
        <f t="shared" si="0"/>
        <v>66.72310863806095</v>
      </c>
      <c r="G23" s="3206">
        <v>47.041059328897092</v>
      </c>
      <c r="I23" s="72"/>
      <c r="J23" s="287"/>
      <c r="K23" s="287"/>
      <c r="L23" s="287"/>
      <c r="M23" s="287"/>
      <c r="N23" s="287"/>
      <c r="O23" s="287"/>
    </row>
    <row r="24" spans="2:15" ht="18" customHeight="1" x14ac:dyDescent="0.2">
      <c r="B24" s="286" t="s">
        <v>995</v>
      </c>
      <c r="C24" s="2654">
        <f>C25</f>
        <v>72739.683000000005</v>
      </c>
      <c r="D24" s="3225"/>
      <c r="E24" s="3225"/>
      <c r="F24" s="3109">
        <f t="shared" si="0"/>
        <v>6.7723620654741543</v>
      </c>
      <c r="G24" s="3106">
        <f>G25</f>
        <v>492.61946980381526</v>
      </c>
      <c r="I24" s="72"/>
    </row>
    <row r="25" spans="2:15" ht="18" customHeight="1" x14ac:dyDescent="0.2">
      <c r="B25" s="282" t="s">
        <v>996</v>
      </c>
      <c r="C25" s="2654">
        <f>C26</f>
        <v>72739.683000000005</v>
      </c>
      <c r="D25" s="3225"/>
      <c r="E25" s="3225"/>
      <c r="F25" s="3109">
        <f t="shared" si="0"/>
        <v>6.7723620654741543</v>
      </c>
      <c r="G25" s="3106">
        <f>G26</f>
        <v>492.61946980381526</v>
      </c>
    </row>
    <row r="26" spans="2:15" ht="18" customHeight="1" x14ac:dyDescent="0.2">
      <c r="B26" s="2653" t="s">
        <v>967</v>
      </c>
      <c r="C26" s="288">
        <v>72739.683000000005</v>
      </c>
      <c r="D26" s="3226">
        <v>16.613258817360016</v>
      </c>
      <c r="E26" s="3226">
        <v>6.1672119654262572</v>
      </c>
      <c r="F26" s="3109">
        <f t="shared" si="0"/>
        <v>6.7723620654741543</v>
      </c>
      <c r="G26" s="3207">
        <v>492.61946980381526</v>
      </c>
    </row>
    <row r="27" spans="2:15" ht="18" customHeight="1" x14ac:dyDescent="0.2">
      <c r="B27" s="286" t="s">
        <v>997</v>
      </c>
      <c r="C27" s="2654">
        <f>C28</f>
        <v>2301.788</v>
      </c>
      <c r="D27" s="3225"/>
      <c r="E27" s="3225"/>
      <c r="F27" s="3109">
        <f t="shared" si="0"/>
        <v>1.5175996693241889</v>
      </c>
      <c r="G27" s="3106">
        <f>G28</f>
        <v>3.4931927076543863</v>
      </c>
    </row>
    <row r="28" spans="2:15" ht="18" customHeight="1" x14ac:dyDescent="0.2">
      <c r="B28" s="282" t="s">
        <v>998</v>
      </c>
      <c r="C28" s="2654">
        <f>C29</f>
        <v>2301.788</v>
      </c>
      <c r="D28" s="3225"/>
      <c r="E28" s="3225"/>
      <c r="F28" s="3109">
        <f t="shared" si="0"/>
        <v>1.5175996693241889</v>
      </c>
      <c r="G28" s="3106">
        <f>G29</f>
        <v>3.4931927076543863</v>
      </c>
    </row>
    <row r="29" spans="2:15" ht="18" customHeight="1" x14ac:dyDescent="0.2">
      <c r="B29" s="2653" t="s">
        <v>968</v>
      </c>
      <c r="C29" s="288">
        <v>2301.788</v>
      </c>
      <c r="D29" s="3226">
        <v>32.799152922117415</v>
      </c>
      <c r="E29" s="3226">
        <v>0.70000000000000007</v>
      </c>
      <c r="F29" s="3109">
        <f t="shared" si="0"/>
        <v>1.5175996693241889</v>
      </c>
      <c r="G29" s="3207">
        <v>3.4931927076543863</v>
      </c>
    </row>
    <row r="30" spans="2:15" ht="18" customHeight="1" x14ac:dyDescent="0.2">
      <c r="B30" s="286" t="s">
        <v>999</v>
      </c>
      <c r="C30" s="2654">
        <f>SUM(C32:C39)</f>
        <v>75390.75</v>
      </c>
      <c r="D30" s="3225"/>
      <c r="E30" s="3225"/>
      <c r="F30" s="3109">
        <f t="shared" si="0"/>
        <v>0.14397392140972923</v>
      </c>
      <c r="G30" s="3106">
        <f>SUM(G32:G39)</f>
        <v>10.854301915520544</v>
      </c>
    </row>
    <row r="31" spans="2:15" ht="18" customHeight="1" x14ac:dyDescent="0.2">
      <c r="B31" s="1304" t="s">
        <v>498</v>
      </c>
      <c r="C31" s="3240"/>
      <c r="D31" s="3228"/>
      <c r="E31" s="3228"/>
      <c r="F31" s="3228"/>
      <c r="G31" s="3229"/>
    </row>
    <row r="32" spans="2:15" ht="18" customHeight="1" x14ac:dyDescent="0.2">
      <c r="B32" s="285" t="s">
        <v>1000</v>
      </c>
      <c r="C32" s="3234">
        <v>8.5500000000000007</v>
      </c>
      <c r="D32" s="3230" t="s">
        <v>205</v>
      </c>
      <c r="E32" s="3230" t="s">
        <v>205</v>
      </c>
      <c r="F32" s="3109">
        <f t="shared" ref="F32:F41" si="1">IF(SUM(C32)=0,"NA",G32*1000/C32)</f>
        <v>75.999999999999986</v>
      </c>
      <c r="G32" s="3206">
        <v>0.64979999999999993</v>
      </c>
    </row>
    <row r="33" spans="2:7" ht="18" customHeight="1" x14ac:dyDescent="0.2">
      <c r="B33" s="285" t="s">
        <v>1001</v>
      </c>
      <c r="C33" s="3234">
        <v>2.4239999999999999</v>
      </c>
      <c r="D33" s="3230" t="s">
        <v>205</v>
      </c>
      <c r="E33" s="3230" t="s">
        <v>205</v>
      </c>
      <c r="F33" s="3109">
        <f t="shared" si="1"/>
        <v>46.00462577128382</v>
      </c>
      <c r="G33" s="3206">
        <v>0.11151521286959198</v>
      </c>
    </row>
    <row r="34" spans="2:7" ht="18" customHeight="1" x14ac:dyDescent="0.2">
      <c r="B34" s="285" t="s">
        <v>1002</v>
      </c>
      <c r="C34" s="3234">
        <v>46.076000000000001</v>
      </c>
      <c r="D34" s="3230" t="s">
        <v>205</v>
      </c>
      <c r="E34" s="3230" t="s">
        <v>205</v>
      </c>
      <c r="F34" s="3109">
        <f t="shared" si="1"/>
        <v>20</v>
      </c>
      <c r="G34" s="3206">
        <v>0.92152000000000001</v>
      </c>
    </row>
    <row r="35" spans="2:7" ht="18" customHeight="1" x14ac:dyDescent="0.2">
      <c r="B35" s="285" t="s">
        <v>1003</v>
      </c>
      <c r="C35" s="3234">
        <v>727.69</v>
      </c>
      <c r="D35" s="3230" t="s">
        <v>205</v>
      </c>
      <c r="E35" s="3230" t="s">
        <v>205</v>
      </c>
      <c r="F35" s="3109">
        <f t="shared" si="1"/>
        <v>4.9999999999999991</v>
      </c>
      <c r="G35" s="3206">
        <v>3.6384499999999993</v>
      </c>
    </row>
    <row r="36" spans="2:7" ht="18" customHeight="1" x14ac:dyDescent="0.2">
      <c r="B36" s="285" t="s">
        <v>1004</v>
      </c>
      <c r="C36" s="3234">
        <v>256.41500000000002</v>
      </c>
      <c r="D36" s="3230" t="s">
        <v>205</v>
      </c>
      <c r="E36" s="3230" t="s">
        <v>205</v>
      </c>
      <c r="F36" s="3109">
        <f t="shared" si="1"/>
        <v>18</v>
      </c>
      <c r="G36" s="3206">
        <v>4.6154700000000002</v>
      </c>
    </row>
    <row r="37" spans="2:7" ht="18" customHeight="1" x14ac:dyDescent="0.2">
      <c r="B37" s="285" t="s">
        <v>1005</v>
      </c>
      <c r="C37" s="3234">
        <v>0.57599999999999996</v>
      </c>
      <c r="D37" s="3230" t="s">
        <v>205</v>
      </c>
      <c r="E37" s="3230" t="s">
        <v>205</v>
      </c>
      <c r="F37" s="3109">
        <f t="shared" si="1"/>
        <v>10.000154070019921</v>
      </c>
      <c r="G37" s="3206">
        <v>5.7600887443314741E-3</v>
      </c>
    </row>
    <row r="38" spans="2:7" ht="18" customHeight="1" x14ac:dyDescent="0.2">
      <c r="B38" s="285" t="s">
        <v>1006</v>
      </c>
      <c r="C38" s="3241">
        <v>74230.561000000002</v>
      </c>
      <c r="D38" s="3230" t="s">
        <v>205</v>
      </c>
      <c r="E38" s="3230" t="s">
        <v>205</v>
      </c>
      <c r="F38" s="3109" t="s">
        <v>205</v>
      </c>
      <c r="G38" s="3231" t="s">
        <v>221</v>
      </c>
    </row>
    <row r="39" spans="2:7" ht="18" customHeight="1" x14ac:dyDescent="0.2">
      <c r="B39" s="285" t="s">
        <v>1007</v>
      </c>
      <c r="C39" s="2654">
        <f>SUM(C41:C45)</f>
        <v>118.458</v>
      </c>
      <c r="D39" s="3225"/>
      <c r="E39" s="3225"/>
      <c r="F39" s="3109">
        <f t="shared" si="1"/>
        <v>7.6971299017932182</v>
      </c>
      <c r="G39" s="3106">
        <f>SUM(G41:G45)</f>
        <v>0.91178661390662108</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11.959</v>
      </c>
      <c r="D43" s="2974" t="s">
        <v>205</v>
      </c>
      <c r="E43" s="2974" t="s">
        <v>205</v>
      </c>
      <c r="F43" s="3109">
        <f t="shared" si="2"/>
        <v>5.0000165631935483</v>
      </c>
      <c r="G43" s="3170">
        <v>5.9795198079231643E-2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106.499</v>
      </c>
      <c r="D45" s="3225"/>
      <c r="E45" s="3225"/>
      <c r="F45" s="3109">
        <f>IF(SUM(C45)=0,"NA",G45*1000/C45)</f>
        <v>7.9999945147596643</v>
      </c>
      <c r="G45" s="3106">
        <f>G46</f>
        <v>0.85199141582738946</v>
      </c>
    </row>
    <row r="46" spans="2:7" ht="18" customHeight="1" thickBot="1" x14ac:dyDescent="0.25">
      <c r="B46" s="2655" t="s">
        <v>1013</v>
      </c>
      <c r="C46" s="3243">
        <v>106.499</v>
      </c>
      <c r="D46" s="3115" t="s">
        <v>205</v>
      </c>
      <c r="E46" s="3115" t="s">
        <v>205</v>
      </c>
      <c r="F46" s="3232">
        <f>IF(SUM(C46)=0,"NA",G46*1000/C46)</f>
        <v>7.9999945147596643</v>
      </c>
      <c r="G46" s="3172">
        <v>0.85199141582738946</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27906.764999999999</v>
      </c>
      <c r="D10" s="2951"/>
      <c r="E10" s="2951"/>
      <c r="F10" s="2951"/>
      <c r="G10" s="2951"/>
      <c r="H10" s="2951"/>
      <c r="I10" s="3246"/>
      <c r="J10" s="3247">
        <f>IF(SUM(C10)=0,"NA",K10*1000/C10)</f>
        <v>5.5727639565805651</v>
      </c>
      <c r="K10" s="3248">
        <f>K15</f>
        <v>155.51781413676403</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27906.764999999999</v>
      </c>
      <c r="D15" s="3260"/>
      <c r="E15" s="3260"/>
      <c r="F15" s="3260"/>
      <c r="G15" s="3260"/>
      <c r="H15" s="3260"/>
      <c r="I15" s="3255"/>
      <c r="J15" s="3254">
        <f>IF(SUM(C15)=0,"NA",K15*1000/C15)</f>
        <v>5.5727639565805651</v>
      </c>
      <c r="K15" s="3248">
        <f>SUM(K17:K20)</f>
        <v>155.51781413676403</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27906.764999999999</v>
      </c>
      <c r="D20" s="3260"/>
      <c r="E20" s="3260"/>
      <c r="F20" s="3260"/>
      <c r="G20" s="3260"/>
      <c r="H20" s="3260"/>
      <c r="I20" s="3255"/>
      <c r="J20" s="3268">
        <f>IF(SUM(C20)=0,"NA",K20*1000/C20)</f>
        <v>5.5727639565805651</v>
      </c>
      <c r="K20" s="3248">
        <f>SUM(K21:K23)</f>
        <v>155.51781413676403</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2612.2849999999999</v>
      </c>
      <c r="D21" s="3290">
        <v>8.648443795374547</v>
      </c>
      <c r="E21" s="3290">
        <v>91.351326520651469</v>
      </c>
      <c r="F21" s="3290">
        <v>2.29683973992118E-4</v>
      </c>
      <c r="G21" s="3265">
        <f>Table3.A!K10</f>
        <v>463.11151237801164</v>
      </c>
      <c r="H21" s="3266">
        <v>3.4293180458669079</v>
      </c>
      <c r="I21" s="3267">
        <v>0.24</v>
      </c>
      <c r="J21" s="3268">
        <f>IF(SUM(C21)=0,"NA",K21*1000/C21)</f>
        <v>14.006462727153973</v>
      </c>
      <c r="K21" s="3244">
        <v>36.588872485203417</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24589.460999999999</v>
      </c>
      <c r="D22" s="3290" t="s">
        <v>199</v>
      </c>
      <c r="E22" s="3290">
        <v>83.725659241528845</v>
      </c>
      <c r="F22" s="3290">
        <v>16.274340758471151</v>
      </c>
      <c r="G22" s="3265">
        <f>Table3.A!L10</f>
        <v>362.49090311276143</v>
      </c>
      <c r="H22" s="3266" t="s">
        <v>205</v>
      </c>
      <c r="I22" s="3267" t="s">
        <v>205</v>
      </c>
      <c r="J22" s="3268">
        <f t="shared" ref="J22:J46" si="0">IF(SUM(C22)=0,"NA",K22*1000/C22)</f>
        <v>4.7370715469328619</v>
      </c>
      <c r="K22" s="3244">
        <v>116.48203605751527</v>
      </c>
      <c r="M22" s="1597" t="s">
        <v>1049</v>
      </c>
      <c r="N22" s="4511" t="s">
        <v>994</v>
      </c>
      <c r="O22" s="1693" t="s">
        <v>1051</v>
      </c>
      <c r="P22" s="1694" t="s">
        <v>1039</v>
      </c>
      <c r="Q22" s="4444">
        <v>5.3280401468048861</v>
      </c>
      <c r="R22" s="4445" t="s">
        <v>199</v>
      </c>
      <c r="S22" s="4445">
        <v>4.437232172733407</v>
      </c>
      <c r="T22" s="4445">
        <v>0.70592330020758742</v>
      </c>
      <c r="U22" s="4445" t="s">
        <v>199</v>
      </c>
      <c r="V22" s="4445" t="s">
        <v>274</v>
      </c>
      <c r="W22" s="4445" t="s">
        <v>199</v>
      </c>
      <c r="X22" s="4445">
        <v>89.528804380254115</v>
      </c>
      <c r="Y22" s="4446" t="s">
        <v>199</v>
      </c>
      <c r="Z22" s="4446" t="s">
        <v>199</v>
      </c>
      <c r="AA22" s="4446" t="s">
        <v>199</v>
      </c>
      <c r="AB22" s="4447" t="s">
        <v>199</v>
      </c>
    </row>
    <row r="23" spans="2:28" s="84" customFormat="1" ht="18" customHeight="1" x14ac:dyDescent="0.2">
      <c r="B23" s="2661" t="s">
        <v>966</v>
      </c>
      <c r="C23" s="3290">
        <f>Table3.A!C23</f>
        <v>705.01900000000001</v>
      </c>
      <c r="D23" s="3290" t="s">
        <v>199</v>
      </c>
      <c r="E23" s="3290">
        <v>100</v>
      </c>
      <c r="F23" s="3290" t="s">
        <v>199</v>
      </c>
      <c r="G23" s="3265">
        <f>Table3.A!M10</f>
        <v>518.99646479664329</v>
      </c>
      <c r="H23" s="3266">
        <v>1.7082827578769351</v>
      </c>
      <c r="I23" s="3267">
        <v>0.19</v>
      </c>
      <c r="J23" s="3268">
        <f t="shared" si="0"/>
        <v>3.4706945402114466</v>
      </c>
      <c r="K23" s="3244">
        <v>2.4469055940453339</v>
      </c>
      <c r="M23" s="1667" t="s">
        <v>1061</v>
      </c>
      <c r="N23" s="4512"/>
      <c r="O23" s="1695" t="s">
        <v>1042</v>
      </c>
      <c r="P23" s="1696" t="s">
        <v>1040</v>
      </c>
      <c r="Q23" s="4448">
        <v>8.0917947986784586</v>
      </c>
      <c r="R23" s="4165" t="s">
        <v>199</v>
      </c>
      <c r="S23" s="4165">
        <v>2.3599057650888455</v>
      </c>
      <c r="T23" s="4166">
        <v>1.7176540863910374</v>
      </c>
      <c r="U23" s="4166" t="s">
        <v>199</v>
      </c>
      <c r="V23" s="4166" t="s">
        <v>274</v>
      </c>
      <c r="W23" s="4166" t="s">
        <v>199</v>
      </c>
      <c r="X23" s="4166">
        <v>87.830645349841674</v>
      </c>
      <c r="Y23" s="4166" t="s">
        <v>199</v>
      </c>
      <c r="Z23" s="4166" t="s">
        <v>199</v>
      </c>
      <c r="AA23" s="4166" t="s">
        <v>199</v>
      </c>
      <c r="AB23" s="4140" t="s">
        <v>199</v>
      </c>
    </row>
    <row r="24" spans="2:28" s="84" customFormat="1" ht="18" customHeight="1" thickBot="1" x14ac:dyDescent="0.25">
      <c r="B24" s="1646" t="s">
        <v>1062</v>
      </c>
      <c r="C24" s="4172">
        <f>C25</f>
        <v>72739.683000000005</v>
      </c>
      <c r="D24" s="3270"/>
      <c r="E24" s="3270"/>
      <c r="F24" s="3270"/>
      <c r="G24" s="3270"/>
      <c r="H24" s="3270"/>
      <c r="I24" s="3271"/>
      <c r="J24" s="3268">
        <f t="shared" si="0"/>
        <v>0.34537536952642578</v>
      </c>
      <c r="K24" s="3248">
        <f>K25</f>
        <v>25.122494895360074</v>
      </c>
      <c r="M24" s="1659"/>
      <c r="N24" s="4512"/>
      <c r="O24" s="1697"/>
      <c r="P24" s="1696" t="s">
        <v>1041</v>
      </c>
      <c r="Q24" s="4449">
        <v>3.8426381790137185</v>
      </c>
      <c r="R24" s="4450" t="s">
        <v>199</v>
      </c>
      <c r="S24" s="4450">
        <v>3.097051666667773</v>
      </c>
      <c r="T24" s="4451">
        <v>1.6006647502811555</v>
      </c>
      <c r="U24" s="4451" t="s">
        <v>199</v>
      </c>
      <c r="V24" s="4451" t="s">
        <v>274</v>
      </c>
      <c r="W24" s="4451" t="s">
        <v>199</v>
      </c>
      <c r="X24" s="4451">
        <v>91.459645404037346</v>
      </c>
      <c r="Y24" s="4451" t="s">
        <v>199</v>
      </c>
      <c r="Z24" s="4451" t="s">
        <v>199</v>
      </c>
      <c r="AA24" s="4451" t="s">
        <v>199</v>
      </c>
      <c r="AB24" s="4452" t="s">
        <v>199</v>
      </c>
    </row>
    <row r="25" spans="2:28" s="84" customFormat="1" ht="18" customHeight="1" x14ac:dyDescent="0.2">
      <c r="B25" s="1647" t="s">
        <v>1063</v>
      </c>
      <c r="C25" s="4172">
        <f>C26</f>
        <v>72739.683000000005</v>
      </c>
      <c r="D25" s="3217"/>
      <c r="E25" s="3217"/>
      <c r="F25" s="3217"/>
      <c r="G25" s="3217"/>
      <c r="H25" s="3217"/>
      <c r="I25" s="3227"/>
      <c r="J25" s="3268">
        <f t="shared" si="0"/>
        <v>0.34537536952642578</v>
      </c>
      <c r="K25" s="3248">
        <f>K26</f>
        <v>25.122494895360074</v>
      </c>
      <c r="M25" s="1659"/>
      <c r="N25" s="4512"/>
      <c r="O25" s="1698" t="s">
        <v>1054</v>
      </c>
      <c r="P25" s="1694" t="s">
        <v>1039</v>
      </c>
      <c r="Q25" s="4453">
        <v>0.7</v>
      </c>
      <c r="R25" s="4454" t="s">
        <v>199</v>
      </c>
      <c r="S25" s="4454">
        <v>4.6687500000000014E-2</v>
      </c>
      <c r="T25" s="4455">
        <v>2.0000000000000004E-2</v>
      </c>
      <c r="U25" s="4455" t="s">
        <v>199</v>
      </c>
      <c r="V25" s="4455" t="s">
        <v>274</v>
      </c>
      <c r="W25" s="4455" t="s">
        <v>199</v>
      </c>
      <c r="X25" s="4455">
        <v>1.0000000000000002E-2</v>
      </c>
      <c r="Y25" s="4455" t="s">
        <v>199</v>
      </c>
      <c r="Z25" s="4455" t="s">
        <v>199</v>
      </c>
      <c r="AA25" s="4455" t="s">
        <v>199</v>
      </c>
      <c r="AB25" s="4456" t="s">
        <v>199</v>
      </c>
    </row>
    <row r="26" spans="2:28" s="84" customFormat="1" ht="18" customHeight="1" x14ac:dyDescent="0.2">
      <c r="B26" s="2662" t="s">
        <v>967</v>
      </c>
      <c r="C26" s="3274">
        <f>Table3.A!C26</f>
        <v>72739.683000000005</v>
      </c>
      <c r="D26" s="3290" t="s">
        <v>199</v>
      </c>
      <c r="E26" s="3290">
        <v>100</v>
      </c>
      <c r="F26" s="3290" t="s">
        <v>199</v>
      </c>
      <c r="G26" s="3272">
        <f>Table3.A!N10</f>
        <v>44.463544868028393</v>
      </c>
      <c r="H26" s="3014" t="s">
        <v>205</v>
      </c>
      <c r="I26" s="3104" t="s">
        <v>205</v>
      </c>
      <c r="J26" s="3268">
        <f t="shared" si="0"/>
        <v>0.34537536952642578</v>
      </c>
      <c r="K26" s="3244">
        <v>25.122494895360074</v>
      </c>
      <c r="M26" s="1659"/>
      <c r="N26" s="4512"/>
      <c r="O26" s="1699"/>
      <c r="P26" s="1696" t="s">
        <v>1040</v>
      </c>
      <c r="Q26" s="4448">
        <v>0.73725570398729112</v>
      </c>
      <c r="R26" s="4165" t="s">
        <v>199</v>
      </c>
      <c r="S26" s="4165">
        <v>7.4469873469414902E-2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2301.788</v>
      </c>
      <c r="D27" s="3217"/>
      <c r="E27" s="3217"/>
      <c r="F27" s="3217"/>
      <c r="G27" s="3217"/>
      <c r="H27" s="3217"/>
      <c r="I27" s="3227"/>
      <c r="J27" s="3268">
        <f t="shared" si="0"/>
        <v>22.20909842600528</v>
      </c>
      <c r="K27" s="3248">
        <f>K28</f>
        <v>51.12063624779784</v>
      </c>
      <c r="M27" s="1659"/>
      <c r="N27" s="4513"/>
      <c r="O27" s="1700"/>
      <c r="P27" s="1696" t="s">
        <v>1041</v>
      </c>
      <c r="Q27" s="4449">
        <v>0.8</v>
      </c>
      <c r="R27" s="4450" t="s">
        <v>199</v>
      </c>
      <c r="S27" s="4450">
        <v>0.27314814814814808</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2301.788</v>
      </c>
      <c r="D28" s="3217"/>
      <c r="E28" s="3217"/>
      <c r="F28" s="3217"/>
      <c r="G28" s="3217"/>
      <c r="H28" s="3217"/>
      <c r="I28" s="3227"/>
      <c r="J28" s="3268">
        <f t="shared" si="0"/>
        <v>22.20909842600528</v>
      </c>
      <c r="K28" s="3248">
        <f>K29</f>
        <v>51.12063624779784</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2301.788</v>
      </c>
      <c r="D29" s="3290">
        <v>0.69702320757873515</v>
      </c>
      <c r="E29" s="3290">
        <v>99.302976792421262</v>
      </c>
      <c r="F29" s="3290" t="s">
        <v>199</v>
      </c>
      <c r="G29" s="3272">
        <f>Table3.A!O10</f>
        <v>56.830799964344138</v>
      </c>
      <c r="H29" s="3014">
        <v>0.37139596834395999</v>
      </c>
      <c r="I29" s="3104">
        <v>0.45</v>
      </c>
      <c r="J29" s="3268">
        <f t="shared" si="0"/>
        <v>22.20909842600528</v>
      </c>
      <c r="K29" s="3244">
        <v>51.12063624779784</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75390.75</v>
      </c>
      <c r="D30" s="3217"/>
      <c r="E30" s="3217"/>
      <c r="F30" s="3217"/>
      <c r="G30" s="3217"/>
      <c r="H30" s="3217"/>
      <c r="I30" s="3227"/>
      <c r="J30" s="3268">
        <f t="shared" si="0"/>
        <v>5.2412924421493166E-2</v>
      </c>
      <c r="K30" s="3248">
        <f>SUM(K32:K39)</f>
        <v>3.9514496818296863</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8.5500000000000007</v>
      </c>
      <c r="D32" s="3290" t="s">
        <v>199</v>
      </c>
      <c r="E32" s="3290">
        <v>54.748538011695906</v>
      </c>
      <c r="F32" s="3290">
        <v>45.251461988304094</v>
      </c>
      <c r="G32" s="3274" t="s">
        <v>205</v>
      </c>
      <c r="H32" s="3274" t="s">
        <v>205</v>
      </c>
      <c r="I32" s="3274" t="s">
        <v>205</v>
      </c>
      <c r="J32" s="3268">
        <f t="shared" si="0"/>
        <v>6.8778455478695459</v>
      </c>
      <c r="K32" s="3244">
        <v>5.8805579434284626E-2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2.4239999999999999</v>
      </c>
      <c r="D33" s="3290" t="s">
        <v>199</v>
      </c>
      <c r="E33" s="3290">
        <v>20.595676696243999</v>
      </c>
      <c r="F33" s="3290">
        <v>79.404323303756001</v>
      </c>
      <c r="G33" s="3274" t="s">
        <v>205</v>
      </c>
      <c r="H33" s="3274" t="s">
        <v>205</v>
      </c>
      <c r="I33" s="3274" t="s">
        <v>205</v>
      </c>
      <c r="J33" s="3254">
        <f t="shared" si="0"/>
        <v>9.805857395657025</v>
      </c>
      <c r="K33" s="3244">
        <v>2.376939832707263E-2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46.076000000000001</v>
      </c>
      <c r="D34" s="3290" t="s">
        <v>199</v>
      </c>
      <c r="E34" s="3290">
        <v>97.718986023092285</v>
      </c>
      <c r="F34" s="3290">
        <v>2.2810139769077176</v>
      </c>
      <c r="G34" s="3274" t="s">
        <v>205</v>
      </c>
      <c r="H34" s="3274" t="s">
        <v>205</v>
      </c>
      <c r="I34" s="3274" t="s">
        <v>205</v>
      </c>
      <c r="J34" s="3254">
        <f t="shared" si="0"/>
        <v>1.0650400198254624</v>
      </c>
      <c r="K34" s="3244">
        <v>4.9072783953478E-2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727.69</v>
      </c>
      <c r="D35" s="3290" t="s">
        <v>199</v>
      </c>
      <c r="E35" s="3290">
        <v>99.949978699721029</v>
      </c>
      <c r="F35" s="3290">
        <v>5.0021300278964946E-2</v>
      </c>
      <c r="G35" s="3274" t="s">
        <v>205</v>
      </c>
      <c r="H35" s="3274" t="s">
        <v>205</v>
      </c>
      <c r="I35" s="3274" t="s">
        <v>205</v>
      </c>
      <c r="J35" s="3254">
        <f t="shared" si="0"/>
        <v>0.35783322759005864</v>
      </c>
      <c r="K35" s="3244">
        <v>0.2603916613850098</v>
      </c>
      <c r="M35" s="1667"/>
      <c r="N35" s="4512"/>
      <c r="O35" s="1695" t="s">
        <v>1042</v>
      </c>
      <c r="P35" s="1696" t="s">
        <v>1040</v>
      </c>
      <c r="Q35" s="4448">
        <v>1.8000000000000003</v>
      </c>
      <c r="R35" s="4165" t="s">
        <v>199</v>
      </c>
      <c r="S35" s="4165" t="s">
        <v>199</v>
      </c>
      <c r="T35" s="4166" t="s">
        <v>274</v>
      </c>
      <c r="U35" s="4166" t="s">
        <v>199</v>
      </c>
      <c r="V35" s="4166">
        <v>100</v>
      </c>
      <c r="W35" s="4166" t="s">
        <v>199</v>
      </c>
      <c r="X35" s="4166" t="s">
        <v>199</v>
      </c>
      <c r="Y35" s="4166">
        <v>19</v>
      </c>
      <c r="Z35" s="4166" t="s">
        <v>199</v>
      </c>
      <c r="AA35" s="4166" t="s">
        <v>199</v>
      </c>
      <c r="AB35" s="4140" t="s">
        <v>199</v>
      </c>
    </row>
    <row r="36" spans="2:28" s="84" customFormat="1" ht="18" customHeight="1" thickBot="1" x14ac:dyDescent="0.25">
      <c r="B36" s="1647" t="s">
        <v>1071</v>
      </c>
      <c r="C36" s="3274">
        <f>Table3.A!C36</f>
        <v>256.41500000000002</v>
      </c>
      <c r="D36" s="3290" t="s">
        <v>199</v>
      </c>
      <c r="E36" s="3290">
        <v>97.826570208451145</v>
      </c>
      <c r="F36" s="3290">
        <v>2.1734297915488563</v>
      </c>
      <c r="G36" s="3274" t="s">
        <v>205</v>
      </c>
      <c r="H36" s="3274" t="s">
        <v>205</v>
      </c>
      <c r="I36" s="3274" t="s">
        <v>205</v>
      </c>
      <c r="J36" s="3254">
        <f t="shared" si="0"/>
        <v>3.1858996989750477</v>
      </c>
      <c r="K36" s="3244">
        <v>0.81691247131268685</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0.57599999999999996</v>
      </c>
      <c r="D37" s="3290" t="s">
        <v>199</v>
      </c>
      <c r="E37" s="3290">
        <v>89.911606581534883</v>
      </c>
      <c r="F37" s="3290">
        <v>10.08839341846512</v>
      </c>
      <c r="G37" s="3274" t="s">
        <v>205</v>
      </c>
      <c r="H37" s="3274" t="s">
        <v>205</v>
      </c>
      <c r="I37" s="3274" t="s">
        <v>205</v>
      </c>
      <c r="J37" s="3254">
        <f t="shared" si="0"/>
        <v>1.2881002461149915</v>
      </c>
      <c r="K37" s="3244">
        <v>7.4194574176223501E-4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74230.561000000002</v>
      </c>
      <c r="D38" s="3290">
        <v>0.93883772156324896</v>
      </c>
      <c r="E38" s="3290">
        <v>99.061162278436754</v>
      </c>
      <c r="F38" s="3290" t="s">
        <v>199</v>
      </c>
      <c r="G38" s="3274" t="s">
        <v>205</v>
      </c>
      <c r="H38" s="3274" t="s">
        <v>205</v>
      </c>
      <c r="I38" s="3274" t="s">
        <v>205</v>
      </c>
      <c r="J38" s="3254">
        <f t="shared" si="0"/>
        <v>3.6365455180401615E-2</v>
      </c>
      <c r="K38" s="3244">
        <v>2.6994281390615682</v>
      </c>
      <c r="M38" s="1659"/>
      <c r="N38" s="4512"/>
      <c r="O38" s="1699"/>
      <c r="P38" s="1696" t="s">
        <v>1040</v>
      </c>
      <c r="Q38" s="4448">
        <v>0.76316480488177807</v>
      </c>
      <c r="R38" s="4165" t="s">
        <v>199</v>
      </c>
      <c r="S38" s="4165" t="s">
        <v>199</v>
      </c>
      <c r="T38" s="4166" t="s">
        <v>274</v>
      </c>
      <c r="U38" s="4166" t="s">
        <v>199</v>
      </c>
      <c r="V38" s="4166">
        <v>2.169069151415429E-2</v>
      </c>
      <c r="W38" s="4166" t="s">
        <v>199</v>
      </c>
      <c r="X38" s="4166" t="s">
        <v>199</v>
      </c>
      <c r="Y38" s="4166">
        <v>1.0000000000000002E-2</v>
      </c>
      <c r="Z38" s="4166" t="s">
        <v>199</v>
      </c>
      <c r="AA38" s="4166" t="s">
        <v>199</v>
      </c>
      <c r="AB38" s="4140" t="s">
        <v>199</v>
      </c>
    </row>
    <row r="39" spans="2:28" s="84" customFormat="1" ht="18" customHeight="1" thickBot="1" x14ac:dyDescent="0.25">
      <c r="B39" s="1647" t="s">
        <v>1074</v>
      </c>
      <c r="C39" s="4172">
        <f>SUM(C41:C45)</f>
        <v>118.458</v>
      </c>
      <c r="D39" s="3261"/>
      <c r="E39" s="3261"/>
      <c r="F39" s="3261"/>
      <c r="G39" s="3261"/>
      <c r="H39" s="3261"/>
      <c r="I39" s="3262"/>
      <c r="J39" s="3254">
        <f t="shared" si="0"/>
        <v>0.35732244857944584</v>
      </c>
      <c r="K39" s="3248">
        <f>SUM(K41:K45)</f>
        <v>4.2327702613823993E-2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59.9</v>
      </c>
      <c r="R40" s="4445" t="s">
        <v>199</v>
      </c>
      <c r="S40" s="4445" t="s">
        <v>199</v>
      </c>
      <c r="T40" s="4446" t="s">
        <v>274</v>
      </c>
      <c r="U40" s="4446" t="s">
        <v>274</v>
      </c>
      <c r="V40" s="4446">
        <v>36.1</v>
      </c>
      <c r="W40" s="4446" t="s">
        <v>274</v>
      </c>
      <c r="X40" s="4446" t="s">
        <v>199</v>
      </c>
      <c r="Y40" s="4446" t="s">
        <v>199</v>
      </c>
      <c r="Z40" s="4446" t="s">
        <v>199</v>
      </c>
      <c r="AA40" s="4446" t="s">
        <v>199</v>
      </c>
      <c r="AB40" s="4447">
        <v>32.5</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68.36590891335517</v>
      </c>
      <c r="R41" s="4165" t="s">
        <v>199</v>
      </c>
      <c r="S41" s="4165" t="s">
        <v>199</v>
      </c>
      <c r="T41" s="4166" t="s">
        <v>274</v>
      </c>
      <c r="U41" s="4166" t="s">
        <v>274</v>
      </c>
      <c r="V41" s="4166">
        <v>28.075817505184773</v>
      </c>
      <c r="W41" s="4166" t="s">
        <v>274</v>
      </c>
      <c r="X41" s="4166" t="s">
        <v>199</v>
      </c>
      <c r="Y41" s="4166" t="s">
        <v>199</v>
      </c>
      <c r="Z41" s="4166">
        <v>0.61175490407449984</v>
      </c>
      <c r="AA41" s="4166" t="s">
        <v>199</v>
      </c>
      <c r="AB41" s="4140">
        <v>23.813831702320083</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11.959</v>
      </c>
      <c r="D43" s="3290" t="s">
        <v>199</v>
      </c>
      <c r="E43" s="3290">
        <v>100</v>
      </c>
      <c r="F43" s="3290" t="s">
        <v>199</v>
      </c>
      <c r="G43" s="3274" t="s">
        <v>205</v>
      </c>
      <c r="H43" s="3274" t="s">
        <v>205</v>
      </c>
      <c r="I43" s="3274" t="s">
        <v>205</v>
      </c>
      <c r="J43" s="3254">
        <f t="shared" si="0"/>
        <v>0.35732373302664505</v>
      </c>
      <c r="K43" s="3244">
        <v>4.2732345232656477E-3</v>
      </c>
      <c r="M43" s="4516"/>
      <c r="N43" s="4517"/>
      <c r="O43" s="1698" t="s">
        <v>1054</v>
      </c>
      <c r="P43" s="1694" t="s">
        <v>1039</v>
      </c>
      <c r="Q43" s="4444">
        <v>0.7</v>
      </c>
      <c r="R43" s="4445" t="s">
        <v>199</v>
      </c>
      <c r="S43" s="4445" t="s">
        <v>199</v>
      </c>
      <c r="T43" s="4446" t="s">
        <v>274</v>
      </c>
      <c r="U43" s="4446" t="s">
        <v>274</v>
      </c>
      <c r="V43" s="4446">
        <v>1.8337950138504155E-2</v>
      </c>
      <c r="W43" s="4446" t="s">
        <v>274</v>
      </c>
      <c r="X43" s="4446" t="s">
        <v>199</v>
      </c>
      <c r="Y43" s="4446" t="s">
        <v>199</v>
      </c>
      <c r="Z43" s="4446" t="s">
        <v>199</v>
      </c>
      <c r="AA43" s="4446" t="s">
        <v>199</v>
      </c>
      <c r="AB43" s="4447">
        <v>3.9230769230769229E-2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0.75443772467801129</v>
      </c>
      <c r="R44" s="4165" t="s">
        <v>199</v>
      </c>
      <c r="S44" s="4165" t="s">
        <v>199</v>
      </c>
      <c r="T44" s="4166" t="s">
        <v>274</v>
      </c>
      <c r="U44" s="4166" t="s">
        <v>274</v>
      </c>
      <c r="V44" s="4166">
        <v>1.90080659493241E-2</v>
      </c>
      <c r="W44" s="4166" t="s">
        <v>274</v>
      </c>
      <c r="X44" s="4166" t="s">
        <v>199</v>
      </c>
      <c r="Y44" s="4166" t="s">
        <v>199</v>
      </c>
      <c r="Z44" s="4166">
        <v>2.4958929701389101E-2</v>
      </c>
      <c r="AA44" s="4166" t="s">
        <v>199</v>
      </c>
      <c r="AB44" s="4140">
        <v>3.9444059747647531E-2</v>
      </c>
    </row>
    <row r="45" spans="2:28" s="84" customFormat="1" ht="18" customHeight="1" thickBot="1" x14ac:dyDescent="0.25">
      <c r="B45" s="2663" t="s">
        <v>1079</v>
      </c>
      <c r="C45" s="4172">
        <f>C46</f>
        <v>106.499</v>
      </c>
      <c r="D45" s="3261"/>
      <c r="E45" s="3261"/>
      <c r="F45" s="3261"/>
      <c r="G45" s="3261"/>
      <c r="H45" s="3261"/>
      <c r="I45" s="3262"/>
      <c r="J45" s="3254">
        <f t="shared" si="0"/>
        <v>0.35732230434612855</v>
      </c>
      <c r="K45" s="3248">
        <f>K46</f>
        <v>3.8054468090558347E-2</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106.499</v>
      </c>
      <c r="D46" s="3021" t="s">
        <v>199</v>
      </c>
      <c r="E46" s="3021">
        <v>100</v>
      </c>
      <c r="F46" s="3021" t="s">
        <v>199</v>
      </c>
      <c r="G46" s="3021" t="s">
        <v>205</v>
      </c>
      <c r="H46" s="3021" t="s">
        <v>205</v>
      </c>
      <c r="I46" s="3275" t="s">
        <v>205</v>
      </c>
      <c r="J46" s="3276">
        <f t="shared" si="0"/>
        <v>0.35732230434612855</v>
      </c>
      <c r="K46" s="3245">
        <v>3.8054468090558347E-2</v>
      </c>
      <c r="M46" s="4514" t="s">
        <v>1080</v>
      </c>
      <c r="N46" s="4515"/>
      <c r="O46" s="1693" t="s">
        <v>1051</v>
      </c>
      <c r="P46" s="1694" t="s">
        <v>1039</v>
      </c>
      <c r="Q46" s="4444" t="s">
        <v>199</v>
      </c>
      <c r="R46" s="4445" t="s">
        <v>199</v>
      </c>
      <c r="S46" s="4445" t="s">
        <v>199</v>
      </c>
      <c r="T46" s="4446">
        <v>46.130688115125743</v>
      </c>
      <c r="U46" s="4446" t="s">
        <v>199</v>
      </c>
      <c r="V46" s="4446" t="s">
        <v>199</v>
      </c>
      <c r="W46" s="4446" t="s">
        <v>274</v>
      </c>
      <c r="X46" s="4446">
        <v>1.9256725318727403</v>
      </c>
      <c r="Y46" s="4446">
        <v>18.258607313818249</v>
      </c>
      <c r="Z46" s="4446">
        <v>0.35349282847536817</v>
      </c>
      <c r="AA46" s="4446" t="s">
        <v>199</v>
      </c>
      <c r="AB46" s="4447">
        <v>97.476027744387494</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43.369801143525649</v>
      </c>
      <c r="U47" s="4166" t="s">
        <v>199</v>
      </c>
      <c r="V47" s="4166" t="s">
        <v>199</v>
      </c>
      <c r="W47" s="4166" t="s">
        <v>274</v>
      </c>
      <c r="X47" s="4166">
        <v>2.6841756640254073</v>
      </c>
      <c r="Y47" s="4166">
        <v>18.773312441863567</v>
      </c>
      <c r="Z47" s="4166">
        <v>0.23452758613610003</v>
      </c>
      <c r="AA47" s="4166" t="s">
        <v>199</v>
      </c>
      <c r="AB47" s="4140">
        <v>97.315824335974582</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1.9999999999999997E-2</v>
      </c>
      <c r="U50" s="4166" t="s">
        <v>199</v>
      </c>
      <c r="V50" s="4166" t="s">
        <v>199</v>
      </c>
      <c r="W50" s="4166" t="s">
        <v>274</v>
      </c>
      <c r="X50" s="4166">
        <v>1.3995539989425522E-2</v>
      </c>
      <c r="Y50" s="4166">
        <v>9.9999999999999985E-3</v>
      </c>
      <c r="Z50" s="4166">
        <v>0.1</v>
      </c>
      <c r="AA50" s="4166" t="s">
        <v>199</v>
      </c>
      <c r="AB50" s="4140">
        <v>1.4999999999999999E-2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27906.764999999999</v>
      </c>
      <c r="D10" s="3453"/>
      <c r="E10" s="3454"/>
      <c r="F10" s="3441">
        <f>F15</f>
        <v>27028359.56302597</v>
      </c>
      <c r="G10" s="3441" t="str">
        <f t="shared" ref="G10:R10" si="0">G15</f>
        <v>NO</v>
      </c>
      <c r="H10" s="3441">
        <f t="shared" si="0"/>
        <v>8341611.2421478676</v>
      </c>
      <c r="I10" s="3441">
        <f t="shared" si="0"/>
        <v>15577137.73488548</v>
      </c>
      <c r="J10" s="3441" t="str">
        <f t="shared" si="0"/>
        <v>NO</v>
      </c>
      <c r="K10" s="3441">
        <f t="shared" si="0"/>
        <v>50087038.879970372</v>
      </c>
      <c r="L10" s="3441" t="str">
        <f t="shared" si="0"/>
        <v>NO</v>
      </c>
      <c r="M10" s="3441">
        <f t="shared" si="0"/>
        <v>1159465644.7337532</v>
      </c>
      <c r="N10" s="3441">
        <f t="shared" si="0"/>
        <v>7167855.9600348044</v>
      </c>
      <c r="O10" s="3441" t="str">
        <f t="shared" si="0"/>
        <v>NO</v>
      </c>
      <c r="P10" s="3441" t="str">
        <f t="shared" si="0"/>
        <v>NO</v>
      </c>
      <c r="Q10" s="3441" t="str">
        <f t="shared" si="0"/>
        <v>NO</v>
      </c>
      <c r="R10" s="3441">
        <f t="shared" si="0"/>
        <v>1267667648.1138177</v>
      </c>
      <c r="S10" s="2670"/>
      <c r="T10" s="2671"/>
      <c r="U10" s="3419">
        <f>IF(SUM(X10)=0,"NA",X10*1000/C10)</f>
        <v>2.3652108524800711E-2</v>
      </c>
      <c r="V10" s="3411"/>
      <c r="W10" s="3412"/>
      <c r="X10" s="3278">
        <f t="shared" ref="X10" si="1">X15</f>
        <v>0.66005383435611009</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27906.764999999999</v>
      </c>
      <c r="D15" s="3456"/>
      <c r="E15" s="3456"/>
      <c r="F15" s="2668">
        <f>F20</f>
        <v>27028359.56302597</v>
      </c>
      <c r="G15" s="2668" t="str">
        <f t="shared" ref="G15:R15" si="2">G20</f>
        <v>NO</v>
      </c>
      <c r="H15" s="2668">
        <f t="shared" si="2"/>
        <v>8341611.2421478676</v>
      </c>
      <c r="I15" s="2668">
        <f t="shared" si="2"/>
        <v>15577137.73488548</v>
      </c>
      <c r="J15" s="2668" t="str">
        <f t="shared" si="2"/>
        <v>NO</v>
      </c>
      <c r="K15" s="2668">
        <f t="shared" si="2"/>
        <v>50087038.879970372</v>
      </c>
      <c r="L15" s="2668" t="str">
        <f t="shared" si="2"/>
        <v>NO</v>
      </c>
      <c r="M15" s="2668">
        <f t="shared" si="2"/>
        <v>1159465644.7337532</v>
      </c>
      <c r="N15" s="2668">
        <f t="shared" si="2"/>
        <v>7167855.9600348044</v>
      </c>
      <c r="O15" s="2668" t="str">
        <f t="shared" si="2"/>
        <v>NO</v>
      </c>
      <c r="P15" s="2668" t="str">
        <f t="shared" si="2"/>
        <v>NO</v>
      </c>
      <c r="Q15" s="2668" t="str">
        <f t="shared" si="2"/>
        <v>NO</v>
      </c>
      <c r="R15" s="2668">
        <f t="shared" si="2"/>
        <v>1267667648.1138177</v>
      </c>
      <c r="S15" s="2676"/>
      <c r="T15" s="2677"/>
      <c r="U15" s="3419">
        <f>IF(SUM(X15)=0,"NA",X15*1000/C15)</f>
        <v>2.3652108524800711E-2</v>
      </c>
      <c r="V15" s="3417"/>
      <c r="W15" s="3418"/>
      <c r="X15" s="3281">
        <f t="shared" ref="X15" si="3">X20</f>
        <v>0.66005383435611009</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27906.764999999999</v>
      </c>
      <c r="D20" s="3455"/>
      <c r="E20" s="3455"/>
      <c r="F20" s="2668">
        <f>IF(SUM(F21:F23)=0,"NO",SUM(F21:F23))</f>
        <v>27028359.56302597</v>
      </c>
      <c r="G20" s="2668" t="str">
        <f t="shared" ref="G20:Q20" si="6">IF(SUM(G21:G23)=0,"NO",SUM(G21:G23))</f>
        <v>NO</v>
      </c>
      <c r="H20" s="2668">
        <f t="shared" si="6"/>
        <v>8341611.2421478676</v>
      </c>
      <c r="I20" s="2668">
        <f t="shared" si="6"/>
        <v>15577137.73488548</v>
      </c>
      <c r="J20" s="2668" t="str">
        <f t="shared" si="6"/>
        <v>NO</v>
      </c>
      <c r="K20" s="2668">
        <f t="shared" si="6"/>
        <v>50087038.879970372</v>
      </c>
      <c r="L20" s="2668" t="str">
        <f t="shared" si="6"/>
        <v>NO</v>
      </c>
      <c r="M20" s="2668">
        <f t="shared" si="6"/>
        <v>1159465644.7337532</v>
      </c>
      <c r="N20" s="2668">
        <f t="shared" si="6"/>
        <v>7167855.9600348044</v>
      </c>
      <c r="O20" s="2668" t="str">
        <f t="shared" si="6"/>
        <v>NO</v>
      </c>
      <c r="P20" s="2668" t="str">
        <f t="shared" si="6"/>
        <v>NO</v>
      </c>
      <c r="Q20" s="2668" t="str">
        <f t="shared" si="6"/>
        <v>NO</v>
      </c>
      <c r="R20" s="3445">
        <f>IF(SUM(F20:Q20)=0,"NO",SUM(F20:Q20))</f>
        <v>1267667648.1138177</v>
      </c>
      <c r="S20" s="2676"/>
      <c r="T20" s="2677"/>
      <c r="U20" s="3419">
        <f t="shared" si="4"/>
        <v>2.3652108524800711E-2</v>
      </c>
      <c r="V20" s="3417"/>
      <c r="W20" s="3418"/>
      <c r="X20" s="3281">
        <f t="shared" ref="X20" si="7">IF(SUM(X21:X23)=0,"NO",SUM(X21:X23))</f>
        <v>0.66005383435611009</v>
      </c>
      <c r="Y20" s="3142"/>
      <c r="Z20" s="3420"/>
    </row>
    <row r="21" spans="2:26" ht="18" customHeight="1" x14ac:dyDescent="0.2">
      <c r="B21" s="2666" t="s">
        <v>994</v>
      </c>
      <c r="C21" s="3458">
        <f>Table3.A!C21</f>
        <v>2612.2849999999999</v>
      </c>
      <c r="D21" s="3274">
        <v>129.17215106294853</v>
      </c>
      <c r="E21" s="3457">
        <f>'Table3.B(a)'!G21</f>
        <v>463.11151237801164</v>
      </c>
      <c r="F21" s="3442">
        <v>26126792.863186505</v>
      </c>
      <c r="G21" s="3442" t="s">
        <v>199</v>
      </c>
      <c r="H21" s="3442">
        <v>8341611.2421478676</v>
      </c>
      <c r="I21" s="3442">
        <v>5391237.1600991832</v>
      </c>
      <c r="J21" s="3442" t="s">
        <v>199</v>
      </c>
      <c r="K21" s="3442" t="s">
        <v>274</v>
      </c>
      <c r="L21" s="3442" t="s">
        <v>199</v>
      </c>
      <c r="M21" s="3442">
        <v>297574831.37404096</v>
      </c>
      <c r="N21" s="3442" t="s">
        <v>199</v>
      </c>
      <c r="O21" s="3442" t="s">
        <v>199</v>
      </c>
      <c r="P21" s="3442" t="s">
        <v>199</v>
      </c>
      <c r="Q21" s="3442" t="s">
        <v>199</v>
      </c>
      <c r="R21" s="3445">
        <f t="shared" ref="R21:R46" si="8">IF(SUM(F21:Q21)=0,"NO",SUM(F21:Q21))</f>
        <v>337434472.63947451</v>
      </c>
      <c r="S21" s="2676"/>
      <c r="T21" s="2677"/>
      <c r="U21" s="3419">
        <f t="shared" si="4"/>
        <v>1.6215581586096629E-2</v>
      </c>
      <c r="V21" s="3417"/>
      <c r="W21" s="3418"/>
      <c r="X21" s="3282">
        <v>4.2359720543636431E-2</v>
      </c>
      <c r="Y21" s="3142"/>
      <c r="Z21" s="3420"/>
    </row>
    <row r="22" spans="2:26" ht="18" customHeight="1" x14ac:dyDescent="0.2">
      <c r="B22" s="2666" t="s">
        <v>965</v>
      </c>
      <c r="C22" s="3458">
        <f>Table3.A!C22</f>
        <v>24589.460999999999</v>
      </c>
      <c r="D22" s="3274">
        <v>35.05122814594241</v>
      </c>
      <c r="E22" s="3457">
        <f>'Table3.B(a)'!G22</f>
        <v>362.49090311276143</v>
      </c>
      <c r="F22" s="3446" t="s">
        <v>199</v>
      </c>
      <c r="G22" s="3442" t="s">
        <v>199</v>
      </c>
      <c r="H22" s="3446" t="s">
        <v>199</v>
      </c>
      <c r="I22" s="3446" t="s">
        <v>199</v>
      </c>
      <c r="J22" s="3446" t="s">
        <v>199</v>
      </c>
      <c r="K22" s="3446" t="s">
        <v>199</v>
      </c>
      <c r="L22" s="3446" t="s">
        <v>199</v>
      </c>
      <c r="M22" s="3446">
        <v>861890813.35971212</v>
      </c>
      <c r="N22" s="3446" t="s">
        <v>199</v>
      </c>
      <c r="O22" s="3446" t="s">
        <v>199</v>
      </c>
      <c r="P22" s="3446" t="s">
        <v>199</v>
      </c>
      <c r="Q22" s="3446" t="s">
        <v>199</v>
      </c>
      <c r="R22" s="3445">
        <f t="shared" si="8"/>
        <v>861890813.35971212</v>
      </c>
      <c r="S22" s="2676"/>
      <c r="T22" s="2677"/>
      <c r="U22" s="3419" t="str">
        <f>IF(SUM(X22)=0,"NA",X22*1000/C22)</f>
        <v>NA</v>
      </c>
      <c r="V22" s="3417"/>
      <c r="W22" s="3418"/>
      <c r="X22" s="3282" t="s">
        <v>205</v>
      </c>
      <c r="Y22" s="3142"/>
      <c r="Z22" s="3420"/>
    </row>
    <row r="23" spans="2:26" ht="18" customHeight="1" x14ac:dyDescent="0.2">
      <c r="B23" s="2666" t="s">
        <v>966</v>
      </c>
      <c r="C23" s="3458">
        <f>Table3.A!C23</f>
        <v>705.01900000000001</v>
      </c>
      <c r="D23" s="3274">
        <v>71.043529273910679</v>
      </c>
      <c r="E23" s="3457">
        <f>'Table3.B(a)'!G23</f>
        <v>518.99646479664329</v>
      </c>
      <c r="F23" s="3446">
        <v>901566.6998394666</v>
      </c>
      <c r="G23" s="3442" t="s">
        <v>199</v>
      </c>
      <c r="H23" s="3446" t="s">
        <v>199</v>
      </c>
      <c r="I23" s="3446">
        <v>10185900.574786298</v>
      </c>
      <c r="J23" s="3446" t="s">
        <v>274</v>
      </c>
      <c r="K23" s="3446">
        <v>50087038.879970372</v>
      </c>
      <c r="L23" s="3446" t="s">
        <v>199</v>
      </c>
      <c r="M23" s="3446" t="s">
        <v>199</v>
      </c>
      <c r="N23" s="3446">
        <v>7167855.9600348044</v>
      </c>
      <c r="O23" s="3446" t="s">
        <v>199</v>
      </c>
      <c r="P23" s="3446" t="s">
        <v>199</v>
      </c>
      <c r="Q23" s="3446" t="s">
        <v>199</v>
      </c>
      <c r="R23" s="3445">
        <f t="shared" si="8"/>
        <v>68342362.114630938</v>
      </c>
      <c r="S23" s="2676"/>
      <c r="T23" s="2677"/>
      <c r="U23" s="3419">
        <f t="shared" ref="U23:U30" si="9">IF(SUM(X23)=0,"NA",X23*1000/C23)</f>
        <v>0.87613825132723189</v>
      </c>
      <c r="V23" s="3417"/>
      <c r="W23" s="3418"/>
      <c r="X23" s="3282">
        <v>0.61769411381247363</v>
      </c>
      <c r="Y23" s="3142"/>
      <c r="Z23" s="3420"/>
    </row>
    <row r="24" spans="2:26" ht="18" customHeight="1" x14ac:dyDescent="0.2">
      <c r="B24" s="349" t="s">
        <v>1062</v>
      </c>
      <c r="C24" s="3281">
        <f>C25</f>
        <v>72739.683000000005</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502013889.90311366</v>
      </c>
      <c r="N24" s="2668" t="str">
        <f t="shared" si="10"/>
        <v>NO</v>
      </c>
      <c r="O24" s="2668" t="str">
        <f t="shared" si="10"/>
        <v>NO</v>
      </c>
      <c r="P24" s="2668" t="str">
        <f t="shared" si="10"/>
        <v>NO</v>
      </c>
      <c r="Q24" s="2668" t="str">
        <f t="shared" si="10"/>
        <v>NO</v>
      </c>
      <c r="R24" s="3445">
        <f t="shared" si="8"/>
        <v>502013889.90311366</v>
      </c>
      <c r="S24" s="2676"/>
      <c r="T24" s="2677"/>
      <c r="U24" s="3419" t="str">
        <f t="shared" si="9"/>
        <v>NA</v>
      </c>
      <c r="V24" s="3417"/>
      <c r="W24" s="3418"/>
      <c r="X24" s="3281" t="str">
        <f t="shared" ref="X24:X25" si="11">X25</f>
        <v>NA</v>
      </c>
      <c r="Y24" s="3142"/>
      <c r="Z24" s="3420"/>
    </row>
    <row r="25" spans="2:26" ht="18" customHeight="1" x14ac:dyDescent="0.2">
      <c r="B25" s="348" t="s">
        <v>1063</v>
      </c>
      <c r="C25" s="3281">
        <f>C26</f>
        <v>72739.683000000005</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502013889.90311366</v>
      </c>
      <c r="N25" s="2668" t="str">
        <f t="shared" si="10"/>
        <v>NO</v>
      </c>
      <c r="O25" s="2668" t="str">
        <f t="shared" si="10"/>
        <v>NO</v>
      </c>
      <c r="P25" s="2668" t="str">
        <f t="shared" si="10"/>
        <v>NO</v>
      </c>
      <c r="Q25" s="2668" t="str">
        <f t="shared" si="10"/>
        <v>NO</v>
      </c>
      <c r="R25" s="3445">
        <f t="shared" si="8"/>
        <v>502013889.90311366</v>
      </c>
      <c r="S25" s="2676"/>
      <c r="T25" s="2677"/>
      <c r="U25" s="3419" t="str">
        <f t="shared" si="9"/>
        <v>NA</v>
      </c>
      <c r="V25" s="3417"/>
      <c r="W25" s="3418"/>
      <c r="X25" s="3281" t="str">
        <f t="shared" si="11"/>
        <v>NA</v>
      </c>
      <c r="Y25" s="3142"/>
      <c r="Z25" s="3420"/>
    </row>
    <row r="26" spans="2:26" ht="18" customHeight="1" x14ac:dyDescent="0.2">
      <c r="B26" s="2661" t="s">
        <v>967</v>
      </c>
      <c r="C26" s="3458">
        <f>Table3.A!C26</f>
        <v>72739.683000000005</v>
      </c>
      <c r="D26" s="3274">
        <v>6.9015133033108444</v>
      </c>
      <c r="E26" s="3457">
        <f>'Table3.B(a)'!G26</f>
        <v>44.463544868028393</v>
      </c>
      <c r="F26" s="3446" t="s">
        <v>199</v>
      </c>
      <c r="G26" s="3442" t="s">
        <v>199</v>
      </c>
      <c r="H26" s="3446" t="s">
        <v>199</v>
      </c>
      <c r="I26" s="3446" t="s">
        <v>199</v>
      </c>
      <c r="J26" s="3446" t="s">
        <v>199</v>
      </c>
      <c r="K26" s="3446" t="s">
        <v>199</v>
      </c>
      <c r="L26" s="3446" t="s">
        <v>199</v>
      </c>
      <c r="M26" s="3442">
        <v>502013889.90311366</v>
      </c>
      <c r="N26" s="3446" t="s">
        <v>199</v>
      </c>
      <c r="O26" s="3446" t="s">
        <v>199</v>
      </c>
      <c r="P26" s="3446" t="s">
        <v>199</v>
      </c>
      <c r="Q26" s="3446" t="s">
        <v>199</v>
      </c>
      <c r="R26" s="3445">
        <f t="shared" si="8"/>
        <v>502013889.90311366</v>
      </c>
      <c r="S26" s="2676"/>
      <c r="T26" s="2677"/>
      <c r="U26" s="3419" t="str">
        <f t="shared" si="9"/>
        <v>NA</v>
      </c>
      <c r="V26" s="3417"/>
      <c r="W26" s="3418"/>
      <c r="X26" s="3282" t="s">
        <v>205</v>
      </c>
      <c r="Y26" s="3142"/>
      <c r="Z26" s="3420"/>
    </row>
    <row r="27" spans="2:26" ht="18" customHeight="1" x14ac:dyDescent="0.2">
      <c r="B27" s="349" t="s">
        <v>1064</v>
      </c>
      <c r="C27" s="3281">
        <f>C28</f>
        <v>2301.788</v>
      </c>
      <c r="D27" s="3455"/>
      <c r="E27" s="3455"/>
      <c r="F27" s="2668">
        <f>F28</f>
        <v>23615382.925584815</v>
      </c>
      <c r="G27" s="2668" t="str">
        <f t="shared" ref="G27:G28" si="12">G28</f>
        <v>NO</v>
      </c>
      <c r="H27" s="2668" t="str">
        <f t="shared" ref="H27:H28" si="13">H28</f>
        <v>NO</v>
      </c>
      <c r="I27" s="2668" t="str">
        <f t="shared" ref="I27:I28" si="14">I28</f>
        <v>IE</v>
      </c>
      <c r="J27" s="2668" t="str">
        <f t="shared" ref="J27:J28" si="15">J28</f>
        <v>IE</v>
      </c>
      <c r="K27" s="2668">
        <f t="shared" ref="K27:K28" si="16">K28</f>
        <v>9021499.2099523507</v>
      </c>
      <c r="L27" s="2668" t="str">
        <f t="shared" ref="L27:L28" si="17">L28</f>
        <v>IE</v>
      </c>
      <c r="M27" s="2668" t="str">
        <f t="shared" ref="M27:M28" si="18">M28</f>
        <v>NO</v>
      </c>
      <c r="N27" s="2668" t="str">
        <f t="shared" ref="N27:N28" si="19">N28</f>
        <v>NO</v>
      </c>
      <c r="O27" s="2668">
        <f t="shared" ref="O27:O28" si="20">O28</f>
        <v>211579.65876000005</v>
      </c>
      <c r="P27" s="2668" t="str">
        <f t="shared" ref="P27:P28" si="21">P28</f>
        <v>NO</v>
      </c>
      <c r="Q27" s="2668">
        <f t="shared" ref="Q27:Q28" si="22">Q28</f>
        <v>8216995.3547368664</v>
      </c>
      <c r="R27" s="3445">
        <f t="shared" si="8"/>
        <v>41065457.149034031</v>
      </c>
      <c r="S27" s="2676"/>
      <c r="T27" s="2677"/>
      <c r="U27" s="3419">
        <f t="shared" si="9"/>
        <v>0.10160060728989941</v>
      </c>
      <c r="V27" s="3417"/>
      <c r="W27" s="3418"/>
      <c r="X27" s="3281">
        <f t="shared" ref="X27:X28" si="23">X28</f>
        <v>0.23386305865260298</v>
      </c>
      <c r="Y27" s="3142"/>
      <c r="Z27" s="3420"/>
    </row>
    <row r="28" spans="2:26" ht="18" customHeight="1" x14ac:dyDescent="0.2">
      <c r="B28" s="348" t="s">
        <v>1065</v>
      </c>
      <c r="C28" s="3281">
        <f>C29</f>
        <v>2301.788</v>
      </c>
      <c r="D28" s="3455"/>
      <c r="E28" s="3455"/>
      <c r="F28" s="2668">
        <f>F29</f>
        <v>23615382.925584815</v>
      </c>
      <c r="G28" s="2668" t="str">
        <f t="shared" si="12"/>
        <v>NO</v>
      </c>
      <c r="H28" s="2668" t="str">
        <f t="shared" si="13"/>
        <v>NO</v>
      </c>
      <c r="I28" s="2668" t="str">
        <f t="shared" si="14"/>
        <v>IE</v>
      </c>
      <c r="J28" s="2668" t="str">
        <f t="shared" si="15"/>
        <v>IE</v>
      </c>
      <c r="K28" s="2668">
        <f t="shared" si="16"/>
        <v>9021499.2099523507</v>
      </c>
      <c r="L28" s="2668" t="str">
        <f t="shared" si="17"/>
        <v>IE</v>
      </c>
      <c r="M28" s="2668" t="str">
        <f t="shared" si="18"/>
        <v>NO</v>
      </c>
      <c r="N28" s="2668" t="str">
        <f t="shared" si="19"/>
        <v>NO</v>
      </c>
      <c r="O28" s="2668">
        <f t="shared" si="20"/>
        <v>211579.65876000005</v>
      </c>
      <c r="P28" s="2668" t="str">
        <f t="shared" si="21"/>
        <v>NO</v>
      </c>
      <c r="Q28" s="2668">
        <f t="shared" si="22"/>
        <v>8216995.3547368664</v>
      </c>
      <c r="R28" s="3445">
        <f t="shared" si="8"/>
        <v>41065457.149034031</v>
      </c>
      <c r="S28" s="2676"/>
      <c r="T28" s="2677"/>
      <c r="U28" s="3419">
        <f t="shared" si="9"/>
        <v>0.10160060728989941</v>
      </c>
      <c r="V28" s="3417"/>
      <c r="W28" s="3418"/>
      <c r="X28" s="3281">
        <f t="shared" si="23"/>
        <v>0.23386305865260298</v>
      </c>
      <c r="Y28" s="3142"/>
      <c r="Z28" s="3420"/>
    </row>
    <row r="29" spans="2:26" ht="18" customHeight="1" x14ac:dyDescent="0.2">
      <c r="B29" s="2661" t="s">
        <v>968</v>
      </c>
      <c r="C29" s="3458">
        <f>Table3.A!C29</f>
        <v>2301.788</v>
      </c>
      <c r="D29" s="3274">
        <v>14.826857458194949</v>
      </c>
      <c r="E29" s="3457">
        <f>'Table3.B(a)'!G29</f>
        <v>56.830799964344138</v>
      </c>
      <c r="F29" s="3442">
        <v>23615382.925584815</v>
      </c>
      <c r="G29" s="3442" t="s">
        <v>199</v>
      </c>
      <c r="H29" s="3442" t="s">
        <v>199</v>
      </c>
      <c r="I29" s="3442" t="s">
        <v>274</v>
      </c>
      <c r="J29" s="3442" t="s">
        <v>274</v>
      </c>
      <c r="K29" s="3442">
        <v>9021499.2099523507</v>
      </c>
      <c r="L29" s="3442" t="s">
        <v>274</v>
      </c>
      <c r="M29" s="3442" t="s">
        <v>199</v>
      </c>
      <c r="N29" s="3442" t="s">
        <v>199</v>
      </c>
      <c r="O29" s="3442">
        <v>211579.65876000005</v>
      </c>
      <c r="P29" s="3442" t="s">
        <v>199</v>
      </c>
      <c r="Q29" s="3442">
        <v>8216995.3547368664</v>
      </c>
      <c r="R29" s="3445">
        <f t="shared" si="8"/>
        <v>41065457.149034031</v>
      </c>
      <c r="S29" s="2676"/>
      <c r="T29" s="2677"/>
      <c r="U29" s="3419">
        <f t="shared" si="9"/>
        <v>0.10160060728989941</v>
      </c>
      <c r="V29" s="3417"/>
      <c r="W29" s="3418"/>
      <c r="X29" s="3282">
        <v>0.23386305865260298</v>
      </c>
      <c r="Y29" s="3142"/>
      <c r="Z29" s="3420"/>
    </row>
    <row r="30" spans="2:26" ht="18" customHeight="1" x14ac:dyDescent="0.2">
      <c r="B30" s="349" t="s">
        <v>1116</v>
      </c>
      <c r="C30" s="3281">
        <f>IF(SUM(C32:C39)=0,"NO",SUM(C32:C39))</f>
        <v>75390.75</v>
      </c>
      <c r="D30" s="3455"/>
      <c r="E30" s="3455"/>
      <c r="F30" s="2668" t="str">
        <f>IF(SUM(F32:F39)=0,"NO",SUM(F32:F39))</f>
        <v>NO</v>
      </c>
      <c r="G30" s="2668" t="str">
        <f t="shared" ref="G30:Q30" si="24">IF(SUM(G32:G39)=0,"NO",SUM(G32:G39))</f>
        <v>NO</v>
      </c>
      <c r="H30" s="2668" t="str">
        <f t="shared" si="24"/>
        <v>NO</v>
      </c>
      <c r="I30" s="2668">
        <f t="shared" si="24"/>
        <v>17876571.569143619</v>
      </c>
      <c r="J30" s="2668" t="str">
        <f t="shared" si="24"/>
        <v>NO</v>
      </c>
      <c r="K30" s="2668" t="str">
        <f t="shared" si="24"/>
        <v>NO</v>
      </c>
      <c r="L30" s="2668" t="str">
        <f t="shared" si="24"/>
        <v>NO</v>
      </c>
      <c r="M30" s="2668">
        <f t="shared" si="24"/>
        <v>17575575.615116563</v>
      </c>
      <c r="N30" s="2668">
        <f t="shared" si="24"/>
        <v>7785631.2862672126</v>
      </c>
      <c r="O30" s="2668">
        <f t="shared" si="24"/>
        <v>93781.320755496228</v>
      </c>
      <c r="P30" s="2668" t="str">
        <f t="shared" si="24"/>
        <v>NO</v>
      </c>
      <c r="Q30" s="2668">
        <f t="shared" si="24"/>
        <v>57603234.059910588</v>
      </c>
      <c r="R30" s="3445">
        <f t="shared" si="8"/>
        <v>100934793.85119349</v>
      </c>
      <c r="S30" s="2676"/>
      <c r="T30" s="2677"/>
      <c r="U30" s="3419">
        <f t="shared" si="9"/>
        <v>4.4983748597946837E-3</v>
      </c>
      <c r="V30" s="3417"/>
      <c r="W30" s="3418"/>
      <c r="X30" s="3281">
        <f t="shared" ref="X30" si="25">IF(SUM(X32:X39)=0,"NO",SUM(X32:X39))</f>
        <v>0.33913585446106609</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8.5500000000000007</v>
      </c>
      <c r="D32" s="3274">
        <v>39.5</v>
      </c>
      <c r="E32" s="3457" t="str">
        <f>'Table3.B(a)'!G32</f>
        <v>NA</v>
      </c>
      <c r="F32" s="3442" t="s">
        <v>199</v>
      </c>
      <c r="G32" s="3442" t="s">
        <v>199</v>
      </c>
      <c r="H32" s="3442" t="s">
        <v>199</v>
      </c>
      <c r="I32" s="3442" t="s">
        <v>199</v>
      </c>
      <c r="J32" s="3442" t="s">
        <v>199</v>
      </c>
      <c r="K32" s="3442" t="s">
        <v>199</v>
      </c>
      <c r="L32" s="3442" t="s">
        <v>199</v>
      </c>
      <c r="M32" s="3442">
        <v>337725</v>
      </c>
      <c r="N32" s="3442" t="s">
        <v>199</v>
      </c>
      <c r="O32" s="3442" t="s">
        <v>199</v>
      </c>
      <c r="P32" s="3442" t="s">
        <v>199</v>
      </c>
      <c r="Q32" s="3442" t="s">
        <v>199</v>
      </c>
      <c r="R32" s="3445">
        <f t="shared" si="8"/>
        <v>337725</v>
      </c>
      <c r="S32" s="2676"/>
      <c r="T32" s="2677"/>
      <c r="U32" s="3419" t="str">
        <f>IF(SUM(X32)=0,"NA",X32*1000/C32)</f>
        <v>NA</v>
      </c>
      <c r="V32" s="3417"/>
      <c r="W32" s="3418"/>
      <c r="X32" s="3282" t="s">
        <v>205</v>
      </c>
      <c r="Y32" s="3142"/>
      <c r="Z32" s="3420"/>
    </row>
    <row r="33" spans="2:26" ht="18" customHeight="1" x14ac:dyDescent="0.2">
      <c r="B33" s="348" t="s">
        <v>1068</v>
      </c>
      <c r="C33" s="3458">
        <f>Table3.A!C33</f>
        <v>2.4239999999999999</v>
      </c>
      <c r="D33" s="3274">
        <v>39.5</v>
      </c>
      <c r="E33" s="3457" t="str">
        <f>'Table3.B(a)'!G33</f>
        <v>NA</v>
      </c>
      <c r="F33" s="3442" t="s">
        <v>199</v>
      </c>
      <c r="G33" s="3442" t="s">
        <v>199</v>
      </c>
      <c r="H33" s="3442" t="s">
        <v>199</v>
      </c>
      <c r="I33" s="3442" t="s">
        <v>199</v>
      </c>
      <c r="J33" s="3442" t="s">
        <v>199</v>
      </c>
      <c r="K33" s="3442" t="s">
        <v>199</v>
      </c>
      <c r="L33" s="3442" t="s">
        <v>199</v>
      </c>
      <c r="M33" s="3442">
        <v>95757.628442367029</v>
      </c>
      <c r="N33" s="3442" t="s">
        <v>199</v>
      </c>
      <c r="O33" s="3442" t="s">
        <v>199</v>
      </c>
      <c r="P33" s="3442" t="s">
        <v>199</v>
      </c>
      <c r="Q33" s="3442" t="s">
        <v>199</v>
      </c>
      <c r="R33" s="3445">
        <f t="shared" si="8"/>
        <v>95757.628442367029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46.076000000000001</v>
      </c>
      <c r="D34" s="3274">
        <v>13.2</v>
      </c>
      <c r="E34" s="3457" t="str">
        <f>'Table3.B(a)'!G34</f>
        <v>NA</v>
      </c>
      <c r="F34" s="3442" t="s">
        <v>199</v>
      </c>
      <c r="G34" s="3442" t="s">
        <v>199</v>
      </c>
      <c r="H34" s="3442" t="s">
        <v>199</v>
      </c>
      <c r="I34" s="3442" t="s">
        <v>199</v>
      </c>
      <c r="J34" s="3442" t="s">
        <v>199</v>
      </c>
      <c r="K34" s="3442" t="s">
        <v>199</v>
      </c>
      <c r="L34" s="3442" t="s">
        <v>199</v>
      </c>
      <c r="M34" s="3442">
        <v>608203.19999999995</v>
      </c>
      <c r="N34" s="3442" t="s">
        <v>199</v>
      </c>
      <c r="O34" s="3442" t="s">
        <v>199</v>
      </c>
      <c r="P34" s="3442" t="s">
        <v>199</v>
      </c>
      <c r="Q34" s="3442" t="s">
        <v>199</v>
      </c>
      <c r="R34" s="3445">
        <f t="shared" si="8"/>
        <v>608203.19999999995</v>
      </c>
      <c r="S34" s="2676"/>
      <c r="T34" s="2677"/>
      <c r="U34" s="3419" t="str">
        <f t="shared" si="26"/>
        <v>NA</v>
      </c>
      <c r="V34" s="3417"/>
      <c r="W34" s="3418"/>
      <c r="X34" s="3282" t="s">
        <v>205</v>
      </c>
      <c r="Y34" s="3142"/>
      <c r="Z34" s="3420"/>
    </row>
    <row r="35" spans="2:26" ht="18" customHeight="1" x14ac:dyDescent="0.2">
      <c r="B35" s="348" t="s">
        <v>1070</v>
      </c>
      <c r="C35" s="3458">
        <f>Table3.A!C35</f>
        <v>727.69</v>
      </c>
      <c r="D35" s="3274">
        <v>7</v>
      </c>
      <c r="E35" s="3457" t="str">
        <f>'Table3.B(a)'!G35</f>
        <v>NA</v>
      </c>
      <c r="F35" s="3442" t="s">
        <v>199</v>
      </c>
      <c r="G35" s="3442" t="s">
        <v>199</v>
      </c>
      <c r="H35" s="3442" t="s">
        <v>199</v>
      </c>
      <c r="I35" s="3442" t="s">
        <v>199</v>
      </c>
      <c r="J35" s="3442" t="s">
        <v>199</v>
      </c>
      <c r="K35" s="3442" t="s">
        <v>199</v>
      </c>
      <c r="L35" s="3442" t="s">
        <v>199</v>
      </c>
      <c r="M35" s="3442">
        <v>5093830</v>
      </c>
      <c r="N35" s="3442" t="s">
        <v>199</v>
      </c>
      <c r="O35" s="3442" t="s">
        <v>199</v>
      </c>
      <c r="P35" s="3442" t="s">
        <v>199</v>
      </c>
      <c r="Q35" s="3442" t="s">
        <v>199</v>
      </c>
      <c r="R35" s="3445">
        <f t="shared" si="8"/>
        <v>5093830</v>
      </c>
      <c r="S35" s="2676"/>
      <c r="T35" s="2677"/>
      <c r="U35" s="3419" t="str">
        <f t="shared" si="26"/>
        <v>NA</v>
      </c>
      <c r="V35" s="3417"/>
      <c r="W35" s="3418"/>
      <c r="X35" s="3282" t="s">
        <v>205</v>
      </c>
      <c r="Y35" s="3142"/>
      <c r="Z35" s="3420"/>
    </row>
    <row r="36" spans="2:26" ht="18" customHeight="1" x14ac:dyDescent="0.2">
      <c r="B36" s="348" t="s">
        <v>1071</v>
      </c>
      <c r="C36" s="3458">
        <f>Table3.A!C36</f>
        <v>256.41500000000002</v>
      </c>
      <c r="D36" s="3274">
        <v>39.5</v>
      </c>
      <c r="E36" s="3457" t="str">
        <f>'Table3.B(a)'!G36</f>
        <v>NA</v>
      </c>
      <c r="F36" s="3442" t="s">
        <v>199</v>
      </c>
      <c r="G36" s="3442" t="s">
        <v>199</v>
      </c>
      <c r="H36" s="3442" t="s">
        <v>199</v>
      </c>
      <c r="I36" s="3442" t="s">
        <v>199</v>
      </c>
      <c r="J36" s="3442" t="s">
        <v>199</v>
      </c>
      <c r="K36" s="3442" t="s">
        <v>199</v>
      </c>
      <c r="L36" s="3442" t="s">
        <v>199</v>
      </c>
      <c r="M36" s="3442">
        <v>10128392.5</v>
      </c>
      <c r="N36" s="3442" t="s">
        <v>199</v>
      </c>
      <c r="O36" s="3442" t="s">
        <v>199</v>
      </c>
      <c r="P36" s="3442" t="s">
        <v>199</v>
      </c>
      <c r="Q36" s="3442" t="s">
        <v>199</v>
      </c>
      <c r="R36" s="3445">
        <f t="shared" si="8"/>
        <v>10128392.5</v>
      </c>
      <c r="S36" s="2676"/>
      <c r="T36" s="2677"/>
      <c r="U36" s="3419" t="str">
        <f t="shared" si="26"/>
        <v>NA</v>
      </c>
      <c r="V36" s="3417"/>
      <c r="W36" s="3418"/>
      <c r="X36" s="3282" t="s">
        <v>205</v>
      </c>
      <c r="Y36" s="3142"/>
      <c r="Z36" s="3420"/>
    </row>
    <row r="37" spans="2:26" ht="18" customHeight="1" x14ac:dyDescent="0.2">
      <c r="B37" s="348" t="s">
        <v>1117</v>
      </c>
      <c r="C37" s="3458">
        <f>Table3.A!C37</f>
        <v>0.57599999999999996</v>
      </c>
      <c r="D37" s="3274">
        <v>13.2</v>
      </c>
      <c r="E37" s="3457" t="str">
        <f>'Table3.B(a)'!G37</f>
        <v>NA</v>
      </c>
      <c r="F37" s="3442" t="s">
        <v>199</v>
      </c>
      <c r="G37" s="3442" t="s">
        <v>199</v>
      </c>
      <c r="H37" s="3442" t="s">
        <v>199</v>
      </c>
      <c r="I37" s="3442" t="s">
        <v>199</v>
      </c>
      <c r="J37" s="3442" t="s">
        <v>199</v>
      </c>
      <c r="K37" s="3442" t="s">
        <v>199</v>
      </c>
      <c r="L37" s="3442" t="s">
        <v>199</v>
      </c>
      <c r="M37" s="3442">
        <v>7603.3171425175451</v>
      </c>
      <c r="N37" s="3442" t="s">
        <v>199</v>
      </c>
      <c r="O37" s="3442" t="s">
        <v>199</v>
      </c>
      <c r="P37" s="3442" t="s">
        <v>199</v>
      </c>
      <c r="Q37" s="3442" t="s">
        <v>199</v>
      </c>
      <c r="R37" s="3445">
        <f t="shared" si="8"/>
        <v>7603.3171425175451</v>
      </c>
      <c r="S37" s="2676"/>
      <c r="T37" s="2677"/>
      <c r="U37" s="3419" t="str">
        <f t="shared" si="26"/>
        <v>NA</v>
      </c>
      <c r="V37" s="3417"/>
      <c r="W37" s="3418"/>
      <c r="X37" s="3282" t="s">
        <v>205</v>
      </c>
      <c r="Y37" s="3142"/>
      <c r="Z37" s="3420"/>
    </row>
    <row r="38" spans="2:26" ht="18" customHeight="1" x14ac:dyDescent="0.2">
      <c r="B38" s="348" t="s">
        <v>1073</v>
      </c>
      <c r="C38" s="3458">
        <f>Table3.A!C38</f>
        <v>74230.561000000002</v>
      </c>
      <c r="D38" s="3274">
        <v>0.66077115030896005</v>
      </c>
      <c r="E38" s="3457" t="str">
        <f>'Table3.B(a)'!G38</f>
        <v>NA</v>
      </c>
      <c r="F38" s="3442" t="s">
        <v>199</v>
      </c>
      <c r="G38" s="3442" t="s">
        <v>199</v>
      </c>
      <c r="H38" s="3442" t="s">
        <v>199</v>
      </c>
      <c r="I38" s="3442">
        <v>17876571.569143619</v>
      </c>
      <c r="J38" s="3442" t="s">
        <v>274</v>
      </c>
      <c r="K38" s="3442" t="s">
        <v>274</v>
      </c>
      <c r="L38" s="3442" t="s">
        <v>274</v>
      </c>
      <c r="M38" s="3442">
        <v>474858.20337178768</v>
      </c>
      <c r="N38" s="3442">
        <v>7785631.2862672126</v>
      </c>
      <c r="O38" s="3442">
        <v>93781.320755496228</v>
      </c>
      <c r="P38" s="3442" t="s">
        <v>199</v>
      </c>
      <c r="Q38" s="3442">
        <v>57603234.059910588</v>
      </c>
      <c r="R38" s="3445">
        <f t="shared" si="8"/>
        <v>83834076.439448714</v>
      </c>
      <c r="S38" s="2676"/>
      <c r="T38" s="2677"/>
      <c r="U38" s="3419">
        <f t="shared" si="26"/>
        <v>4.5686823579450791E-3</v>
      </c>
      <c r="V38" s="3417"/>
      <c r="W38" s="3418"/>
      <c r="X38" s="3282">
        <v>0.33913585446106609</v>
      </c>
      <c r="Y38" s="3142"/>
      <c r="Z38" s="3420"/>
    </row>
    <row r="39" spans="2:26" ht="18" customHeight="1" x14ac:dyDescent="0.2">
      <c r="B39" s="348" t="s">
        <v>1074</v>
      </c>
      <c r="C39" s="3281">
        <f>IF(SUM(C41:C45)=0,"NO",SUM(C41:C45))</f>
        <v>118.458</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829205.76615989022</v>
      </c>
      <c r="N39" s="2668" t="str">
        <f t="shared" si="27"/>
        <v>NO</v>
      </c>
      <c r="O39" s="2668" t="str">
        <f t="shared" si="27"/>
        <v>NO</v>
      </c>
      <c r="P39" s="2668" t="str">
        <f t="shared" si="27"/>
        <v>NO</v>
      </c>
      <c r="Q39" s="2668" t="str">
        <f t="shared" si="27"/>
        <v>NO</v>
      </c>
      <c r="R39" s="3445">
        <f t="shared" si="8"/>
        <v>829205.76615989022</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11.959</v>
      </c>
      <c r="D43" s="3274">
        <v>7</v>
      </c>
      <c r="E43" s="3457" t="str">
        <f>'Table3.B(a)'!G43</f>
        <v>NA</v>
      </c>
      <c r="F43" s="3442" t="s">
        <v>199</v>
      </c>
      <c r="G43" s="3442" t="s">
        <v>199</v>
      </c>
      <c r="H43" s="3442" t="s">
        <v>199</v>
      </c>
      <c r="I43" s="3442" t="s">
        <v>199</v>
      </c>
      <c r="J43" s="3442" t="s">
        <v>199</v>
      </c>
      <c r="K43" s="3442" t="s">
        <v>199</v>
      </c>
      <c r="L43" s="3442" t="s">
        <v>199</v>
      </c>
      <c r="M43" s="3442">
        <v>83713.277310924313</v>
      </c>
      <c r="N43" s="3442" t="s">
        <v>199</v>
      </c>
      <c r="O43" s="3442" t="s">
        <v>199</v>
      </c>
      <c r="P43" s="3442" t="s">
        <v>199</v>
      </c>
      <c r="Q43" s="3442" t="s">
        <v>199</v>
      </c>
      <c r="R43" s="3445">
        <f t="shared" si="8"/>
        <v>83713.277310924313</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106.499</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745492.48884896585</v>
      </c>
      <c r="N45" s="2668" t="str">
        <f t="shared" si="28"/>
        <v>NO</v>
      </c>
      <c r="O45" s="2668" t="str">
        <f t="shared" si="28"/>
        <v>NO</v>
      </c>
      <c r="P45" s="2668" t="str">
        <f t="shared" si="28"/>
        <v>NO</v>
      </c>
      <c r="Q45" s="2668" t="str">
        <f t="shared" si="28"/>
        <v>NO</v>
      </c>
      <c r="R45" s="3445">
        <f t="shared" si="8"/>
        <v>745492.48884896585</v>
      </c>
      <c r="S45" s="2676"/>
      <c r="T45" s="2677"/>
      <c r="U45" s="3419" t="str">
        <f t="shared" si="26"/>
        <v>NA</v>
      </c>
      <c r="V45" s="3417"/>
      <c r="W45" s="3418"/>
      <c r="X45" s="3281" t="str">
        <f>X46</f>
        <v>NA</v>
      </c>
      <c r="Y45" s="3142"/>
      <c r="Z45" s="3420"/>
    </row>
    <row r="46" spans="2:26" ht="18" customHeight="1" x14ac:dyDescent="0.2">
      <c r="B46" s="2665" t="s">
        <v>1013</v>
      </c>
      <c r="C46" s="3458">
        <f>Table3.A!C46</f>
        <v>106.499</v>
      </c>
      <c r="D46" s="3274">
        <v>7</v>
      </c>
      <c r="E46" s="3457" t="str">
        <f>'Table3.B(a)'!G46</f>
        <v>NA</v>
      </c>
      <c r="F46" s="3442" t="s">
        <v>199</v>
      </c>
      <c r="G46" s="3442" t="s">
        <v>199</v>
      </c>
      <c r="H46" s="3442" t="s">
        <v>199</v>
      </c>
      <c r="I46" s="3442" t="s">
        <v>199</v>
      </c>
      <c r="J46" s="3442" t="s">
        <v>199</v>
      </c>
      <c r="K46" s="3442" t="s">
        <v>199</v>
      </c>
      <c r="L46" s="3442" t="s">
        <v>199</v>
      </c>
      <c r="M46" s="3442">
        <v>745492.48884896585</v>
      </c>
      <c r="N46" s="3442" t="s">
        <v>199</v>
      </c>
      <c r="O46" s="3442" t="s">
        <v>199</v>
      </c>
      <c r="P46" s="3442" t="s">
        <v>199</v>
      </c>
      <c r="Q46" s="3442" t="s">
        <v>199</v>
      </c>
      <c r="R46" s="3445">
        <f t="shared" si="8"/>
        <v>745492.48884896585</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82471851.31171672</v>
      </c>
      <c r="T47" s="3410">
        <v>283755.49135898129</v>
      </c>
      <c r="U47" s="3429"/>
      <c r="V47" s="3430">
        <f>IF(SUM(S47)=0,"NA",Y47*1000000/S47)</f>
        <v>6.1349663314384543E-3</v>
      </c>
      <c r="W47" s="3431">
        <f>IF(SUM(T47)=0,"NA",Z47*1000000/T47)</f>
        <v>1.7285714285714279E-2</v>
      </c>
      <c r="X47" s="3283"/>
      <c r="Y47" s="3287">
        <v>0.50596203108878035</v>
      </c>
      <c r="Z47" s="3288">
        <v>4.9049163506338176E-3</v>
      </c>
    </row>
    <row r="48" spans="2:26" ht="18" customHeight="1" x14ac:dyDescent="0.2">
      <c r="B48" s="356" t="s">
        <v>1119</v>
      </c>
      <c r="C48" s="357"/>
      <c r="D48" s="357"/>
      <c r="E48" s="357"/>
      <c r="F48" s="3448">
        <f>IF(SUM(F30,F27,F24,F10)=0,"NO",SUM(F30,F27,F24,F10))</f>
        <v>50643742.488610789</v>
      </c>
      <c r="G48" s="3448" t="str">
        <f t="shared" ref="G48:Q48" si="29">IF(SUM(G30,G27,G24,G10)=0,"NO",SUM(G30,G27,G24,G10))</f>
        <v>NO</v>
      </c>
      <c r="H48" s="3448">
        <f t="shared" si="29"/>
        <v>8341611.2421478676</v>
      </c>
      <c r="I48" s="3448">
        <f t="shared" si="29"/>
        <v>33453709.3040291</v>
      </c>
      <c r="J48" s="3448" t="str">
        <f t="shared" si="29"/>
        <v>NO</v>
      </c>
      <c r="K48" s="3448">
        <f t="shared" si="29"/>
        <v>59108538.089922726</v>
      </c>
      <c r="L48" s="3448" t="str">
        <f t="shared" si="29"/>
        <v>NO</v>
      </c>
      <c r="M48" s="3374"/>
      <c r="N48" s="3448">
        <f t="shared" si="29"/>
        <v>14953487.246302016</v>
      </c>
      <c r="O48" s="3448">
        <f t="shared" si="29"/>
        <v>305360.97951549629</v>
      </c>
      <c r="P48" s="3374"/>
      <c r="Q48" s="3448">
        <f t="shared" si="29"/>
        <v>65820229.414647453</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2.3858853340353963E-2</v>
      </c>
      <c r="J49" s="3449" t="str">
        <f t="shared" si="30"/>
        <v>NA</v>
      </c>
      <c r="K49" s="3449" t="str">
        <f t="shared" si="30"/>
        <v>NA</v>
      </c>
      <c r="L49" s="3449" t="str">
        <f t="shared" si="30"/>
        <v>NA</v>
      </c>
      <c r="M49" s="87"/>
      <c r="N49" s="3449">
        <f t="shared" si="30"/>
        <v>1.5714285714285712E-2</v>
      </c>
      <c r="O49" s="3449" t="str">
        <f t="shared" si="30"/>
        <v>NA</v>
      </c>
      <c r="P49" s="87"/>
      <c r="Q49" s="3449">
        <f t="shared" si="30"/>
        <v>3.037094131372185E-3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0.79816714397566513</v>
      </c>
      <c r="J50" s="3450" t="s">
        <v>274</v>
      </c>
      <c r="K50" s="3450" t="s">
        <v>274</v>
      </c>
      <c r="L50" s="3450" t="s">
        <v>274</v>
      </c>
      <c r="M50" s="3437"/>
      <c r="N50" s="3451">
        <v>0.23498337101331734</v>
      </c>
      <c r="O50" s="3451" t="s">
        <v>205</v>
      </c>
      <c r="P50" s="3437"/>
      <c r="Q50" s="3451">
        <v>0.19990223248079664</v>
      </c>
      <c r="R50" s="1311"/>
      <c r="S50" s="1312"/>
      <c r="T50" s="1313"/>
      <c r="U50" s="3436">
        <f>X50*1000/SUM(C10,C24,C27,C30)</f>
        <v>6.9140953143570034E-3</v>
      </c>
      <c r="V50" s="3437"/>
      <c r="W50" s="3438"/>
      <c r="X50" s="3286">
        <f>SUM(X10,X24,X27,X30)</f>
        <v>1.2330527474697792</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1.1431266</v>
      </c>
    </row>
    <row r="11" spans="1:9" ht="18" customHeight="1" x14ac:dyDescent="0.2">
      <c r="B11" s="432" t="s">
        <v>1133</v>
      </c>
      <c r="C11" s="4462">
        <v>7.1940000000000004E-2</v>
      </c>
      <c r="D11" s="243" t="s">
        <v>199</v>
      </c>
      <c r="E11" s="283" t="s">
        <v>199</v>
      </c>
      <c r="F11" s="2330">
        <f>IF(SUM(C11)=0,"NA",G11/C11)</f>
        <v>15.889999999999999</v>
      </c>
      <c r="G11" s="3072">
        <v>1.1431266</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7.1940000000000004E-2</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20" sqref="H20"/>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25.299199526434087</v>
      </c>
      <c r="H10" s="395" t="s">
        <v>1157</v>
      </c>
      <c r="I10" s="396" t="s">
        <v>1158</v>
      </c>
      <c r="J10" s="397">
        <v>0.21</v>
      </c>
    </row>
    <row r="11" spans="2:10" ht="24" customHeight="1" x14ac:dyDescent="0.2">
      <c r="B11" s="2453" t="s">
        <v>1159</v>
      </c>
      <c r="C11" s="2454" t="s">
        <v>1160</v>
      </c>
      <c r="D11" s="3639">
        <v>849784.9880537797</v>
      </c>
      <c r="E11" s="3634">
        <f>IF(SUM(D11)=0,"NA",F11*1000/D11/(44/28))</f>
        <v>5.0273432654814798E-3</v>
      </c>
      <c r="F11" s="3390">
        <v>6.7133956006848168</v>
      </c>
      <c r="H11" s="395" t="s">
        <v>1161</v>
      </c>
      <c r="I11" s="396" t="s">
        <v>1162</v>
      </c>
      <c r="J11" s="397">
        <v>0.24</v>
      </c>
    </row>
    <row r="12" spans="2:10" ht="24" customHeight="1" x14ac:dyDescent="0.2">
      <c r="B12" s="2453" t="s">
        <v>1163</v>
      </c>
      <c r="C12" s="2455" t="s">
        <v>1164</v>
      </c>
      <c r="D12" s="3640">
        <f>IF(SUM(D13:D15)=0,"NO",SUM(D13:D15))</f>
        <v>97742.649083256387</v>
      </c>
      <c r="E12" s="3635">
        <f t="shared" ref="E12:E23" si="0">IF(SUM(D12)=0,"NA",F12*1000/D12/(44/28))</f>
        <v>8.44042478483213E-3</v>
      </c>
      <c r="F12" s="3391">
        <f>IF(SUM(F13:F15)=0,"NO",SUM(F13:F15))</f>
        <v>1.296412036633162</v>
      </c>
      <c r="H12" s="4233" t="s">
        <v>1165</v>
      </c>
      <c r="I12" s="4234"/>
      <c r="J12" s="4235"/>
    </row>
    <row r="13" spans="2:10" ht="24" customHeight="1" thickBot="1" x14ac:dyDescent="0.25">
      <c r="B13" s="2453" t="s">
        <v>1166</v>
      </c>
      <c r="C13" s="2454" t="s">
        <v>1167</v>
      </c>
      <c r="D13" s="3641">
        <v>87923.176009924748</v>
      </c>
      <c r="E13" s="3634">
        <f t="shared" si="0"/>
        <v>8.3779300706145234E-3</v>
      </c>
      <c r="F13" s="3390">
        <v>1.1575366317389002</v>
      </c>
      <c r="H13" s="4236"/>
      <c r="I13" s="4237"/>
      <c r="J13" s="4238"/>
    </row>
    <row r="14" spans="2:10" ht="24" customHeight="1" x14ac:dyDescent="0.2">
      <c r="B14" s="2453" t="s">
        <v>1168</v>
      </c>
      <c r="C14" s="2454" t="s">
        <v>1169</v>
      </c>
      <c r="D14" s="3641">
        <v>9819.4730733316374</v>
      </c>
      <c r="E14" s="3634">
        <f t="shared" si="0"/>
        <v>9.0000000000000011E-3</v>
      </c>
      <c r="F14" s="3390">
        <v>0.13887540489426176</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1679055.1102519834</v>
      </c>
      <c r="E16" s="3634">
        <f t="shared" si="0"/>
        <v>4.0000000000000001E-3</v>
      </c>
      <c r="F16" s="3390">
        <v>10.554060693012467</v>
      </c>
    </row>
    <row r="17" spans="2:11" ht="24" customHeight="1" x14ac:dyDescent="0.2">
      <c r="B17" s="2453" t="s">
        <v>1176</v>
      </c>
      <c r="C17" s="2454" t="s">
        <v>1177</v>
      </c>
      <c r="D17" s="3641">
        <v>750162.78091812611</v>
      </c>
      <c r="E17" s="3634">
        <f t="shared" si="0"/>
        <v>5.0299999999999989E-3</v>
      </c>
      <c r="F17" s="3390">
        <v>5.9295009525999864</v>
      </c>
    </row>
    <row r="18" spans="2:11" ht="24" customHeight="1" x14ac:dyDescent="0.2">
      <c r="B18" s="2453" t="s">
        <v>1178</v>
      </c>
      <c r="C18" s="2454" t="s">
        <v>1179</v>
      </c>
      <c r="D18" s="3641">
        <v>111414.89367019062</v>
      </c>
      <c r="E18" s="3636">
        <f t="shared" si="0"/>
        <v>4.1000000000000003E-3</v>
      </c>
      <c r="F18" s="3392">
        <v>0.71783024350365676</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9.3273017410253107</v>
      </c>
    </row>
    <row r="22" spans="2:11" ht="24" customHeight="1" x14ac:dyDescent="0.2">
      <c r="B22" s="2457" t="s">
        <v>1184</v>
      </c>
      <c r="C22" s="2454" t="s">
        <v>1185</v>
      </c>
      <c r="D22" s="3641">
        <v>466603.8781463161</v>
      </c>
      <c r="E22" s="3634">
        <f t="shared" si="0"/>
        <v>3.1131833964203001E-3</v>
      </c>
      <c r="F22" s="3390">
        <v>2.2826939868078222</v>
      </c>
    </row>
    <row r="23" spans="2:11" ht="24" customHeight="1" thickBot="1" x14ac:dyDescent="0.25">
      <c r="B23" s="406" t="s">
        <v>1186</v>
      </c>
      <c r="C23" s="407" t="s">
        <v>1187</v>
      </c>
      <c r="D23" s="3643">
        <v>407539.29156630096</v>
      </c>
      <c r="E23" s="3638">
        <f t="shared" si="0"/>
        <v>1.1000000000000001E-2</v>
      </c>
      <c r="F23" s="3394">
        <v>7.0446077542174885</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21420178</v>
      </c>
      <c r="N9" s="4167">
        <v>7996506</v>
      </c>
      <c r="O9" s="4167">
        <v>375671</v>
      </c>
      <c r="P9" s="4168">
        <v>2691790</v>
      </c>
      <c r="Q9" s="4168">
        <v>1160028</v>
      </c>
      <c r="R9" s="4168">
        <v>381416</v>
      </c>
      <c r="S9" s="4168">
        <v>60868</v>
      </c>
      <c r="T9" s="4168">
        <v>362817</v>
      </c>
      <c r="U9" s="4168">
        <v>1722210.2580000001</v>
      </c>
      <c r="V9" s="4168">
        <v>32109169.190000001</v>
      </c>
      <c r="W9" s="4168">
        <v>19346.466</v>
      </c>
      <c r="X9" s="4169">
        <v>172418</v>
      </c>
    </row>
    <row r="10" spans="2:24" ht="18" customHeight="1" thickTop="1" x14ac:dyDescent="0.2">
      <c r="B10" s="430" t="s">
        <v>1226</v>
      </c>
      <c r="C10" s="374"/>
      <c r="D10" s="431"/>
      <c r="E10" s="431"/>
      <c r="F10" s="4137">
        <f>IF(SUM(F11:F14)=0,"NO",SUM(F11:F14))</f>
        <v>3360.0214915739671</v>
      </c>
      <c r="G10" s="4138">
        <f>IF(SUM($F10)=0,"NA",I10/$F10*1000)</f>
        <v>1.868889027539939</v>
      </c>
      <c r="H10" s="4139">
        <f>IF(SUM($F10)=0,"NA",J10/$F10*1000)</f>
        <v>7.56082966209118E-2</v>
      </c>
      <c r="I10" s="3161">
        <f>IF(SUM(I11:I14)=0,"NO",SUM(I11:I14))</f>
        <v>6.2795072979009667</v>
      </c>
      <c r="J10" s="416">
        <f>IF(SUM(J11:J14)=0,"NO",SUM(J11:J14))</f>
        <v>0.25404550158756301</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2183.0054232597977</v>
      </c>
      <c r="G11" s="4141">
        <f>IF(SUM($F11)=0,"NA",I11/$F11*1000)</f>
        <v>1.8666666666666665</v>
      </c>
      <c r="H11" s="4142">
        <f>IF(SUM($F11)=0,"NA",J11/$F11*1000)</f>
        <v>7.1657142857142864E-2</v>
      </c>
      <c r="I11" s="3291">
        <v>4.0749434567516216</v>
      </c>
      <c r="J11" s="3292">
        <v>0.15642793147244494</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700.59799195366804</v>
      </c>
      <c r="G12" s="4143">
        <f t="shared" ref="G12:G28" si="0">IF(SUM($F12)=0,"NA",I12/$F12*1000)</f>
        <v>1.8666666666666671</v>
      </c>
      <c r="H12" s="4142">
        <f t="shared" ref="H12:H28" si="1">IF(SUM($F12)=0,"NA",J12/$F12*1000)</f>
        <v>8.3600000000000022E-2</v>
      </c>
      <c r="I12" s="3149">
        <v>1.3077829183135139</v>
      </c>
      <c r="J12" s="3292">
        <v>5.8569992127326664E-2</v>
      </c>
      <c r="L12" s="1323" t="s">
        <v>1231</v>
      </c>
      <c r="M12" s="4165">
        <v>0.16084833532098686</v>
      </c>
      <c r="N12" s="4165">
        <v>0.16727191390606566</v>
      </c>
      <c r="O12" s="4165">
        <v>0.12120839841588381</v>
      </c>
      <c r="P12" s="4166">
        <v>0.12615940921528832</v>
      </c>
      <c r="Q12" s="4166">
        <v>0.16410185555604323</v>
      </c>
      <c r="R12" s="4166">
        <v>0.16371350532304274</v>
      </c>
      <c r="S12" s="4166">
        <v>0.81499999999999995</v>
      </c>
      <c r="T12" s="4166">
        <v>0.20930906833941365</v>
      </c>
      <c r="U12" s="4166">
        <v>0.14994063989507972</v>
      </c>
      <c r="V12" s="4166">
        <v>0.29127684499176548</v>
      </c>
      <c r="W12" s="4166">
        <v>6.3343744438638744E-2</v>
      </c>
      <c r="X12" s="4140">
        <v>0.13889189379573333</v>
      </c>
    </row>
    <row r="13" spans="2:24" ht="18" customHeight="1" thickBot="1" x14ac:dyDescent="0.25">
      <c r="B13" s="432" t="s">
        <v>1232</v>
      </c>
      <c r="C13" s="433" t="s">
        <v>205</v>
      </c>
      <c r="D13" s="433" t="s">
        <v>205</v>
      </c>
      <c r="E13" s="433" t="s">
        <v>205</v>
      </c>
      <c r="F13" s="4140">
        <v>30.096470060285334</v>
      </c>
      <c r="G13" s="4143">
        <f t="shared" si="0"/>
        <v>1.96</v>
      </c>
      <c r="H13" s="4142">
        <f t="shared" si="1"/>
        <v>5.971428571428572E-2</v>
      </c>
      <c r="I13" s="3149">
        <v>5.8989081318159255E-2</v>
      </c>
      <c r="J13" s="3292">
        <v>1.7971892121713244E-3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446.3216063002161</v>
      </c>
      <c r="G14" s="4145">
        <f t="shared" si="0"/>
        <v>1.8771034825370652</v>
      </c>
      <c r="H14" s="4146">
        <f t="shared" si="1"/>
        <v>8.3460868238952768E-2</v>
      </c>
      <c r="I14" s="3168">
        <f>IF(SUM(I15:I19)=0,"NO",SUM(I15:I19))</f>
        <v>0.83779184151767261</v>
      </c>
      <c r="J14" s="3064">
        <f>IF(SUM(J15:J19)=0,"NO",SUM(J15:J19))</f>
        <v>3.7250388775620091E-2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195.60651041181364</v>
      </c>
      <c r="G15" s="4147">
        <f t="shared" si="0"/>
        <v>1.8666666666666667</v>
      </c>
      <c r="H15" s="4148">
        <f t="shared" si="1"/>
        <v>9.5542857142857138E-2</v>
      </c>
      <c r="I15" s="3293">
        <v>0.3651321527687188</v>
      </c>
      <c r="J15" s="3292">
        <v>1.868880488048871E-2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114.18109873069841</v>
      </c>
      <c r="G16" s="4149">
        <f t="shared" si="0"/>
        <v>1.8666666666666665</v>
      </c>
      <c r="H16" s="4150">
        <f t="shared" si="1"/>
        <v>7.1657142857142864E-2</v>
      </c>
      <c r="I16" s="3294">
        <v>0.21313805096397034</v>
      </c>
      <c r="J16" s="3292">
        <v>8.1818913033311885E-3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38.508817250360693</v>
      </c>
      <c r="G17" s="4149">
        <f t="shared" si="0"/>
        <v>1.8666666666666663</v>
      </c>
      <c r="H17" s="4150">
        <f t="shared" si="1"/>
        <v>7.1657142857142864E-2</v>
      </c>
      <c r="I17" s="3294">
        <v>7.1883125534006609E-2</v>
      </c>
      <c r="J17" s="3292">
        <v>2.7594318189687033E-3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49.909033113600003</v>
      </c>
      <c r="G18" s="4149">
        <f t="shared" si="0"/>
        <v>1.9599999999999995</v>
      </c>
      <c r="H18" s="4150">
        <f t="shared" si="1"/>
        <v>8.3599999999999994E-2</v>
      </c>
      <c r="I18" s="3294">
        <v>9.7821704902655987E-2</v>
      </c>
      <c r="J18" s="3292">
        <v>4.1723951682969603E-3</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48.116146793743383</v>
      </c>
      <c r="G19" s="4149">
        <f t="shared" si="0"/>
        <v>1.8666666666666667</v>
      </c>
      <c r="H19" s="4150">
        <f t="shared" si="1"/>
        <v>7.1657142857142864E-2</v>
      </c>
      <c r="I19" s="3294">
        <v>8.9816807348320982E-2</v>
      </c>
      <c r="J19" s="3292">
        <v>3.4478656045345258E-3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147.73608592622858</v>
      </c>
      <c r="G20" s="4153">
        <f t="shared" si="0"/>
        <v>1.8666666666666669</v>
      </c>
      <c r="H20" s="4154">
        <f t="shared" si="1"/>
        <v>0.10748571428571427</v>
      </c>
      <c r="I20" s="3187">
        <f>I21</f>
        <v>0.27577402706229337</v>
      </c>
      <c r="J20" s="442">
        <f>J21</f>
        <v>1.5879518721556338E-2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147.73608592622858</v>
      </c>
      <c r="G21" s="4156">
        <f t="shared" si="0"/>
        <v>1.8666666666666669</v>
      </c>
      <c r="H21" s="4146">
        <f t="shared" si="1"/>
        <v>0.10748571428571427</v>
      </c>
      <c r="I21" s="3168">
        <f>I22</f>
        <v>0.27577402706229337</v>
      </c>
      <c r="J21" s="3064">
        <f>J22</f>
        <v>1.5879518721556338E-2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147.73608592622858</v>
      </c>
      <c r="G22" s="4158">
        <f t="shared" si="0"/>
        <v>1.8666666666666669</v>
      </c>
      <c r="H22" s="4159">
        <f t="shared" si="1"/>
        <v>0.10748571428571427</v>
      </c>
      <c r="I22" s="3295">
        <v>0.27577402706229337</v>
      </c>
      <c r="J22" s="3296">
        <v>1.5879518721556338E-2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448.92755985456006</v>
      </c>
      <c r="G26" s="4163">
        <f t="shared" si="0"/>
        <v>1.8666666666666665</v>
      </c>
      <c r="H26" s="4164">
        <f t="shared" si="1"/>
        <v>5.971428571428572E-2</v>
      </c>
      <c r="I26" s="3297">
        <v>0.83799811172851202</v>
      </c>
      <c r="J26" s="3298">
        <v>2.6807388574172301E-2</v>
      </c>
      <c r="L26" s="159"/>
    </row>
    <row r="27" spans="2:24" ht="18" customHeight="1" x14ac:dyDescent="0.2">
      <c r="B27" s="439" t="s">
        <v>1242</v>
      </c>
      <c r="C27" s="440"/>
      <c r="D27" s="441"/>
      <c r="E27" s="441"/>
      <c r="F27" s="4152">
        <f>IF(SUM(F28:F29)=0,"NO",SUM(F28:F29))</f>
        <v>254.1894069343665</v>
      </c>
      <c r="G27" s="4153">
        <f t="shared" si="0"/>
        <v>1.8668515508279717</v>
      </c>
      <c r="H27" s="4154">
        <f t="shared" si="1"/>
        <v>0.10765131767019795</v>
      </c>
      <c r="I27" s="3187">
        <f>IF(SUM(I28:I29)=0,"NO",SUM(I28:I29))</f>
        <v>0.47453388853946449</v>
      </c>
      <c r="J27" s="442">
        <f>IF(SUM(J28:J29)=0,"NO",SUM(J28:J29))</f>
        <v>2.7363824594290705E-2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0.50352423550519698</v>
      </c>
      <c r="G28" s="4149">
        <f t="shared" si="0"/>
        <v>1.96</v>
      </c>
      <c r="H28" s="4150">
        <f t="shared" si="1"/>
        <v>0.19108571428571433</v>
      </c>
      <c r="I28" s="3294">
        <v>9.8690750159018603E-4</v>
      </c>
      <c r="J28" s="3292">
        <v>9.6216288201678805E-5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253.68588269886129</v>
      </c>
      <c r="G29" s="4149">
        <f t="shared" ref="G29" si="2">IF(SUM($F29)=0,"NA",I29/$F29*1000)</f>
        <v>1.8666666666666663</v>
      </c>
      <c r="H29" s="4150">
        <f t="shared" ref="H29" si="3">IF(SUM($F29)=0,"NA",J29/$F29*1000)</f>
        <v>0.10748571428571427</v>
      </c>
      <c r="I29" s="3294">
        <v>0.47354698103787429</v>
      </c>
      <c r="J29" s="3292">
        <v>2.7267608306089028E-2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1159.4904844523769</v>
      </c>
    </row>
    <row r="11" spans="2:5" s="83" customFormat="1" ht="18" customHeight="1" x14ac:dyDescent="0.2">
      <c r="B11" s="1858" t="s">
        <v>1361</v>
      </c>
      <c r="C11" s="4175">
        <v>2696157.6913501741</v>
      </c>
      <c r="D11" s="3534">
        <f>IF(SUM(C11)=0,"NA",E11*1000/(44/12)/C11)</f>
        <v>0.10799999999999998</v>
      </c>
      <c r="E11" s="3395">
        <v>1067.6784457746689</v>
      </c>
    </row>
    <row r="12" spans="2:5" s="83" customFormat="1" ht="18" customHeight="1" x14ac:dyDescent="0.2">
      <c r="B12" s="1858" t="s">
        <v>1362</v>
      </c>
      <c r="C12" s="4175">
        <v>202750.17742592841</v>
      </c>
      <c r="D12" s="3534">
        <f t="shared" ref="D12:D16" si="0">IF(SUM(C12)=0,"NA",E12*1000/(44/12)/C12)</f>
        <v>0.12349999999999997</v>
      </c>
      <c r="E12" s="3395">
        <v>91.812038677707903</v>
      </c>
    </row>
    <row r="13" spans="2:5" s="83" customFormat="1" ht="18" customHeight="1" x14ac:dyDescent="0.2">
      <c r="B13" s="853" t="s">
        <v>1363</v>
      </c>
      <c r="C13" s="4176">
        <v>1068672.6110854317</v>
      </c>
      <c r="D13" s="4177">
        <f t="shared" si="0"/>
        <v>0.20000000000000007</v>
      </c>
      <c r="E13" s="3396">
        <v>783.69324812931677</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31539.95486670305</v>
      </c>
      <c r="D10" s="4269">
        <f t="shared" ref="D10:H10" si="0">IF(SUM(D11,D14,D17,D20,D23,D26,D29:D30)=0,"NO",SUM(D11,D14,D17,D20,D23,D26,D29:D30))</f>
        <v>750.35287151980731</v>
      </c>
      <c r="E10" s="4269">
        <f t="shared" si="0"/>
        <v>17.694926063970804</v>
      </c>
      <c r="F10" s="4269">
        <f t="shared" si="0"/>
        <v>969.66251049091284</v>
      </c>
      <c r="G10" s="4269">
        <f t="shared" si="0"/>
        <v>25379.598369907329</v>
      </c>
      <c r="H10" s="4270">
        <f t="shared" si="0"/>
        <v>667.84322110265725</v>
      </c>
      <c r="I10" s="4271">
        <f>IF(SUM(C10:E10)=0,"NO",SUM(C10)+28*SUM(D10)+265*SUM(E10))</f>
        <v>57238.99067620992</v>
      </c>
      <c r="J10" s="4259"/>
    </row>
    <row r="11" spans="2:10" ht="18" customHeight="1" x14ac:dyDescent="0.2">
      <c r="B11" s="464" t="s">
        <v>1252</v>
      </c>
      <c r="C11" s="4272">
        <f>IF(SUM(C12:C13)=0,"NO",SUM(C12:C13))</f>
        <v>-22199.76670946696</v>
      </c>
      <c r="D11" s="4272">
        <f t="shared" ref="D11:H11" si="1">IF(SUM(D12:D13)=0,"NO",SUM(D12:D13))</f>
        <v>319.57178063650588</v>
      </c>
      <c r="E11" s="4272">
        <f t="shared" si="1"/>
        <v>6.5679889582306252</v>
      </c>
      <c r="F11" s="4272">
        <f t="shared" si="1"/>
        <v>321.3089752179207</v>
      </c>
      <c r="G11" s="4272">
        <f t="shared" si="1"/>
        <v>8694.5518463205062</v>
      </c>
      <c r="H11" s="4273">
        <f t="shared" si="1"/>
        <v>312.53622517424782</v>
      </c>
      <c r="I11" s="4274">
        <f t="shared" ref="I11:I32" si="2">IF(SUM(C11:E11)=0,"NO",SUM(C11)+28*SUM(D11)+265*SUM(E11))</f>
        <v>-11511.239777713679</v>
      </c>
    </row>
    <row r="12" spans="2:10" ht="18" customHeight="1" x14ac:dyDescent="0.2">
      <c r="B12" s="465" t="s">
        <v>1253</v>
      </c>
      <c r="C12" s="4275">
        <f>IF(SUM(Table4.A!U11,'Table4(IV)'!J12)=0,"NO",SUM(Table4.A!U11,'Table4(IV)'!J12))</f>
        <v>2212.3653270443265</v>
      </c>
      <c r="D12" s="4275">
        <f>'Table4(IV)'!K12</f>
        <v>317.14267302198107</v>
      </c>
      <c r="E12" s="4275">
        <f>IF(SUM('Table4(III)'!I12,'Table4(IV)'!L12)=0,"NO",SUM('Table4(III)'!I12,'Table4(IV)'!L12))</f>
        <v>5.8923858629847565</v>
      </c>
      <c r="F12" s="4276">
        <v>319.73579620096012</v>
      </c>
      <c r="G12" s="4276">
        <v>8635.6214764209926</v>
      </c>
      <c r="H12" s="4277">
        <v>305.92234292269274</v>
      </c>
      <c r="I12" s="4278">
        <f t="shared" si="2"/>
        <v>12653.842425350758</v>
      </c>
    </row>
    <row r="13" spans="2:10" ht="18" customHeight="1" thickBot="1" x14ac:dyDescent="0.25">
      <c r="B13" s="466" t="s">
        <v>1254</v>
      </c>
      <c r="C13" s="4279">
        <f>IF(SUM(Table4.A!U16,'Table4(IV)'!J19)=0,"NO",SUM(Table4.A!U16,'Table4(IV)'!J19))</f>
        <v>-24412.132036511288</v>
      </c>
      <c r="D13" s="4279">
        <f>'Table4(IV)'!K19</f>
        <v>2.4291076145248365</v>
      </c>
      <c r="E13" s="4279">
        <f>IF(SUM('Table4(III)'!I13,'Table4(IV)'!L19)=0,"NO",SUM('Table4(III)'!I13,'Table4(IV)'!L19))</f>
        <v>0.67560309524586881</v>
      </c>
      <c r="F13" s="4280">
        <v>1.5731790169605522</v>
      </c>
      <c r="G13" s="4280">
        <v>58.930369899514389</v>
      </c>
      <c r="H13" s="4281">
        <v>6.6138822515550819</v>
      </c>
      <c r="I13" s="4282">
        <f t="shared" si="2"/>
        <v>-24165.082203064438</v>
      </c>
    </row>
    <row r="14" spans="2:10" ht="18" customHeight="1" x14ac:dyDescent="0.2">
      <c r="B14" s="464" t="s">
        <v>1255</v>
      </c>
      <c r="C14" s="4272">
        <f>IF(SUM(C15:C16)=0,"NO",SUM(C15:C16))</f>
        <v>6392.9286160119609</v>
      </c>
      <c r="D14" s="4272">
        <f t="shared" ref="D14" si="3">IF(SUM(D15:D16)=0,"NO",SUM(D15:D16))</f>
        <v>2.0187253970823456</v>
      </c>
      <c r="E14" s="4272">
        <f t="shared" ref="E14" si="4">IF(SUM(E15:E16)=0,"NO",SUM(E15:E16))</f>
        <v>0.13435901649287132</v>
      </c>
      <c r="F14" s="4272">
        <f t="shared" ref="F14" si="5">IF(SUM(F15:F16)=0,"NO",SUM(F15:F16))</f>
        <v>1.5200521591125995</v>
      </c>
      <c r="G14" s="4272">
        <f t="shared" ref="G14" si="6">IF(SUM(G15:G16)=0,"NO",SUM(G15:G16))</f>
        <v>59.533707312104362</v>
      </c>
      <c r="H14" s="4273">
        <f t="shared" ref="H14" si="7">IF(SUM(H15:H16)=0,"NO",SUM(H15:H16))</f>
        <v>7.1963822025620638</v>
      </c>
      <c r="I14" s="4283">
        <f t="shared" si="2"/>
        <v>6485.0580665008774</v>
      </c>
    </row>
    <row r="15" spans="2:10" ht="18" customHeight="1" x14ac:dyDescent="0.2">
      <c r="B15" s="465" t="s">
        <v>1256</v>
      </c>
      <c r="C15" s="4275">
        <f>IF(SUM(Table4.B!S11,'Table4(IV)'!J26)=0,"NO",SUM(Table4.B!S11,'Table4(IV)'!J26))</f>
        <v>3917.9786896556366</v>
      </c>
      <c r="D15" s="4275" t="str">
        <f>'Table4(IV)'!K26</f>
        <v>IE</v>
      </c>
      <c r="E15" s="4275" t="str">
        <f>'Table4(IV)'!L26</f>
        <v>IE</v>
      </c>
      <c r="F15" s="4276" t="s">
        <v>274</v>
      </c>
      <c r="G15" s="4276" t="s">
        <v>274</v>
      </c>
      <c r="H15" s="4277" t="s">
        <v>274</v>
      </c>
      <c r="I15" s="4278">
        <f t="shared" si="2"/>
        <v>3917.9786896556366</v>
      </c>
    </row>
    <row r="16" spans="2:10" ht="18" customHeight="1" thickBot="1" x14ac:dyDescent="0.25">
      <c r="B16" s="466" t="s">
        <v>1257</v>
      </c>
      <c r="C16" s="4279">
        <f>IF(SUM(Table4.B!S13,'Table4(IV)'!J31)=0,"IE",SUM(Table4.B!S13,'Table4(IV)'!J31))</f>
        <v>2474.9499263563248</v>
      </c>
      <c r="D16" s="4279">
        <f>'Table4(IV)'!K31</f>
        <v>2.0187253970823456</v>
      </c>
      <c r="E16" s="4279">
        <f>IF(SUM('Table4(III)'!I21,'Table4(IV)'!L31)=0,"IE",SUM('Table4(III)'!I21,'Table4(IV)'!L31))</f>
        <v>0.13435901649287132</v>
      </c>
      <c r="F16" s="4280">
        <v>1.5200521591125995</v>
      </c>
      <c r="G16" s="4280">
        <v>59.533707312104362</v>
      </c>
      <c r="H16" s="4281">
        <v>7.1963822025620638</v>
      </c>
      <c r="I16" s="4282">
        <f t="shared" si="2"/>
        <v>2567.0793768452413</v>
      </c>
    </row>
    <row r="17" spans="2:9" ht="18" customHeight="1" x14ac:dyDescent="0.2">
      <c r="B17" s="464" t="s">
        <v>1258</v>
      </c>
      <c r="C17" s="4272">
        <f>IF(SUM(C18:C19)=0,"NO",SUM(C18:C19))</f>
        <v>46286.304300373326</v>
      </c>
      <c r="D17" s="4272">
        <f t="shared" ref="D17" si="8">IF(SUM(D18:D19)=0,"NO",SUM(D18:D19))</f>
        <v>343.6215453696571</v>
      </c>
      <c r="E17" s="4272">
        <f t="shared" ref="E17" si="9">IF(SUM(E18:E19)=0,"NO",SUM(E18:E19))</f>
        <v>10.340070107449293</v>
      </c>
      <c r="F17" s="4272">
        <f t="shared" ref="F17" si="10">IF(SUM(F18:F19)=0,"NO",SUM(F18:F19))</f>
        <v>611.6732702937411</v>
      </c>
      <c r="G17" s="4272">
        <f t="shared" ref="G17" si="11">IF(SUM(G18:G19)=0,"NO",SUM(G18:G19))</f>
        <v>15747.884533325956</v>
      </c>
      <c r="H17" s="4273">
        <f t="shared" ref="H17" si="12">IF(SUM(H18:H19)=0,"NO",SUM(H18:H19))</f>
        <v>336.84194422055219</v>
      </c>
      <c r="I17" s="4283">
        <f t="shared" si="2"/>
        <v>58647.82614919779</v>
      </c>
    </row>
    <row r="18" spans="2:9" ht="18" customHeight="1" x14ac:dyDescent="0.2">
      <c r="B18" s="465" t="s">
        <v>1259</v>
      </c>
      <c r="C18" s="4275">
        <f>IF(SUM(Table4.C!S11,'Table4(IV)'!J37)=0,"IE",SUM(Table4.C!S11,'Table4(IV)'!J37))</f>
        <v>1970.6077345709195</v>
      </c>
      <c r="D18" s="4275">
        <f>'Table4(IV)'!K37</f>
        <v>277.948929601521</v>
      </c>
      <c r="E18" s="4275">
        <f>IF(SUM('Table4(III)'!I29,'Table4(IV)'!L37)=0,"NO",SUM('Table4(III)'!I29,'Table4(IV)'!L37))</f>
        <v>8.8122403396834521</v>
      </c>
      <c r="F18" s="4276">
        <v>561.09335568027132</v>
      </c>
      <c r="G18" s="4276">
        <v>13797.590903885264</v>
      </c>
      <c r="H18" s="4277">
        <v>106.92004122553786</v>
      </c>
      <c r="I18" s="4278">
        <f t="shared" si="2"/>
        <v>12088.421453429622</v>
      </c>
    </row>
    <row r="19" spans="2:9" ht="18" customHeight="1" thickBot="1" x14ac:dyDescent="0.25">
      <c r="B19" s="466" t="s">
        <v>1260</v>
      </c>
      <c r="C19" s="4279">
        <f>IF(SUM(Table4.C!S15,'Table4(IV)'!J42)=0,"IE",SUM(Table4.C!S15,'Table4(IV)'!J42))</f>
        <v>44315.696565802406</v>
      </c>
      <c r="D19" s="4279">
        <f>'Table4(IV)'!K42</f>
        <v>65.672615768136112</v>
      </c>
      <c r="E19" s="4279">
        <f>IF(SUM('Table4(III)'!I30,'Table4(IV)'!L42)=0,"NO",SUM('Table4(III)'!I30,'Table4(IV)'!L42))</f>
        <v>1.5278297677658399</v>
      </c>
      <c r="F19" s="4280">
        <v>50.579914613469839</v>
      </c>
      <c r="G19" s="4280">
        <v>1950.2936294406911</v>
      </c>
      <c r="H19" s="4281">
        <v>229.92190299501434</v>
      </c>
      <c r="I19" s="4282">
        <f t="shared" si="2"/>
        <v>46559.404695768164</v>
      </c>
    </row>
    <row r="20" spans="2:9" ht="18" customHeight="1" x14ac:dyDescent="0.2">
      <c r="B20" s="464" t="s">
        <v>1261</v>
      </c>
      <c r="C20" s="4272">
        <f>IF(SUM(C21:C22)=0,"NO",SUM(C21:C22))</f>
        <v>1407.7458687701276</v>
      </c>
      <c r="D20" s="4272">
        <f t="shared" ref="D20" si="13">IF(SUM(D21:D22)=0,"NO",SUM(D21:D22))</f>
        <v>82.121685317831677</v>
      </c>
      <c r="E20" s="4272">
        <f t="shared" ref="E20" si="14">IF(SUM(E21:E22)=0,"NO",SUM(E21:E22))</f>
        <v>0.45130269076836094</v>
      </c>
      <c r="F20" s="4272">
        <f t="shared" ref="F20" si="15">IF(SUM(F21:F22)=0,"NO",SUM(F21:F22))</f>
        <v>32.886876200856527</v>
      </c>
      <c r="G20" s="4272">
        <f t="shared" ref="G20" si="16">IF(SUM(G21:G22)=0,"NO",SUM(G21:G22))</f>
        <v>788.59176133806181</v>
      </c>
      <c r="H20" s="4273">
        <f t="shared" ref="H20" si="17">IF(SUM(H21:H22)=0,"NO",SUM(H21:H22))</f>
        <v>0.50601304685858972</v>
      </c>
      <c r="I20" s="4283">
        <f t="shared" si="2"/>
        <v>3826.7482707230306</v>
      </c>
    </row>
    <row r="21" spans="2:9" ht="18" customHeight="1" x14ac:dyDescent="0.2">
      <c r="B21" s="465" t="s">
        <v>1262</v>
      </c>
      <c r="C21" s="4275">
        <f>IF(SUM(Table4.D!S11,'Table4(IV)'!J49)=0,"IE",SUM(Table4.D!S11,'Table4(IV)'!J49))</f>
        <v>1383.7862848468569</v>
      </c>
      <c r="D21" s="4275">
        <f>IF(SUM('Table4(IV)'!K49,'Table4(II)'!J270)=0,"NO",SUM('Table4(IV)'!K49,'Table4(II)'!J270))</f>
        <v>80.137376662623339</v>
      </c>
      <c r="E21" s="4275">
        <f>IF(SUM('Table4(II)'!I270,'Table4(III)'!I38,'Table4(IV)'!L49)=0,"NO",SUM('Table4(II)'!I270,'Table4(III)'!I38,'Table4(IV)'!L49))</f>
        <v>0.45130269076836094</v>
      </c>
      <c r="F21" s="4276">
        <v>32.886876200856527</v>
      </c>
      <c r="G21" s="4276">
        <v>788.59176133806181</v>
      </c>
      <c r="H21" s="4277">
        <v>0.50601304685858972</v>
      </c>
      <c r="I21" s="4278">
        <f t="shared" si="2"/>
        <v>3747.228044453926</v>
      </c>
    </row>
    <row r="22" spans="2:9" ht="18" customHeight="1" thickBot="1" x14ac:dyDescent="0.25">
      <c r="B22" s="466" t="s">
        <v>1263</v>
      </c>
      <c r="C22" s="4279">
        <f>IF(SUM(Table4.D!S23,'Table4(II)'!H320,'Table4(IV)'!J54)=0,"NO",SUM(Table4.D!S23,'Table4(II)'!H320,'Table4(IV)'!J54))</f>
        <v>23.959583923270589</v>
      </c>
      <c r="D22" s="4279">
        <f>IF(SUM('Table4(IV)'!K54,'Table4(II)'!J320)=0,"NO",SUM('Table4(IV)'!K54,'Table4(II)'!J320))</f>
        <v>1.9843086552083331</v>
      </c>
      <c r="E22" s="4279" t="str">
        <f>IF(SUM('Table4(II)'!I320,'Table4(III)'!I39,'Table4(IV)'!L54)=0,"NO",SUM('Table4(II)'!I320,'Table4(III)'!I39,'Table4(IV)'!L54))</f>
        <v>NO</v>
      </c>
      <c r="F22" s="4280" t="s">
        <v>274</v>
      </c>
      <c r="G22" s="4280" t="s">
        <v>274</v>
      </c>
      <c r="H22" s="4281" t="s">
        <v>274</v>
      </c>
      <c r="I22" s="4282">
        <f t="shared" si="2"/>
        <v>79.520226269103915</v>
      </c>
    </row>
    <row r="23" spans="2:9" ht="18" customHeight="1" x14ac:dyDescent="0.2">
      <c r="B23" s="464" t="s">
        <v>1264</v>
      </c>
      <c r="C23" s="4272">
        <f>IF(SUM(C24:C25)=0,"NO",SUM(C24:C25))</f>
        <v>4268.6248650799134</v>
      </c>
      <c r="D23" s="4272">
        <f t="shared" ref="D23" si="18">IF(SUM(D24:D25)=0,"NO",SUM(D24:D25))</f>
        <v>3.0191347987302648</v>
      </c>
      <c r="E23" s="4272">
        <f t="shared" ref="E23" si="19">IF(SUM(E24:E25)=0,"NO",SUM(E24:E25))</f>
        <v>7.961557231560136E-2</v>
      </c>
      <c r="F23" s="4272">
        <f>IF(SUM(F24:F25)=0,"NO",SUM(F24:F25))</f>
        <v>2.2733366192820155</v>
      </c>
      <c r="G23" s="4272">
        <f t="shared" ref="G23" si="20">IF(SUM(G24:G25)=0,"NO",SUM(G24:G25))</f>
        <v>89.036521610702749</v>
      </c>
      <c r="H23" s="4273">
        <f t="shared" ref="H23" si="21">IF(SUM(H24:H25)=0,"NO",SUM(H24:H25))</f>
        <v>10.762656458436593</v>
      </c>
      <c r="I23" s="4283">
        <f t="shared" si="2"/>
        <v>4374.2587661079951</v>
      </c>
    </row>
    <row r="24" spans="2:9" ht="18" customHeight="1" thickBot="1" x14ac:dyDescent="0.25">
      <c r="B24" s="465" t="s">
        <v>1265</v>
      </c>
      <c r="C24" s="4275">
        <f>IF(SUM(Table4.E!S11,'Table4(IV)'!J60)=0,"IE",SUM(Table4.E!S11,'Table4(IV)'!J60))</f>
        <v>26.14740945902868</v>
      </c>
      <c r="D24" s="4275" t="str">
        <f>'Table4(IV)'!K60</f>
        <v>IE</v>
      </c>
      <c r="E24" s="4275">
        <f>IF(SUM('Table4(III)'!I47,'Table4(IV)'!L60)=0,"IE",SUM('Table4(III)'!I47,'Table4(IV)'!L60))</f>
        <v>9.2206380654834903E-4</v>
      </c>
      <c r="F24" s="4280" t="s">
        <v>274</v>
      </c>
      <c r="G24" s="4280" t="s">
        <v>274</v>
      </c>
      <c r="H24" s="4281" t="s">
        <v>274</v>
      </c>
      <c r="I24" s="4278">
        <f t="shared" si="2"/>
        <v>26.391756367763993</v>
      </c>
    </row>
    <row r="25" spans="2:9" ht="18" customHeight="1" thickBot="1" x14ac:dyDescent="0.25">
      <c r="B25" s="466" t="s">
        <v>1266</v>
      </c>
      <c r="C25" s="4279">
        <f>IF(SUM(Table4.E!S13,'Table4(IV)'!J65)=0,"IE",SUM(Table4.E!S13,'Table4(IV)'!J65))</f>
        <v>4242.4774556208849</v>
      </c>
      <c r="D25" s="4279">
        <f>'Table4(IV)'!K65</f>
        <v>3.0191347987302648</v>
      </c>
      <c r="E25" s="4279">
        <f>IF(SUM('Table4(III)'!I48,'Table4(IV)'!L65)=0,"NO",SUM('Table4(III)'!I48,'Table4(IV)'!L65))</f>
        <v>7.8693508509053017E-2</v>
      </c>
      <c r="F25" s="4280">
        <v>2.2733366192820155</v>
      </c>
      <c r="G25" s="4280">
        <v>89.036521610702749</v>
      </c>
      <c r="H25" s="4281">
        <v>10.762656458436593</v>
      </c>
      <c r="I25" s="4282">
        <f t="shared" si="2"/>
        <v>4347.867009740231</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-4616.2887655963823</v>
      </c>
      <c r="D29" s="4288"/>
      <c r="E29" s="4288"/>
      <c r="F29" s="4288"/>
      <c r="G29" s="4288"/>
      <c r="H29" s="4289"/>
      <c r="I29" s="4290">
        <f t="shared" si="2"/>
        <v>-4616.2887655963823</v>
      </c>
    </row>
    <row r="30" spans="2:9" ht="18" customHeight="1" x14ac:dyDescent="0.2">
      <c r="B30" s="1167" t="s">
        <v>1271</v>
      </c>
      <c r="C30" s="4291">
        <f>IF(SUM(C31:C32)=0,"NO",SUM(C31:C32))</f>
        <v>0.40669153106816663</v>
      </c>
      <c r="D30" s="4291" t="str">
        <f t="shared" ref="D30" si="27">IF(SUM(D31:D32)=0,"NO",SUM(D31:D32))</f>
        <v>NO</v>
      </c>
      <c r="E30" s="4291">
        <f t="shared" ref="E30" si="28">IF(SUM(E31:E32)=0,"NO",SUM(E31:E32))</f>
        <v>0.12158971871405545</v>
      </c>
      <c r="F30" s="4291" t="str">
        <f t="shared" ref="F30" si="29">IF(SUM(F31:F32)=0,"NO",SUM(F31:F32))</f>
        <v>NO</v>
      </c>
      <c r="G30" s="4291" t="str">
        <f t="shared" ref="G30" si="30">IF(SUM(G31:G32)=0,"NO",SUM(G31:G32))</f>
        <v>NO</v>
      </c>
      <c r="H30" s="4292" t="str">
        <f t="shared" ref="H30" si="31">IF(SUM(H31:H32)=0,"NO",SUM(H31:H32))</f>
        <v>NO</v>
      </c>
      <c r="I30" s="4293">
        <f t="shared" si="2"/>
        <v>32.627966990292862</v>
      </c>
    </row>
    <row r="31" spans="2:9" ht="18" customHeight="1" x14ac:dyDescent="0.2">
      <c r="B31" s="2693" t="s">
        <v>1272</v>
      </c>
      <c r="C31" s="4294" t="s">
        <v>199</v>
      </c>
      <c r="D31" s="4294" t="s">
        <v>199</v>
      </c>
      <c r="E31" s="4294">
        <v>0.12158971871405545</v>
      </c>
      <c r="F31" s="4294" t="s">
        <v>199</v>
      </c>
      <c r="G31" s="4294" t="s">
        <v>199</v>
      </c>
      <c r="H31" s="4295" t="s">
        <v>199</v>
      </c>
      <c r="I31" s="4296">
        <f t="shared" si="2"/>
        <v>32.221275459224692</v>
      </c>
    </row>
    <row r="32" spans="2:9" ht="18" customHeight="1" thickBot="1" x14ac:dyDescent="0.25">
      <c r="B32" s="2692" t="s">
        <v>1273</v>
      </c>
      <c r="C32" s="4297">
        <v>0.40669153106816663</v>
      </c>
      <c r="D32" s="4297" t="s">
        <v>199</v>
      </c>
      <c r="E32" s="4297" t="s">
        <v>199</v>
      </c>
      <c r="F32" s="4298" t="s">
        <v>199</v>
      </c>
      <c r="G32" s="4298" t="s">
        <v>199</v>
      </c>
      <c r="H32" s="4298" t="s">
        <v>199</v>
      </c>
      <c r="I32" s="4282">
        <f t="shared" si="2"/>
        <v>0.40669153106816663</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-30161.688152406412</v>
      </c>
      <c r="D35" s="4297" t="s">
        <v>199</v>
      </c>
      <c r="E35" s="4297" t="s">
        <v>199</v>
      </c>
      <c r="F35" s="4297" t="s">
        <v>199</v>
      </c>
      <c r="G35" s="4297" t="s">
        <v>199</v>
      </c>
      <c r="H35" s="4297" t="s">
        <v>199</v>
      </c>
      <c r="I35" s="4302">
        <f t="shared" ref="I35" si="32">IF(SUM(C35:E35)=0,"NO",SUM(C35)+28*SUM(D35)+265*SUM(E35))</f>
        <v>-30161.688152406412</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383999.21672986215</v>
      </c>
      <c r="D10" s="4489">
        <f t="shared" ref="D10:I10" si="0">IF(SUM(D11,D37,D47)=0,"NO",SUM(D11,D37,D47))</f>
        <v>1434.1486231471808</v>
      </c>
      <c r="E10" s="4489">
        <f t="shared" si="0"/>
        <v>12.379652668129575</v>
      </c>
      <c r="F10" s="4489">
        <f t="shared" si="0"/>
        <v>2198.8216710677962</v>
      </c>
      <c r="G10" s="4489">
        <f t="shared" si="0"/>
        <v>2839.8881840769018</v>
      </c>
      <c r="H10" s="4489">
        <f t="shared" si="0"/>
        <v>703.05047611030432</v>
      </c>
      <c r="I10" s="4490">
        <f t="shared" si="0"/>
        <v>777.15388997591572</v>
      </c>
      <c r="J10" s="4427">
        <f t="shared" ref="J10:J40" si="1">IF(SUM(C10:E10)=0,"NO",SUM(C10,IFERROR(28*D10,0),IFERROR(265*E10,0)))</f>
        <v>427435.98613503756</v>
      </c>
    </row>
    <row r="11" spans="2:10" s="83" customFormat="1" ht="18" customHeight="1" thickBot="1" x14ac:dyDescent="0.25">
      <c r="B11" s="18" t="s">
        <v>174</v>
      </c>
      <c r="C11" s="3010">
        <f>IF(SUM(C12,C16,C24,C30,C34)=0,"NO",SUM(C12,C16,C24,C30,C34))</f>
        <v>376029.89863237902</v>
      </c>
      <c r="D11" s="3010">
        <f t="shared" ref="D11:I11" si="2">IF(SUM(D12,D16,D24,D30,D34)=0,"NO",SUM(D12,D16,D24,D30,D34))</f>
        <v>85.804505046706396</v>
      </c>
      <c r="E11" s="3010">
        <f t="shared" si="2"/>
        <v>12.282073749605305</v>
      </c>
      <c r="F11" s="3010">
        <f t="shared" si="2"/>
        <v>2197.1994209460213</v>
      </c>
      <c r="G11" s="3010">
        <f t="shared" si="2"/>
        <v>2830.4791333706071</v>
      </c>
      <c r="H11" s="3010">
        <f t="shared" si="2"/>
        <v>483.79325047510866</v>
      </c>
      <c r="I11" s="3011">
        <f t="shared" si="2"/>
        <v>777.15388997591572</v>
      </c>
      <c r="J11" s="3012">
        <f t="shared" si="1"/>
        <v>381687.17431733222</v>
      </c>
    </row>
    <row r="12" spans="2:10" s="83" customFormat="1" ht="18" customHeight="1" x14ac:dyDescent="0.2">
      <c r="B12" s="26" t="s">
        <v>175</v>
      </c>
      <c r="C12" s="3010">
        <f>IF(SUM(C13:C15)=0,"NO",SUM(C13:C15))</f>
        <v>230787.71621986476</v>
      </c>
      <c r="D12" s="3010">
        <f t="shared" ref="D12:I12" si="3">IF(SUM(D13:D15)=0,"NO",SUM(D13:D15))</f>
        <v>22.703087244854057</v>
      </c>
      <c r="E12" s="3010">
        <f t="shared" si="3"/>
        <v>3.9344495955182457</v>
      </c>
      <c r="F12" s="3010">
        <f t="shared" si="3"/>
        <v>965.31436134336809</v>
      </c>
      <c r="G12" s="3010">
        <f t="shared" si="3"/>
        <v>190.07742910163435</v>
      </c>
      <c r="H12" s="3010">
        <f>IF(SUM(H13:H15)=0,"NO",SUM(H13:H15))</f>
        <v>43.270424742277662</v>
      </c>
      <c r="I12" s="3011">
        <f t="shared" si="3"/>
        <v>651.57239677060602</v>
      </c>
      <c r="J12" s="3012">
        <f t="shared" si="1"/>
        <v>232466.03180553301</v>
      </c>
    </row>
    <row r="13" spans="2:10" s="83" customFormat="1" ht="18" customHeight="1" x14ac:dyDescent="0.2">
      <c r="B13" s="20" t="s">
        <v>176</v>
      </c>
      <c r="C13" s="3013">
        <f>'Table1.A(a)s1'!H24</f>
        <v>210253.99342354815</v>
      </c>
      <c r="D13" s="3013">
        <f>'Table1.A(a)s1'!I24</f>
        <v>15.701786207807046</v>
      </c>
      <c r="E13" s="3013">
        <f>'Table1.A(a)s1'!J24</f>
        <v>3.5168888254111561</v>
      </c>
      <c r="F13" s="3014">
        <v>667.62836144861569</v>
      </c>
      <c r="G13" s="3014">
        <v>106.99076314320639</v>
      </c>
      <c r="H13" s="3014">
        <v>10.27062397568673</v>
      </c>
      <c r="I13" s="3015">
        <v>631.39438046046507</v>
      </c>
      <c r="J13" s="3016">
        <f t="shared" si="1"/>
        <v>211625.61897610073</v>
      </c>
    </row>
    <row r="14" spans="2:10" s="83" customFormat="1" ht="18" customHeight="1" x14ac:dyDescent="0.2">
      <c r="B14" s="20" t="s">
        <v>177</v>
      </c>
      <c r="C14" s="3013">
        <f>'Table1.A(a)s1'!H53</f>
        <v>5191.8922962258312</v>
      </c>
      <c r="D14" s="3013">
        <f>'Table1.A(a)s1'!I53</f>
        <v>8.1899229502998161E-2</v>
      </c>
      <c r="E14" s="3013">
        <f>'Table1.A(a)s1'!J53</f>
        <v>1.6247878718440242E-2</v>
      </c>
      <c r="F14" s="3014">
        <v>32.901269704923251</v>
      </c>
      <c r="G14" s="3014">
        <v>4.1270817370927526</v>
      </c>
      <c r="H14" s="3014">
        <v>7.9730117130887623E-2</v>
      </c>
      <c r="I14" s="3015">
        <v>8.7447628192439399</v>
      </c>
      <c r="J14" s="3016">
        <f t="shared" si="1"/>
        <v>5198.4911625123013</v>
      </c>
    </row>
    <row r="15" spans="2:10" s="83" customFormat="1" ht="18" customHeight="1" thickBot="1" x14ac:dyDescent="0.25">
      <c r="B15" s="21" t="s">
        <v>178</v>
      </c>
      <c r="C15" s="3017">
        <f>'Table1.A(a)s1'!H60</f>
        <v>15341.830500090799</v>
      </c>
      <c r="D15" s="3017">
        <f>'Table1.A(a)s1'!I60</f>
        <v>6.9194018075440127</v>
      </c>
      <c r="E15" s="3017">
        <f>'Table1.A(a)s1'!J60</f>
        <v>0.40131289138864945</v>
      </c>
      <c r="F15" s="3018">
        <v>264.78473018982919</v>
      </c>
      <c r="G15" s="3018">
        <v>78.959584221335206</v>
      </c>
      <c r="H15" s="3018">
        <v>32.920070649460044</v>
      </c>
      <c r="I15" s="3019">
        <v>11.433253490896931</v>
      </c>
      <c r="J15" s="3020">
        <f t="shared" si="1"/>
        <v>15641.921666920023</v>
      </c>
    </row>
    <row r="16" spans="2:10" s="83" customFormat="1" ht="18" customHeight="1" x14ac:dyDescent="0.2">
      <c r="B16" s="25" t="s">
        <v>179</v>
      </c>
      <c r="C16" s="3010">
        <f>IF(SUM(C17:C23)=0,"NO",SUM(C17:C23))</f>
        <v>40172.086958314503</v>
      </c>
      <c r="D16" s="3010">
        <f t="shared" ref="D16:I16" si="4">IF(SUM(D17:D23)=0,"NO",SUM(D17:D23))</f>
        <v>1.9433927180238111</v>
      </c>
      <c r="E16" s="3010">
        <f t="shared" si="4"/>
        <v>1.09254204541986</v>
      </c>
      <c r="F16" s="3010">
        <f t="shared" si="4"/>
        <v>571.68468143535017</v>
      </c>
      <c r="G16" s="3010">
        <f t="shared" si="4"/>
        <v>176.54295137617439</v>
      </c>
      <c r="H16" s="3010">
        <f t="shared" si="4"/>
        <v>75.239114976277136</v>
      </c>
      <c r="I16" s="3011">
        <f t="shared" si="4"/>
        <v>90.665465774169817</v>
      </c>
      <c r="J16" s="3012">
        <f t="shared" si="1"/>
        <v>40516.025596455431</v>
      </c>
    </row>
    <row r="17" spans="2:10" s="83" customFormat="1" ht="18" customHeight="1" x14ac:dyDescent="0.2">
      <c r="B17" s="20" t="s">
        <v>180</v>
      </c>
      <c r="C17" s="3013">
        <f>'Table1.A(a)s2'!H17</f>
        <v>2005.4708286980169</v>
      </c>
      <c r="D17" s="3013">
        <f>'Table1.A(a)s2'!I17</f>
        <v>4.2297152717200553E-2</v>
      </c>
      <c r="E17" s="3013">
        <f>'Table1.A(a)s2'!J17</f>
        <v>2.3881137993757094E-2</v>
      </c>
      <c r="F17" s="3014">
        <v>20.613200549704487</v>
      </c>
      <c r="G17" s="3014">
        <v>3.4487762871745509</v>
      </c>
      <c r="H17" s="3014">
        <v>0.39892240809351914</v>
      </c>
      <c r="I17" s="3015">
        <v>7.473628028498573</v>
      </c>
      <c r="J17" s="3016">
        <f t="shared" si="1"/>
        <v>2012.9836505424441</v>
      </c>
    </row>
    <row r="18" spans="2:10" s="83" customFormat="1" ht="18" customHeight="1" x14ac:dyDescent="0.2">
      <c r="B18" s="20" t="s">
        <v>181</v>
      </c>
      <c r="C18" s="3013">
        <f>'Table1.A(a)s2'!H24</f>
        <v>13379.420453521227</v>
      </c>
      <c r="D18" s="3013">
        <f>'Table1.A(a)s2'!I24</f>
        <v>0.25511838545221605</v>
      </c>
      <c r="E18" s="3013">
        <f>'Table1.A(a)s2'!J24</f>
        <v>0.15360732574741109</v>
      </c>
      <c r="F18" s="3014">
        <v>97.8871466802008</v>
      </c>
      <c r="G18" s="3014">
        <v>17.054670786822108</v>
      </c>
      <c r="H18" s="3014">
        <v>3.0343382928775759</v>
      </c>
      <c r="I18" s="3015">
        <v>50.661211116285159</v>
      </c>
      <c r="J18" s="3016">
        <f t="shared" si="1"/>
        <v>13427.269709636952</v>
      </c>
    </row>
    <row r="19" spans="2:10" s="83" customFormat="1" ht="18" customHeight="1" x14ac:dyDescent="0.2">
      <c r="B19" s="20" t="s">
        <v>182</v>
      </c>
      <c r="C19" s="3013">
        <f>'Table1.A(a)s2'!H31</f>
        <v>6765.7724917991673</v>
      </c>
      <c r="D19" s="3013">
        <f>'Table1.A(a)s2'!I31</f>
        <v>0.24370673157552558</v>
      </c>
      <c r="E19" s="3013">
        <f>'Table1.A(a)s2'!J31</f>
        <v>8.1202751168407999E-2</v>
      </c>
      <c r="F19" s="3014">
        <v>49.18999662919672</v>
      </c>
      <c r="G19" s="3014">
        <v>18.030488820349873</v>
      </c>
      <c r="H19" s="3014">
        <v>11.866570326357401</v>
      </c>
      <c r="I19" s="3015">
        <v>4.2007265271174079</v>
      </c>
      <c r="J19" s="3016">
        <f t="shared" si="1"/>
        <v>6794.1150093429096</v>
      </c>
    </row>
    <row r="20" spans="2:10" s="83" customFormat="1" ht="18" customHeight="1" x14ac:dyDescent="0.2">
      <c r="B20" s="20" t="s">
        <v>183</v>
      </c>
      <c r="C20" s="3013">
        <f>'Table1.A(a)s2'!H38</f>
        <v>1323.431797843321</v>
      </c>
      <c r="D20" s="3013">
        <f>'Table1.A(a)s2'!I38</f>
        <v>0.2115268618284743</v>
      </c>
      <c r="E20" s="3013">
        <f>'Table1.A(a)s2'!J38</f>
        <v>0.13987905289017249</v>
      </c>
      <c r="F20" s="3014">
        <v>5.8054901970868187</v>
      </c>
      <c r="G20" s="3014">
        <v>5.103979831286912</v>
      </c>
      <c r="H20" s="3014">
        <v>0.16583667905123819</v>
      </c>
      <c r="I20" s="3015">
        <v>1.9514271112210693</v>
      </c>
      <c r="J20" s="3016">
        <f t="shared" si="1"/>
        <v>1366.4224989904139</v>
      </c>
    </row>
    <row r="21" spans="2:10" s="83" customFormat="1" ht="18" customHeight="1" x14ac:dyDescent="0.2">
      <c r="B21" s="20" t="s">
        <v>184</v>
      </c>
      <c r="C21" s="3013">
        <f>'Table1.A(a)s2'!H45</f>
        <v>3085.2563482307519</v>
      </c>
      <c r="D21" s="3013">
        <f>'Table1.A(a)s2'!I45</f>
        <v>0.51274512493844271</v>
      </c>
      <c r="E21" s="3013">
        <f>'Table1.A(a)s2'!J45</f>
        <v>0.33346826833305143</v>
      </c>
      <c r="F21" s="3014">
        <v>16.389808364603336</v>
      </c>
      <c r="G21" s="3014">
        <v>14.811533780375058</v>
      </c>
      <c r="H21" s="3014">
        <v>1.0913381443158754</v>
      </c>
      <c r="I21" s="3015">
        <v>5.7439062286357228</v>
      </c>
      <c r="J21" s="3016">
        <f t="shared" si="1"/>
        <v>3187.9823028372866</v>
      </c>
    </row>
    <row r="22" spans="2:10" s="83" customFormat="1" ht="18" customHeight="1" x14ac:dyDescent="0.2">
      <c r="B22" s="20" t="s">
        <v>185</v>
      </c>
      <c r="C22" s="3013">
        <f>'Table1.A(a)s2'!H52</f>
        <v>6149.549290756715</v>
      </c>
      <c r="D22" s="3013">
        <f>'Table1.A(a)s2'!I52</f>
        <v>0.30908418505810742</v>
      </c>
      <c r="E22" s="3013">
        <f>'Table1.A(a)s2'!J52</f>
        <v>5.7170486810388957E-2</v>
      </c>
      <c r="F22" s="3014">
        <v>93.120879576031157</v>
      </c>
      <c r="G22" s="3014">
        <v>25.550307782410552</v>
      </c>
      <c r="H22" s="3014">
        <v>15.669166207594946</v>
      </c>
      <c r="I22" s="3015">
        <v>10.968976112112831</v>
      </c>
      <c r="J22" s="3016">
        <f t="shared" si="1"/>
        <v>6173.3538269430956</v>
      </c>
    </row>
    <row r="23" spans="2:10" s="83" customFormat="1" ht="18" customHeight="1" thickBot="1" x14ac:dyDescent="0.25">
      <c r="B23" s="3039" t="s">
        <v>186</v>
      </c>
      <c r="C23" s="3013">
        <f>'Table1.A(a)s2'!H59</f>
        <v>7463.185747465307</v>
      </c>
      <c r="D23" s="3013">
        <f>'Table1.A(a)s2'!I59</f>
        <v>0.36891427645384445</v>
      </c>
      <c r="E23" s="3013">
        <f>'Table1.A(a)s2'!J59</f>
        <v>0.30333302247667093</v>
      </c>
      <c r="F23" s="3014">
        <v>288.67815943852685</v>
      </c>
      <c r="G23" s="3014">
        <v>92.543194087755339</v>
      </c>
      <c r="H23" s="3014">
        <v>43.012942917986578</v>
      </c>
      <c r="I23" s="3015">
        <v>9.6655906502990572</v>
      </c>
      <c r="J23" s="3016">
        <f t="shared" si="1"/>
        <v>7553.8985981623327</v>
      </c>
    </row>
    <row r="24" spans="2:10" s="83" customFormat="1" ht="18" customHeight="1" x14ac:dyDescent="0.2">
      <c r="B24" s="25" t="s">
        <v>187</v>
      </c>
      <c r="C24" s="3010">
        <f>IF(SUM(C25:C29)=0,"NO",SUM(C25:C29))</f>
        <v>84904.621577574857</v>
      </c>
      <c r="D24" s="3010">
        <f t="shared" ref="D24:I24" si="5">IF(SUM(D25:D29)=0,"NO",SUM(D25:D29))</f>
        <v>18.098797715783046</v>
      </c>
      <c r="E24" s="3010">
        <f t="shared" si="5"/>
        <v>6.5857366162518964</v>
      </c>
      <c r="F24" s="3010">
        <f t="shared" si="5"/>
        <v>311.56016129228021</v>
      </c>
      <c r="G24" s="3010">
        <f t="shared" si="5"/>
        <v>1749.6304521052361</v>
      </c>
      <c r="H24" s="3010">
        <f t="shared" si="5"/>
        <v>247.89419809711848</v>
      </c>
      <c r="I24" s="3011">
        <f t="shared" si="5"/>
        <v>27.306306046599197</v>
      </c>
      <c r="J24" s="3012">
        <f t="shared" si="1"/>
        <v>87156.60811692354</v>
      </c>
    </row>
    <row r="25" spans="2:10" s="83" customFormat="1" ht="18" customHeight="1" x14ac:dyDescent="0.2">
      <c r="B25" s="20" t="s">
        <v>188</v>
      </c>
      <c r="C25" s="1884">
        <f>'Table1.A(a)s3'!H16</f>
        <v>6694.6238838421123</v>
      </c>
      <c r="D25" s="1884">
        <f>'Table1.A(a)s3'!I16</f>
        <v>3.3452336787374692E-2</v>
      </c>
      <c r="E25" s="1884">
        <f>'Table1.A(a)s3'!J16</f>
        <v>5.2016985643273284E-2</v>
      </c>
      <c r="F25" s="3014">
        <v>22.608832955249351</v>
      </c>
      <c r="G25" s="3014">
        <v>15.049431866237436</v>
      </c>
      <c r="H25" s="3014">
        <v>1.4763982839685033</v>
      </c>
      <c r="I25" s="3015">
        <v>0.78970950316575517</v>
      </c>
      <c r="J25" s="3016">
        <f t="shared" si="1"/>
        <v>6709.3450504676266</v>
      </c>
    </row>
    <row r="26" spans="2:10" s="83" customFormat="1" ht="18" customHeight="1" x14ac:dyDescent="0.2">
      <c r="B26" s="20" t="s">
        <v>189</v>
      </c>
      <c r="C26" s="1884">
        <f>'Table1.A(a)s3'!H20</f>
        <v>73083.698488217226</v>
      </c>
      <c r="D26" s="1884">
        <f>'Table1.A(a)s3'!I20</f>
        <v>13.503369657247614</v>
      </c>
      <c r="E26" s="1884">
        <f>'Table1.A(a)s3'!J20</f>
        <v>5.4596072427829236</v>
      </c>
      <c r="F26" s="3014">
        <v>210.51456679002635</v>
      </c>
      <c r="G26" s="3014">
        <v>1493.1802061528313</v>
      </c>
      <c r="H26" s="3014">
        <v>204.95435739413932</v>
      </c>
      <c r="I26" s="3015">
        <v>14.662370253274197</v>
      </c>
      <c r="J26" s="3016">
        <f t="shared" si="1"/>
        <v>74908.588757957623</v>
      </c>
    </row>
    <row r="27" spans="2:10" s="83" customFormat="1" ht="18" customHeight="1" x14ac:dyDescent="0.2">
      <c r="B27" s="20" t="s">
        <v>190</v>
      </c>
      <c r="C27" s="1884">
        <f>'Table1.A(a)s3'!H81</f>
        <v>2405.1621789056003</v>
      </c>
      <c r="D27" s="1884">
        <f>'Table1.A(a)s3'!I81</f>
        <v>0.1376124</v>
      </c>
      <c r="E27" s="1884">
        <f>'Table1.A(a)s3'!J81</f>
        <v>1.0320929999999999</v>
      </c>
      <c r="F27" s="3014">
        <v>52.636743000000003</v>
      </c>
      <c r="G27" s="3014">
        <v>6.9494262000000004</v>
      </c>
      <c r="H27" s="3014">
        <v>2.4426200999999996</v>
      </c>
      <c r="I27" s="3015">
        <v>1.9682951618758429</v>
      </c>
      <c r="J27" s="3016">
        <f t="shared" si="1"/>
        <v>2682.5199711056002</v>
      </c>
    </row>
    <row r="28" spans="2:10" s="83" customFormat="1" ht="18" customHeight="1" x14ac:dyDescent="0.2">
      <c r="B28" s="20" t="s">
        <v>191</v>
      </c>
      <c r="C28" s="1884">
        <f>'Table1.A(a)s3'!H88</f>
        <v>2099.2310299289406</v>
      </c>
      <c r="D28" s="1884">
        <f>'Table1.A(a)s3'!I88</f>
        <v>4.3004844086974288</v>
      </c>
      <c r="E28" s="1884">
        <f>'Table1.A(a)s3'!J88</f>
        <v>4.0754246441846387E-2</v>
      </c>
      <c r="F28" s="3014">
        <v>23.42893496874343</v>
      </c>
      <c r="G28" s="3014">
        <v>229.20928166532465</v>
      </c>
      <c r="H28" s="3014">
        <v>38.262630176483604</v>
      </c>
      <c r="I28" s="3015">
        <v>9.8805736552745937</v>
      </c>
      <c r="J28" s="3016">
        <f t="shared" si="1"/>
        <v>2230.4444686795578</v>
      </c>
    </row>
    <row r="29" spans="2:10" s="83" customFormat="1" ht="18" customHeight="1" thickBot="1" x14ac:dyDescent="0.25">
      <c r="B29" s="22" t="s">
        <v>192</v>
      </c>
      <c r="C29" s="1888">
        <f>'Table1.A(a)s3'!H99</f>
        <v>621.90599668098764</v>
      </c>
      <c r="D29" s="1888">
        <f>'Table1.A(a)s3'!I99</f>
        <v>0.12387891305062908</v>
      </c>
      <c r="E29" s="1888">
        <f>'Table1.A(a)s3'!J99</f>
        <v>1.2651413838539109E-3</v>
      </c>
      <c r="F29" s="3021">
        <v>2.3710835782610831</v>
      </c>
      <c r="G29" s="3021">
        <v>5.2421062208427003</v>
      </c>
      <c r="H29" s="3021">
        <v>0.75819214252704092</v>
      </c>
      <c r="I29" s="3022">
        <v>5.3574730088080235E-3</v>
      </c>
      <c r="J29" s="3023">
        <f t="shared" si="1"/>
        <v>625.70986871312653</v>
      </c>
    </row>
    <row r="30" spans="2:10" ht="18" customHeight="1" x14ac:dyDescent="0.2">
      <c r="B30" s="26" t="s">
        <v>193</v>
      </c>
      <c r="C30" s="3010">
        <f>IF(SUM(C31:C33)=0,"NO",SUM(C31:C33))</f>
        <v>19338.074952012557</v>
      </c>
      <c r="D30" s="3010">
        <f t="shared" ref="D30" si="6">IF(SUM(D31:D33)=0,"NO",SUM(D31:D33))</f>
        <v>43.030722902667712</v>
      </c>
      <c r="E30" s="3010">
        <f t="shared" ref="E30" si="7">IF(SUM(E31:E33)=0,"NO",SUM(E31:E33))</f>
        <v>0.64613034760809573</v>
      </c>
      <c r="F30" s="3010">
        <f t="shared" ref="F30" si="8">IF(SUM(F31:F33)=0,"NO",SUM(F31:F33))</f>
        <v>342.28113220793455</v>
      </c>
      <c r="G30" s="3010">
        <f t="shared" ref="G30" si="9">IF(SUM(G31:G33)=0,"NO",SUM(G31:G33))</f>
        <v>710.12431005476526</v>
      </c>
      <c r="H30" s="3010">
        <f t="shared" ref="H30" si="10">IF(SUM(H31:H33)=0,"NO",SUM(H31:H33))</f>
        <v>116.90592625819532</v>
      </c>
      <c r="I30" s="3011">
        <f t="shared" ref="I30" si="11">IF(SUM(I31:I33)=0,"NO",SUM(I31:I33))</f>
        <v>7.3696349985678591</v>
      </c>
      <c r="J30" s="3024">
        <f t="shared" si="1"/>
        <v>20714.159735403398</v>
      </c>
    </row>
    <row r="31" spans="2:10" ht="18" customHeight="1" x14ac:dyDescent="0.2">
      <c r="B31" s="20" t="s">
        <v>194</v>
      </c>
      <c r="C31" s="3013">
        <f>'Table1.A(a)s4'!H17</f>
        <v>4841.3548908914563</v>
      </c>
      <c r="D31" s="3013">
        <f>'Table1.A(a)s4'!I17</f>
        <v>0.10703895079394607</v>
      </c>
      <c r="E31" s="3013">
        <f>'Table1.A(a)s4'!J17</f>
        <v>8.8171441288575986E-2</v>
      </c>
      <c r="F31" s="3014">
        <v>24.389199178918648</v>
      </c>
      <c r="G31" s="3014">
        <v>10.026639206625971</v>
      </c>
      <c r="H31" s="3014">
        <v>3.2171196566829061</v>
      </c>
      <c r="I31" s="3015">
        <v>2.2957149437154283</v>
      </c>
      <c r="J31" s="3016">
        <f t="shared" si="1"/>
        <v>4867.7174134551597</v>
      </c>
    </row>
    <row r="32" spans="2:10" ht="18" customHeight="1" x14ac:dyDescent="0.2">
      <c r="B32" s="20" t="s">
        <v>195</v>
      </c>
      <c r="C32" s="3013">
        <f>'Table1.A(a)s4'!H38</f>
        <v>8545.8740709203867</v>
      </c>
      <c r="D32" s="3013">
        <f>'Table1.A(a)s4'!I38</f>
        <v>42.404500108583719</v>
      </c>
      <c r="E32" s="3013">
        <f>'Table1.A(a)s4'!J38</f>
        <v>0.24885382493423833</v>
      </c>
      <c r="F32" s="3014">
        <v>11.891363003041819</v>
      </c>
      <c r="G32" s="3014">
        <v>574.14264117714356</v>
      </c>
      <c r="H32" s="3014">
        <v>67.019487768611981</v>
      </c>
      <c r="I32" s="3015">
        <v>0.52852304397523842</v>
      </c>
      <c r="J32" s="3016">
        <f t="shared" si="1"/>
        <v>9799.1463375683034</v>
      </c>
    </row>
    <row r="33" spans="2:10" ht="18" customHeight="1" thickBot="1" x14ac:dyDescent="0.25">
      <c r="B33" s="20" t="s">
        <v>196</v>
      </c>
      <c r="C33" s="3013">
        <f>'Table1.A(a)s4'!H59</f>
        <v>5950.8459902007135</v>
      </c>
      <c r="D33" s="3013">
        <f>'Table1.A(a)s4'!I59</f>
        <v>0.5191838432900433</v>
      </c>
      <c r="E33" s="3013">
        <f>'Table1.A(a)s4'!J59</f>
        <v>0.30910508138528142</v>
      </c>
      <c r="F33" s="3014">
        <v>306.00057002597407</v>
      </c>
      <c r="G33" s="3014">
        <v>125.95502967099567</v>
      </c>
      <c r="H33" s="3014">
        <v>46.66931883290043</v>
      </c>
      <c r="I33" s="3015">
        <v>4.5453970108771919</v>
      </c>
      <c r="J33" s="3016">
        <f t="shared" si="1"/>
        <v>6047.2959843799335</v>
      </c>
    </row>
    <row r="34" spans="2:10" ht="18" customHeight="1" x14ac:dyDescent="0.2">
      <c r="B34" s="25" t="s">
        <v>197</v>
      </c>
      <c r="C34" s="3010">
        <f>IF(SUM(C35:C36)=0,"NO",SUM(C35:C36))</f>
        <v>827.39892461234956</v>
      </c>
      <c r="D34" s="3010">
        <f t="shared" ref="D34:E34" si="12">IF(SUM(D35:D36)=0,"NO",SUM(D35:D36))</f>
        <v>2.8504465377779512E-2</v>
      </c>
      <c r="E34" s="3010">
        <f t="shared" si="12"/>
        <v>2.3215144807204369E-2</v>
      </c>
      <c r="F34" s="3010">
        <f t="shared" ref="F34:I34" si="13">IF(SUM(F35:F36)=0,"NO",SUM(F35:F36))</f>
        <v>6.3590846670879833</v>
      </c>
      <c r="G34" s="3010">
        <f t="shared" si="13"/>
        <v>4.1039907327967819</v>
      </c>
      <c r="H34" s="3010">
        <f t="shared" si="13"/>
        <v>0.48358640124006502</v>
      </c>
      <c r="I34" s="3011">
        <f t="shared" si="13"/>
        <v>0.24008638597291185</v>
      </c>
      <c r="J34" s="3012">
        <f t="shared" si="1"/>
        <v>834.34906301683657</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827.39892461234956</v>
      </c>
      <c r="D36" s="3025">
        <f>'Table1.A(a)s4'!I108</f>
        <v>2.8504465377779512E-2</v>
      </c>
      <c r="E36" s="3025">
        <f>'Table1.A(a)s4'!J108</f>
        <v>2.3215144807204369E-2</v>
      </c>
      <c r="F36" s="3021">
        <v>6.3590846670879833</v>
      </c>
      <c r="G36" s="3021">
        <v>4.1039907327967819</v>
      </c>
      <c r="H36" s="3021">
        <v>0.48358640124006502</v>
      </c>
      <c r="I36" s="3022">
        <v>0.24008638597291185</v>
      </c>
      <c r="J36" s="3023">
        <f t="shared" si="1"/>
        <v>834.34906301683657</v>
      </c>
    </row>
    <row r="37" spans="2:10" ht="18" customHeight="1" thickBot="1" x14ac:dyDescent="0.25">
      <c r="B37" s="18" t="s">
        <v>201</v>
      </c>
      <c r="C37" s="3010">
        <f>IF(SUM(C38,C42)=0,"NO",SUM(C38,C42))</f>
        <v>7969.3180974831548</v>
      </c>
      <c r="D37" s="3010">
        <f t="shared" ref="D37:I37" si="14">IF(SUM(D38,D42)=0,"NO",SUM(D38,D42))</f>
        <v>1348.3441181004744</v>
      </c>
      <c r="E37" s="3010">
        <f t="shared" si="14"/>
        <v>9.7578918524269656E-2</v>
      </c>
      <c r="F37" s="3010">
        <f t="shared" si="14"/>
        <v>1.6222501217749361</v>
      </c>
      <c r="G37" s="3010">
        <f t="shared" si="14"/>
        <v>9.4090507062946305</v>
      </c>
      <c r="H37" s="3010">
        <f t="shared" si="14"/>
        <v>219.25722563519568</v>
      </c>
      <c r="I37" s="3011" t="str">
        <f t="shared" si="14"/>
        <v>NO</v>
      </c>
      <c r="J37" s="3012">
        <f t="shared" si="1"/>
        <v>45748.811817705369</v>
      </c>
    </row>
    <row r="38" spans="2:10" ht="18" customHeight="1" x14ac:dyDescent="0.2">
      <c r="B38" s="26" t="s">
        <v>202</v>
      </c>
      <c r="C38" s="3010">
        <f>IF(SUM(C39:C41)=0,"NO",SUM(C39:C41))</f>
        <v>1308.4125121797349</v>
      </c>
      <c r="D38" s="3010">
        <f t="shared" ref="D38" si="15">IF(SUM(D39:D41)=0,"NO",SUM(D39:D41))</f>
        <v>1139.2162164153622</v>
      </c>
      <c r="E38" s="3010">
        <f t="shared" ref="E38" si="16">IF(SUM(E39:E41)=0,"NO",SUM(E39:E41))</f>
        <v>3.4002767032537785E-4</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33206.556679142515</v>
      </c>
    </row>
    <row r="39" spans="2:10" ht="18" customHeight="1" x14ac:dyDescent="0.2">
      <c r="B39" s="20" t="s">
        <v>203</v>
      </c>
      <c r="C39" s="3013">
        <f>'Table1.B.1'!G10</f>
        <v>1308.4125121797349</v>
      </c>
      <c r="D39" s="3013">
        <f>'Table1.B.1'!F10</f>
        <v>1139.2162164153622</v>
      </c>
      <c r="E39" s="3014">
        <v>3.4002767032537785E-4</v>
      </c>
      <c r="F39" s="3014" t="s">
        <v>199</v>
      </c>
      <c r="G39" s="3014" t="s">
        <v>199</v>
      </c>
      <c r="H39" s="3014" t="s">
        <v>199</v>
      </c>
      <c r="I39" s="2940"/>
      <c r="J39" s="3016">
        <f t="shared" si="1"/>
        <v>33206.556679142515</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6660.9055853034197</v>
      </c>
      <c r="D42" s="3010">
        <f t="shared" ref="D42:I42" si="21">IF(SUM(D43:D46)=0,"NO",SUM(D43:D46))</f>
        <v>209.12790168511211</v>
      </c>
      <c r="E42" s="4491">
        <f t="shared" si="21"/>
        <v>9.7238890853944285E-2</v>
      </c>
      <c r="F42" s="3010">
        <f t="shared" si="21"/>
        <v>1.6222501217749361</v>
      </c>
      <c r="G42" s="3010">
        <f t="shared" si="21"/>
        <v>9.4090507062946305</v>
      </c>
      <c r="H42" s="3010">
        <f t="shared" si="21"/>
        <v>219.25722563519568</v>
      </c>
      <c r="I42" s="3011" t="str">
        <f t="shared" si="21"/>
        <v>NO</v>
      </c>
      <c r="J42" s="3012">
        <f t="shared" ref="J42:J59" si="22">IF(SUM(C42:E42)=0,"NO",SUM(C42,IFERROR(28*D42,0),IFERROR(265*E42,0)))</f>
        <v>12542.255138562854</v>
      </c>
    </row>
    <row r="43" spans="2:10" ht="18" customHeight="1" x14ac:dyDescent="0.2">
      <c r="B43" s="20" t="s">
        <v>208</v>
      </c>
      <c r="C43" s="3013">
        <f>'Table1.B.2'!I10</f>
        <v>291.858230005</v>
      </c>
      <c r="D43" s="3013">
        <f>'Table1.B.2'!J10</f>
        <v>3.8451879054070752</v>
      </c>
      <c r="E43" s="4492">
        <f>'Table1.B.2'!K10</f>
        <v>8.9261885790000006E-3</v>
      </c>
      <c r="F43" s="3014">
        <v>0.16529978849999999</v>
      </c>
      <c r="G43" s="3014">
        <v>0.9587387732999999</v>
      </c>
      <c r="H43" s="3014">
        <v>126.51860042962738</v>
      </c>
      <c r="I43" s="3015" t="s">
        <v>199</v>
      </c>
      <c r="J43" s="3016">
        <f t="shared" si="22"/>
        <v>401.8889313298331</v>
      </c>
    </row>
    <row r="44" spans="2:10" ht="18" customHeight="1" x14ac:dyDescent="0.2">
      <c r="B44" s="20" t="s">
        <v>209</v>
      </c>
      <c r="C44" s="3013">
        <f>SUM('Table1.B.2'!I21)</f>
        <v>48.047404392416269</v>
      </c>
      <c r="D44" s="3013">
        <f>'Table1.B.2'!J21</f>
        <v>152.77806557496581</v>
      </c>
      <c r="E44" s="4492">
        <f>'Table1.B.2'!K21</f>
        <v>1.0490113169999999E-3</v>
      </c>
      <c r="F44" s="3014">
        <v>1.94261355E-2</v>
      </c>
      <c r="G44" s="3014">
        <v>0.11267158590000001</v>
      </c>
      <c r="H44" s="3014">
        <v>78.363383227818943</v>
      </c>
      <c r="I44" s="3015" t="s">
        <v>199</v>
      </c>
      <c r="J44" s="3016">
        <f t="shared" si="22"/>
        <v>4326.1112284904639</v>
      </c>
    </row>
    <row r="45" spans="2:10" ht="18" customHeight="1" x14ac:dyDescent="0.2">
      <c r="B45" s="20" t="s">
        <v>210</v>
      </c>
      <c r="C45" s="3013">
        <f>'Table1.B.2'!I31</f>
        <v>6320.9999509060035</v>
      </c>
      <c r="D45" s="3013">
        <f>'Table1.B.2'!J31</f>
        <v>52.504648204739226</v>
      </c>
      <c r="E45" s="4492">
        <f>'Table1.B.2'!K31</f>
        <v>8.7263690957944284E-2</v>
      </c>
      <c r="F45" s="3014">
        <v>1.4375241977749362</v>
      </c>
      <c r="G45" s="3014">
        <v>8.3376403470946308</v>
      </c>
      <c r="H45" s="3014">
        <v>14.375241977749365</v>
      </c>
      <c r="I45" s="3015" t="s">
        <v>199</v>
      </c>
      <c r="J45" s="3016">
        <f t="shared" si="22"/>
        <v>7814.2549787425569</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12141.913604479998</v>
      </c>
      <c r="D52" s="3013">
        <f t="shared" ref="D52:I52" si="23">IF(SUM(D53:D54)=0,"NO",SUM(D53:D54))</f>
        <v>0.27101272536585364</v>
      </c>
      <c r="E52" s="3013">
        <f t="shared" si="23"/>
        <v>0.12149481179620025</v>
      </c>
      <c r="F52" s="3013">
        <f t="shared" si="23"/>
        <v>120.07747496280872</v>
      </c>
      <c r="G52" s="3013">
        <f t="shared" si="23"/>
        <v>16.769255716636714</v>
      </c>
      <c r="H52" s="3013">
        <f t="shared" si="23"/>
        <v>9.4879739781448009</v>
      </c>
      <c r="I52" s="3034">
        <f t="shared" si="23"/>
        <v>45.476374622394815</v>
      </c>
      <c r="J52" s="3016">
        <f t="shared" si="22"/>
        <v>12181.698085916234</v>
      </c>
    </row>
    <row r="53" spans="2:10" ht="18" customHeight="1" x14ac:dyDescent="0.2">
      <c r="B53" s="164" t="s">
        <v>218</v>
      </c>
      <c r="C53" s="3013">
        <f>Table1.D!G10</f>
        <v>9474.0236044799985</v>
      </c>
      <c r="D53" s="3013">
        <f>Table1.D!H10</f>
        <v>1.6632725365853661E-2</v>
      </c>
      <c r="E53" s="3013">
        <f>Table1.D!I10</f>
        <v>4.8814811796200265E-2</v>
      </c>
      <c r="F53" s="3014">
        <v>48.161874962808724</v>
      </c>
      <c r="G53" s="3014">
        <v>14.953715716636713</v>
      </c>
      <c r="H53" s="3014">
        <v>7.2294939781448004</v>
      </c>
      <c r="I53" s="3015">
        <v>1.11619243616</v>
      </c>
      <c r="J53" s="3016">
        <f t="shared" si="22"/>
        <v>9487.4252459162362</v>
      </c>
    </row>
    <row r="54" spans="2:10" ht="18" customHeight="1" x14ac:dyDescent="0.2">
      <c r="B54" s="164" t="s">
        <v>219</v>
      </c>
      <c r="C54" s="3013">
        <f>Table1.D!G14</f>
        <v>2667.8899999999994</v>
      </c>
      <c r="D54" s="3013">
        <f>Table1.D!H14</f>
        <v>0.25438</v>
      </c>
      <c r="E54" s="3013">
        <f>Table1.D!I14</f>
        <v>7.2679999999999995E-2</v>
      </c>
      <c r="F54" s="3014">
        <v>71.915599999999998</v>
      </c>
      <c r="G54" s="3014">
        <v>1.8155399999999999</v>
      </c>
      <c r="H54" s="3014">
        <v>2.25848</v>
      </c>
      <c r="I54" s="3015">
        <v>44.360182186234816</v>
      </c>
      <c r="J54" s="3016">
        <f t="shared" si="22"/>
        <v>2694.2728399999996</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14682.810440562396</v>
      </c>
      <c r="D56" s="3035"/>
      <c r="E56" s="3035"/>
      <c r="F56" s="3035"/>
      <c r="G56" s="3035"/>
      <c r="H56" s="3035"/>
      <c r="I56" s="2976"/>
      <c r="J56" s="3020">
        <f t="shared" si="22"/>
        <v>14682.810440562396</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134161.68122646</v>
      </c>
      <c r="D10" s="3491" t="s">
        <v>199</v>
      </c>
      <c r="E10" s="3491">
        <v>18.381076209</v>
      </c>
      <c r="F10" s="3491">
        <v>433.14953956900001</v>
      </c>
      <c r="G10" s="3491" t="s">
        <v>199</v>
      </c>
      <c r="H10" s="3491">
        <v>0.28766893500000001</v>
      </c>
      <c r="I10" s="3491" t="s">
        <v>199</v>
      </c>
      <c r="J10" s="3491">
        <v>23.359717165999999</v>
      </c>
      <c r="K10" s="3491" t="s">
        <v>199</v>
      </c>
      <c r="L10" s="3491" t="s">
        <v>199</v>
      </c>
      <c r="M10" s="3492">
        <f>IF(SUM(C10:L10)=0,"NO",SUM(C10:L10))</f>
        <v>134636.85922833902</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15.435487804999999</v>
      </c>
      <c r="D12" s="3491" t="s">
        <v>199</v>
      </c>
      <c r="E12" s="3491">
        <v>39964.812536947997</v>
      </c>
      <c r="F12" s="3491" t="s">
        <v>274</v>
      </c>
      <c r="G12" s="3491" t="s">
        <v>199</v>
      </c>
      <c r="H12" s="3491" t="s">
        <v>274</v>
      </c>
      <c r="I12" s="3491" t="s">
        <v>199</v>
      </c>
      <c r="J12" s="3491" t="s">
        <v>274</v>
      </c>
      <c r="K12" s="3491" t="s">
        <v>199</v>
      </c>
      <c r="L12" s="3491" t="s">
        <v>199</v>
      </c>
      <c r="M12" s="3492">
        <f t="shared" si="0"/>
        <v>39980.248024752997</v>
      </c>
    </row>
    <row r="13" spans="2:13" ht="18" customHeight="1" x14ac:dyDescent="0.2">
      <c r="B13" s="2303" t="s">
        <v>1296</v>
      </c>
      <c r="C13" s="3491">
        <v>602.07675847400003</v>
      </c>
      <c r="D13" s="3491" t="s">
        <v>199</v>
      </c>
      <c r="E13" s="3491" t="s">
        <v>274</v>
      </c>
      <c r="F13" s="3491">
        <v>518155.46205490001</v>
      </c>
      <c r="G13" s="3491" t="s">
        <v>199</v>
      </c>
      <c r="H13" s="3491" t="s">
        <v>274</v>
      </c>
      <c r="I13" s="3491" t="s">
        <v>199</v>
      </c>
      <c r="J13" s="3491" t="s">
        <v>274</v>
      </c>
      <c r="K13" s="3491" t="s">
        <v>199</v>
      </c>
      <c r="L13" s="3491" t="s">
        <v>199</v>
      </c>
      <c r="M13" s="3492">
        <f t="shared" si="0"/>
        <v>518757.53881337401</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7.057869868</v>
      </c>
      <c r="D15" s="3491" t="s">
        <v>199</v>
      </c>
      <c r="E15" s="3491">
        <v>0.63304705100000003</v>
      </c>
      <c r="F15" s="3491">
        <v>2.443871627</v>
      </c>
      <c r="G15" s="3491" t="s">
        <v>199</v>
      </c>
      <c r="H15" s="3491">
        <v>13288.294558112</v>
      </c>
      <c r="I15" s="3491" t="s">
        <v>199</v>
      </c>
      <c r="J15" s="3491" t="s">
        <v>199</v>
      </c>
      <c r="K15" s="3491" t="s">
        <v>199</v>
      </c>
      <c r="L15" s="3491" t="s">
        <v>199</v>
      </c>
      <c r="M15" s="3492">
        <f t="shared" si="0"/>
        <v>13298.429346658</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9.4179665490000009</v>
      </c>
      <c r="D17" s="3491" t="s">
        <v>199</v>
      </c>
      <c r="E17" s="3491" t="s">
        <v>199</v>
      </c>
      <c r="F17" s="3491" t="s">
        <v>199</v>
      </c>
      <c r="G17" s="3491" t="s">
        <v>199</v>
      </c>
      <c r="H17" s="3491" t="s">
        <v>199</v>
      </c>
      <c r="I17" s="3491" t="s">
        <v>199</v>
      </c>
      <c r="J17" s="3491">
        <v>1453.8777745059999</v>
      </c>
      <c r="K17" s="3491" t="s">
        <v>199</v>
      </c>
      <c r="L17" s="3491" t="s">
        <v>199</v>
      </c>
      <c r="M17" s="3492">
        <f t="shared" si="0"/>
        <v>1463.295741055</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134795.66930915599</v>
      </c>
      <c r="D20" s="3493" t="str">
        <f t="shared" ref="D20:L20" si="1">IF(SUM(D10:D19)=0,"NO",SUM(D10:D19))</f>
        <v>NO</v>
      </c>
      <c r="E20" s="3493">
        <f t="shared" si="1"/>
        <v>39983.826660207997</v>
      </c>
      <c r="F20" s="3493">
        <f t="shared" si="1"/>
        <v>518591.05546609598</v>
      </c>
      <c r="G20" s="3493" t="str">
        <f t="shared" si="1"/>
        <v>NO</v>
      </c>
      <c r="H20" s="3493">
        <f t="shared" si="1"/>
        <v>13288.582227047</v>
      </c>
      <c r="I20" s="3493" t="str">
        <f t="shared" si="1"/>
        <v>NO</v>
      </c>
      <c r="J20" s="3493">
        <f t="shared" si="1"/>
        <v>1477.237491672</v>
      </c>
      <c r="K20" s="3493">
        <f t="shared" si="1"/>
        <v>60692.328845821001</v>
      </c>
      <c r="L20" s="3493" t="str">
        <f t="shared" si="1"/>
        <v>NO</v>
      </c>
      <c r="M20" s="3492">
        <f t="shared" si="0"/>
        <v>768828.7</v>
      </c>
    </row>
    <row r="21" spans="2:13" ht="18" customHeight="1" thickBot="1" x14ac:dyDescent="0.25">
      <c r="B21" s="2305" t="s">
        <v>1304</v>
      </c>
      <c r="C21" s="3494">
        <f>IF(SUM(C20)=0,"NO",C20-M10)</f>
        <v>158.81008081696928</v>
      </c>
      <c r="D21" s="3494" t="str">
        <f>IF(SUM(D20)=0,"NO",D20-M11)</f>
        <v>NO</v>
      </c>
      <c r="E21" s="3494">
        <f>IF(SUM(E20)=0,"NO",E20-M12)</f>
        <v>3.5786354550000397</v>
      </c>
      <c r="F21" s="3494">
        <f>IF(SUM(F20)=0,"NO",F20-M13)</f>
        <v>-166.48334727803012</v>
      </c>
      <c r="G21" s="3494" t="str">
        <f>IF(SUM(G20)=0,"NO",G20-M14)</f>
        <v>NO</v>
      </c>
      <c r="H21" s="3494">
        <f>IF(SUM(H20)=0,"NO",H20-M15)</f>
        <v>-9.8471196110003802</v>
      </c>
      <c r="I21" s="3494" t="str">
        <f>IF(SUM(I20)=0,"NO",I20-M16)</f>
        <v>NO</v>
      </c>
      <c r="J21" s="3494">
        <f>IF(SUM(J20)=0,"NO",J20-M17)</f>
        <v>13.941750617000025</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134942.66014503734</v>
      </c>
      <c r="E10" s="3498">
        <f t="shared" ref="E10:U10" si="0">IF(SUM(E11,E16)=0,"IE",SUM(E11,E16))</f>
        <v>134795.66930915677</v>
      </c>
      <c r="F10" s="3499">
        <f t="shared" si="0"/>
        <v>146.99083588056382</v>
      </c>
      <c r="G10" s="3500">
        <f t="shared" ref="G10:K11" si="1">IFERROR(IF(SUM($D10)=0,"NA",N10/$D10),"NA")</f>
        <v>9.5377990874006613E-2</v>
      </c>
      <c r="H10" s="3057">
        <f t="shared" si="1"/>
        <v>-1.4615413700624367E-2</v>
      </c>
      <c r="I10" s="3057">
        <f t="shared" si="1"/>
        <v>8.0762577173382241E-2</v>
      </c>
      <c r="J10" s="3057">
        <f t="shared" si="1"/>
        <v>-3.9625293771067549E-3</v>
      </c>
      <c r="K10" s="3057">
        <f t="shared" si="1"/>
        <v>3.3832828660386961E-3</v>
      </c>
      <c r="L10" s="3057">
        <f>IFERROR(IF(SUM(E10)=0,"NA",S10/E10),"NA")</f>
        <v>-3.5370685456438469E-2</v>
      </c>
      <c r="M10" s="3106">
        <f>IFERROR(IF(SUM(F10)=0,"NA",T10/F10),"NA")</f>
        <v>1.4593501725755386E-2</v>
      </c>
      <c r="N10" s="3501">
        <f t="shared" si="0"/>
        <v>12870.559807827547</v>
      </c>
      <c r="O10" s="3502">
        <f t="shared" si="0"/>
        <v>-1972.2428038824764</v>
      </c>
      <c r="P10" s="3502">
        <f t="shared" si="0"/>
        <v>10898.317003945071</v>
      </c>
      <c r="Q10" s="3502">
        <f t="shared" si="0"/>
        <v>-534.71425504964338</v>
      </c>
      <c r="R10" s="3502">
        <f t="shared" si="0"/>
        <v>456.54918996638764</v>
      </c>
      <c r="S10" s="3502">
        <f t="shared" si="0"/>
        <v>-4767.8152200242812</v>
      </c>
      <c r="T10" s="3503">
        <f t="shared" si="0"/>
        <v>2.1451110170932348</v>
      </c>
      <c r="U10" s="4260">
        <f t="shared" si="0"/>
        <v>-22199.76670946696</v>
      </c>
      <c r="W10" s="2422"/>
    </row>
    <row r="11" spans="2:23" ht="18" customHeight="1" x14ac:dyDescent="0.2">
      <c r="B11" s="492" t="s">
        <v>1253</v>
      </c>
      <c r="C11" s="2282"/>
      <c r="D11" s="3504">
        <f>IF(SUM(D12:D15)=0,"IE",SUM(D12:D15))</f>
        <v>125112.073289883</v>
      </c>
      <c r="E11" s="3505">
        <f t="shared" ref="E11:U11" si="2">IF(SUM(E12:E15)=0,"IE",SUM(E12:E15))</f>
        <v>125112.073289883</v>
      </c>
      <c r="F11" s="3506" t="str">
        <f t="shared" si="2"/>
        <v>IE</v>
      </c>
      <c r="G11" s="3500">
        <f t="shared" si="1"/>
        <v>4.255101955087931E-2</v>
      </c>
      <c r="H11" s="3057">
        <f t="shared" si="1"/>
        <v>-1.5763808815739279E-2</v>
      </c>
      <c r="I11" s="3057">
        <f t="shared" si="1"/>
        <v>2.6787210735140041E-2</v>
      </c>
      <c r="J11" s="3057">
        <f t="shared" si="1"/>
        <v>-1.0336633578424086E-2</v>
      </c>
      <c r="K11" s="3057">
        <f t="shared" si="1"/>
        <v>-8.0993923633844857E-4</v>
      </c>
      <c r="L11" s="3057">
        <f t="shared" ref="L11:L28" si="3">IFERROR(IF(SUM(E11)=0,"NA",S11/E11),"NA")</f>
        <v>-2.0463292889280248E-2</v>
      </c>
      <c r="M11" s="3106" t="str">
        <f t="shared" ref="M11:M28" si="4">IFERROR(IF(SUM(F11)=0,"NA",T11/F11),"NA")</f>
        <v>NA</v>
      </c>
      <c r="N11" s="3087">
        <f t="shared" si="2"/>
        <v>5323.6462766088571</v>
      </c>
      <c r="O11" s="3087">
        <f t="shared" si="2"/>
        <v>-1972.2428038824764</v>
      </c>
      <c r="P11" s="3087">
        <f t="shared" si="2"/>
        <v>3351.4034727263816</v>
      </c>
      <c r="Q11" s="3087">
        <f t="shared" si="2"/>
        <v>-1293.2376578344599</v>
      </c>
      <c r="R11" s="3507">
        <f t="shared" si="2"/>
        <v>-101.33317709712784</v>
      </c>
      <c r="S11" s="3507">
        <f t="shared" si="2"/>
        <v>-2560.204999715972</v>
      </c>
      <c r="T11" s="3507" t="str">
        <f t="shared" si="2"/>
        <v>IE</v>
      </c>
      <c r="U11" s="4261">
        <f t="shared" si="2"/>
        <v>2212.3653270443265</v>
      </c>
      <c r="W11" s="2423"/>
    </row>
    <row r="12" spans="2:23" ht="18" customHeight="1" x14ac:dyDescent="0.2">
      <c r="B12" s="490"/>
      <c r="C12" s="498" t="s">
        <v>1339</v>
      </c>
      <c r="D12" s="3509">
        <f>IF(SUM(E12:F12)=0,E12,SUM(E12:F12))</f>
        <v>17552.601967448107</v>
      </c>
      <c r="E12" s="3510">
        <v>17552.601967448107</v>
      </c>
      <c r="F12" s="3496" t="s">
        <v>274</v>
      </c>
      <c r="G12" s="3500">
        <f>IFERROR(IF(SUM($D12)=0,"NA",N12/$D12),"NA")</f>
        <v>0.30329670133702907</v>
      </c>
      <c r="H12" s="3057" t="str">
        <f>IFERROR(IF(SUM($D12)=0,"NA",O12/$D12),"NA")</f>
        <v>NA</v>
      </c>
      <c r="I12" s="3057">
        <f>IFERROR(IF(SUM($D12)=0,"NA",P12/$D12),"NA")</f>
        <v>0.30329670133702907</v>
      </c>
      <c r="J12" s="3057">
        <f>IFERROR(IF(SUM($D12)=0,"NA",Q12/$D12),"NA")</f>
        <v>-1.5300699611991353E-2</v>
      </c>
      <c r="K12" s="3057">
        <f>IFERROR(IF(SUM($D12)=0,"NA",R12/$D12),"NA")</f>
        <v>1.5436309331708954E-2</v>
      </c>
      <c r="L12" s="3057">
        <f t="shared" si="3"/>
        <v>-0.17535633795254846</v>
      </c>
      <c r="M12" s="3106" t="str">
        <f t="shared" si="4"/>
        <v>NA</v>
      </c>
      <c r="N12" s="2917">
        <v>5323.6462766088571</v>
      </c>
      <c r="O12" s="2917" t="s">
        <v>274</v>
      </c>
      <c r="P12" s="3087">
        <f>IF(SUM(N12:O12)=0,N12,SUM(N12:O12))</f>
        <v>5323.6462766088571</v>
      </c>
      <c r="Q12" s="2917">
        <v>-268.56709011277189</v>
      </c>
      <c r="R12" s="2918">
        <v>270.94739354589217</v>
      </c>
      <c r="S12" s="2918">
        <v>-3077.9600025503973</v>
      </c>
      <c r="T12" s="2918" t="s">
        <v>274</v>
      </c>
      <c r="U12" s="4262">
        <f>IF(SUM(P12:T12)=0,P12,SUM(P12:T12)*-44/12)</f>
        <v>-8242.9107841357909</v>
      </c>
      <c r="W12" s="2424"/>
    </row>
    <row r="13" spans="2:23" ht="18" customHeight="1" x14ac:dyDescent="0.2">
      <c r="B13" s="490"/>
      <c r="C13" s="498" t="s">
        <v>1340</v>
      </c>
      <c r="D13" s="3509">
        <f t="shared" ref="D13:D15" si="5">IF(SUM(E13:F13)=0,E13,SUM(E13:F13))</f>
        <v>681.45988290815001</v>
      </c>
      <c r="E13" s="3510">
        <v>681.45988290815001</v>
      </c>
      <c r="F13" s="3496" t="s">
        <v>274</v>
      </c>
      <c r="G13" s="3500" t="str">
        <f t="shared" ref="G13:K28" si="6">IFERROR(IF(SUM($D13)=0,"NA",N13/$D13),"NA")</f>
        <v>NA</v>
      </c>
      <c r="H13" s="3057">
        <f t="shared" si="6"/>
        <v>-0.1527555304230484</v>
      </c>
      <c r="I13" s="3057">
        <f t="shared" si="6"/>
        <v>-0.1527555304230484</v>
      </c>
      <c r="J13" s="3057">
        <f t="shared" si="6"/>
        <v>4.2390252274423585E-4</v>
      </c>
      <c r="K13" s="3057">
        <f t="shared" si="6"/>
        <v>-5.0927971230174306E-2</v>
      </c>
      <c r="L13" s="3057">
        <f t="shared" si="3"/>
        <v>0.75977326886050955</v>
      </c>
      <c r="M13" s="3106" t="str">
        <f t="shared" si="4"/>
        <v>NA</v>
      </c>
      <c r="N13" s="2917" t="s">
        <v>274</v>
      </c>
      <c r="O13" s="2917">
        <v>-104.09676587566291</v>
      </c>
      <c r="P13" s="3087">
        <f t="shared" ref="P13:P15" si="7">IF(SUM(N13:O13)=0,N13,SUM(N13:O13))</f>
        <v>-104.09676587566291</v>
      </c>
      <c r="Q13" s="2917">
        <v>0.28887256351375634</v>
      </c>
      <c r="R13" s="2918">
        <v>-34.705369311264214</v>
      </c>
      <c r="S13" s="2918">
        <v>517.75500283442523</v>
      </c>
      <c r="T13" s="2918" t="s">
        <v>274</v>
      </c>
      <c r="U13" s="4262">
        <f t="shared" ref="U13:U15" si="8">IF(SUM(P13:T13)=0,P13,SUM(P13:T13)*-44/12)</f>
        <v>-1390.5530474403768</v>
      </c>
      <c r="W13" s="2424"/>
    </row>
    <row r="14" spans="2:23" ht="18" customHeight="1" x14ac:dyDescent="0.2">
      <c r="B14" s="490"/>
      <c r="C14" s="498" t="s">
        <v>1341</v>
      </c>
      <c r="D14" s="3509">
        <f t="shared" si="5"/>
        <v>106878.01143952674</v>
      </c>
      <c r="E14" s="3510">
        <v>106878.01143952674</v>
      </c>
      <c r="F14" s="3496" t="s">
        <v>274</v>
      </c>
      <c r="G14" s="3500" t="str">
        <f t="shared" si="6"/>
        <v>NA</v>
      </c>
      <c r="H14" s="3057">
        <f t="shared" si="6"/>
        <v>-7.0883573389842374E-3</v>
      </c>
      <c r="I14" s="3057">
        <f t="shared" si="6"/>
        <v>-7.0883573389842374E-3</v>
      </c>
      <c r="J14" s="3057">
        <f t="shared" si="6"/>
        <v>-8.3624122582671833E-3</v>
      </c>
      <c r="K14" s="3057">
        <f t="shared" si="6"/>
        <v>-3.1585093770458215E-3</v>
      </c>
      <c r="L14" s="3057" t="str">
        <f t="shared" si="3"/>
        <v>NA</v>
      </c>
      <c r="M14" s="3106" t="str">
        <f t="shared" si="4"/>
        <v>NA</v>
      </c>
      <c r="N14" s="2917" t="s">
        <v>274</v>
      </c>
      <c r="O14" s="2917">
        <v>-757.58953676341071</v>
      </c>
      <c r="P14" s="3087">
        <f t="shared" si="7"/>
        <v>-757.58953676341071</v>
      </c>
      <c r="Q14" s="2917">
        <v>-893.75799300111862</v>
      </c>
      <c r="R14" s="2918">
        <v>-337.57520133175581</v>
      </c>
      <c r="S14" s="2918" t="s">
        <v>205</v>
      </c>
      <c r="T14" s="2918" t="s">
        <v>205</v>
      </c>
      <c r="U14" s="4262">
        <f t="shared" si="8"/>
        <v>7292.7166806863788</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-1110.5565012434029</v>
      </c>
      <c r="P15" s="3087">
        <f t="shared" si="7"/>
        <v>-1110.5565012434029</v>
      </c>
      <c r="Q15" s="2917">
        <v>-131.20144728408312</v>
      </c>
      <c r="R15" s="2918" t="s">
        <v>205</v>
      </c>
      <c r="S15" s="2918" t="s">
        <v>205</v>
      </c>
      <c r="T15" s="2918" t="s">
        <v>205</v>
      </c>
      <c r="U15" s="4262">
        <f t="shared" si="8"/>
        <v>4553.1124779341153</v>
      </c>
      <c r="W15" s="2424"/>
    </row>
    <row r="16" spans="2:23" ht="18" customHeight="1" x14ac:dyDescent="0.2">
      <c r="B16" s="475" t="s">
        <v>1343</v>
      </c>
      <c r="C16" s="494"/>
      <c r="D16" s="3509">
        <f>IF(SUM(D17,D19,D23,D25,D27)=0,"IE",SUM(D17,D19,D23,D25,D27))</f>
        <v>9830.5868551543299</v>
      </c>
      <c r="E16" s="3512">
        <f t="shared" ref="E16:T16" si="9">IF(SUM(E17,E19,E23,E25,E27)=0,"IE",SUM(E17,E19,E23,E25,E27))</f>
        <v>9683.5960192737657</v>
      </c>
      <c r="F16" s="3513">
        <f t="shared" si="9"/>
        <v>146.99083588056382</v>
      </c>
      <c r="G16" s="3500">
        <f t="shared" si="6"/>
        <v>0.76769715200285571</v>
      </c>
      <c r="H16" s="3057" t="str">
        <f t="shared" si="6"/>
        <v>NA</v>
      </c>
      <c r="I16" s="3057">
        <f t="shared" si="6"/>
        <v>0.76769715200285571</v>
      </c>
      <c r="J16" s="3057">
        <f t="shared" si="6"/>
        <v>7.7159524040735256E-2</v>
      </c>
      <c r="K16" s="3057">
        <f t="shared" si="6"/>
        <v>5.674965038033402E-2</v>
      </c>
      <c r="L16" s="3057">
        <f t="shared" si="3"/>
        <v>-0.22797421700723444</v>
      </c>
      <c r="M16" s="3106">
        <f t="shared" si="4"/>
        <v>1.4593501725755386E-2</v>
      </c>
      <c r="N16" s="3057">
        <f t="shared" si="9"/>
        <v>7546.9135312186891</v>
      </c>
      <c r="O16" s="3057" t="str">
        <f t="shared" si="9"/>
        <v>IE</v>
      </c>
      <c r="P16" s="3057">
        <f t="shared" si="9"/>
        <v>7546.9135312186891</v>
      </c>
      <c r="Q16" s="3057">
        <f t="shared" si="9"/>
        <v>758.52340278481654</v>
      </c>
      <c r="R16" s="3514">
        <f t="shared" si="9"/>
        <v>557.88236706351552</v>
      </c>
      <c r="S16" s="3514">
        <f t="shared" si="9"/>
        <v>-2207.6102203083092</v>
      </c>
      <c r="T16" s="3514">
        <f t="shared" si="9"/>
        <v>2.1451110170932348</v>
      </c>
      <c r="U16" s="4262">
        <f>IF(SUM(U17,U19,U23,U25,U27)=0,"IE",SUM(U17,U19,U23,U25,U27))</f>
        <v>-24412.132036511288</v>
      </c>
      <c r="W16" s="2048"/>
    </row>
    <row r="17" spans="2:23" ht="18" customHeight="1" x14ac:dyDescent="0.2">
      <c r="B17" s="477" t="s">
        <v>1344</v>
      </c>
      <c r="C17" s="494"/>
      <c r="D17" s="3509">
        <f>D18</f>
        <v>57.389052690292367</v>
      </c>
      <c r="E17" s="3512">
        <f t="shared" ref="E17:U17" si="10">E18</f>
        <v>57.389052690292367</v>
      </c>
      <c r="F17" s="3513" t="str">
        <f t="shared" si="10"/>
        <v>NO</v>
      </c>
      <c r="G17" s="3500">
        <f t="shared" si="6"/>
        <v>1.2945756225619709</v>
      </c>
      <c r="H17" s="3057" t="str">
        <f t="shared" si="6"/>
        <v>NA</v>
      </c>
      <c r="I17" s="3057">
        <f t="shared" si="6"/>
        <v>1.2945756225619709</v>
      </c>
      <c r="J17" s="3057">
        <f t="shared" si="6"/>
        <v>1.8807637115401989E-2</v>
      </c>
      <c r="K17" s="3057">
        <f t="shared" si="6"/>
        <v>1.5856689499858363E-2</v>
      </c>
      <c r="L17" s="3057">
        <f t="shared" si="3"/>
        <v>-0.36389649566208476</v>
      </c>
      <c r="M17" s="3106" t="str">
        <f t="shared" si="4"/>
        <v>NA</v>
      </c>
      <c r="N17" s="3057">
        <f t="shared" si="10"/>
        <v>74.294468614776989</v>
      </c>
      <c r="O17" s="3057" t="str">
        <f t="shared" si="10"/>
        <v>IE</v>
      </c>
      <c r="P17" s="3057">
        <f t="shared" si="10"/>
        <v>74.294468614776989</v>
      </c>
      <c r="Q17" s="3057">
        <f t="shared" si="10"/>
        <v>1.0793524773957031</v>
      </c>
      <c r="R17" s="3514">
        <f t="shared" si="10"/>
        <v>0.91000038920097737</v>
      </c>
      <c r="S17" s="3514">
        <f t="shared" si="10"/>
        <v>-20.883675163364131</v>
      </c>
      <c r="T17" s="3514" t="str">
        <f t="shared" si="10"/>
        <v>NO</v>
      </c>
      <c r="U17" s="4262">
        <f t="shared" si="10"/>
        <v>-203.13386983270163</v>
      </c>
      <c r="W17" s="2048"/>
    </row>
    <row r="18" spans="2:23" ht="18" customHeight="1" x14ac:dyDescent="0.2">
      <c r="B18" s="478"/>
      <c r="C18" s="498" t="s">
        <v>409</v>
      </c>
      <c r="D18" s="3509">
        <f>IF(SUM(E18:F18)=0,E18,SUM(E18:F18))</f>
        <v>57.389052690292367</v>
      </c>
      <c r="E18" s="3510">
        <v>57.389052690292367</v>
      </c>
      <c r="F18" s="3496" t="s">
        <v>199</v>
      </c>
      <c r="G18" s="3500">
        <f t="shared" si="6"/>
        <v>1.2945756225619709</v>
      </c>
      <c r="H18" s="3057" t="str">
        <f t="shared" si="6"/>
        <v>NA</v>
      </c>
      <c r="I18" s="3057">
        <f t="shared" si="6"/>
        <v>1.2945756225619709</v>
      </c>
      <c r="J18" s="3057">
        <f t="shared" si="6"/>
        <v>1.8807637115401989E-2</v>
      </c>
      <c r="K18" s="3057">
        <f t="shared" si="6"/>
        <v>1.5856689499858363E-2</v>
      </c>
      <c r="L18" s="3057">
        <f t="shared" si="3"/>
        <v>-0.36389649566208476</v>
      </c>
      <c r="M18" s="3106" t="str">
        <f t="shared" si="4"/>
        <v>NA</v>
      </c>
      <c r="N18" s="2917">
        <v>74.294468614776989</v>
      </c>
      <c r="O18" s="2917" t="s">
        <v>274</v>
      </c>
      <c r="P18" s="3087">
        <f>IF(SUM(N18:O18)=0,N18,SUM(N18:O18))</f>
        <v>74.294468614776989</v>
      </c>
      <c r="Q18" s="2917">
        <v>1.0793524773957031</v>
      </c>
      <c r="R18" s="2918">
        <v>0.91000038920097737</v>
      </c>
      <c r="S18" s="2918">
        <v>-20.883675163364131</v>
      </c>
      <c r="T18" s="2918" t="s">
        <v>199</v>
      </c>
      <c r="U18" s="4262">
        <f t="shared" ref="U18" si="11">IF(SUM(P18:T18)=0,P18,SUM(P18:T18)*-44/12)</f>
        <v>-203.13386983270163</v>
      </c>
      <c r="W18" s="2424"/>
    </row>
    <row r="19" spans="2:23" ht="18" customHeight="1" x14ac:dyDescent="0.2">
      <c r="B19" s="477" t="s">
        <v>1345</v>
      </c>
      <c r="C19" s="494"/>
      <c r="D19" s="3504">
        <f>IF(SUM(D20:D22)=0,"IE",SUM(D20:D22))</f>
        <v>9578.6184532290263</v>
      </c>
      <c r="E19" s="3512">
        <f t="shared" ref="E19:U19" si="12">IF(SUM(E20:E22)=0,"IE",SUM(E20:E22))</f>
        <v>9578.6184532290263</v>
      </c>
      <c r="F19" s="3513" t="str">
        <f t="shared" si="12"/>
        <v>IE</v>
      </c>
      <c r="G19" s="3500">
        <f t="shared" si="6"/>
        <v>0.6585704690248303</v>
      </c>
      <c r="H19" s="3057" t="str">
        <f t="shared" si="6"/>
        <v>NA</v>
      </c>
      <c r="I19" s="3057">
        <f t="shared" si="6"/>
        <v>0.6585704690248303</v>
      </c>
      <c r="J19" s="3057">
        <f t="shared" si="6"/>
        <v>9.0351379762075482E-2</v>
      </c>
      <c r="K19" s="3057">
        <f t="shared" si="6"/>
        <v>5.5307219050500012E-2</v>
      </c>
      <c r="L19" s="3057">
        <f t="shared" si="3"/>
        <v>-0.2241775305481789</v>
      </c>
      <c r="M19" s="3106" t="str">
        <f t="shared" si="4"/>
        <v>NA</v>
      </c>
      <c r="N19" s="3057">
        <f t="shared" si="12"/>
        <v>6308.1952473529345</v>
      </c>
      <c r="O19" s="3057" t="str">
        <f t="shared" si="12"/>
        <v>IE</v>
      </c>
      <c r="P19" s="3057">
        <f t="shared" si="12"/>
        <v>6308.1952473529345</v>
      </c>
      <c r="Q19" s="3057">
        <f t="shared" si="12"/>
        <v>865.44139346371981</v>
      </c>
      <c r="R19" s="3514">
        <f t="shared" si="12"/>
        <v>529.76674899389934</v>
      </c>
      <c r="S19" s="3514">
        <f t="shared" si="12"/>
        <v>-2147.3110309081003</v>
      </c>
      <c r="T19" s="3514" t="str">
        <f t="shared" si="12"/>
        <v>IE</v>
      </c>
      <c r="U19" s="4262">
        <f t="shared" si="12"/>
        <v>-20372.338649308997</v>
      </c>
      <c r="W19" s="2048"/>
    </row>
    <row r="20" spans="2:23" ht="18" customHeight="1" x14ac:dyDescent="0.2">
      <c r="B20" s="486"/>
      <c r="C20" s="498" t="s">
        <v>1346</v>
      </c>
      <c r="D20" s="3509">
        <f>IF(SUM(E20:F20)=0,E20,SUM(E20:F20))</f>
        <v>2074.1214032879761</v>
      </c>
      <c r="E20" s="3510">
        <v>2074.1214032879761</v>
      </c>
      <c r="F20" s="3496" t="s">
        <v>199</v>
      </c>
      <c r="G20" s="3500">
        <f t="shared" si="6"/>
        <v>1.3273071873326487</v>
      </c>
      <c r="H20" s="3057" t="str">
        <f t="shared" si="6"/>
        <v>NA</v>
      </c>
      <c r="I20" s="3057">
        <f t="shared" si="6"/>
        <v>1.3273071873326487</v>
      </c>
      <c r="J20" s="3057">
        <f t="shared" si="6"/>
        <v>2.957716972203403E-2</v>
      </c>
      <c r="K20" s="3057">
        <f t="shared" si="6"/>
        <v>2.1650402516163614E-2</v>
      </c>
      <c r="L20" s="3057">
        <f t="shared" si="3"/>
        <v>-0.48451765678622627</v>
      </c>
      <c r="M20" s="3106" t="str">
        <f t="shared" si="4"/>
        <v>NA</v>
      </c>
      <c r="N20" s="2917">
        <v>2752.9962459846101</v>
      </c>
      <c r="O20" s="2917" t="s">
        <v>274</v>
      </c>
      <c r="P20" s="3087">
        <f>IF(SUM(N20:O20)=0,N20,SUM(N20:O20))</f>
        <v>2752.9962459846101</v>
      </c>
      <c r="Q20" s="2917">
        <v>61.346640769151861</v>
      </c>
      <c r="R20" s="2918">
        <v>44.905563248574808</v>
      </c>
      <c r="S20" s="2918">
        <v>-1004.9484422112496</v>
      </c>
      <c r="T20" s="2918" t="s">
        <v>199</v>
      </c>
      <c r="U20" s="4262">
        <f t="shared" ref="U20:U22" si="13">IF(SUM(P20:T20)=0,P20,SUM(P20:T20)*-44/12)</f>
        <v>-6799.100028567319</v>
      </c>
      <c r="W20" s="2424"/>
    </row>
    <row r="21" spans="2:23" ht="18" customHeight="1" x14ac:dyDescent="0.2">
      <c r="B21" s="490"/>
      <c r="C21" s="498" t="s">
        <v>1347</v>
      </c>
      <c r="D21" s="3509">
        <f>IF(SUM(E21:F21)=0,E21,SUM(E21:F21))</f>
        <v>7504.4970499410501</v>
      </c>
      <c r="E21" s="3510">
        <v>7504.4970499410501</v>
      </c>
      <c r="F21" s="3496" t="s">
        <v>199</v>
      </c>
      <c r="G21" s="3500">
        <f t="shared" si="6"/>
        <v>0.47369606314287033</v>
      </c>
      <c r="H21" s="3057" t="str">
        <f t="shared" si="6"/>
        <v>NA</v>
      </c>
      <c r="I21" s="3057">
        <f t="shared" si="6"/>
        <v>0.47369606314287033</v>
      </c>
      <c r="J21" s="3057">
        <f t="shared" si="6"/>
        <v>0.1071731679586569</v>
      </c>
      <c r="K21" s="3057">
        <f t="shared" si="6"/>
        <v>6.460941786220481E-2</v>
      </c>
      <c r="L21" s="3057">
        <f t="shared" si="3"/>
        <v>-0.15222373745963752</v>
      </c>
      <c r="M21" s="3106" t="str">
        <f t="shared" si="4"/>
        <v>NA</v>
      </c>
      <c r="N21" s="2917">
        <v>3554.8507084243597</v>
      </c>
      <c r="O21" s="2917" t="s">
        <v>274</v>
      </c>
      <c r="P21" s="3087">
        <f t="shared" ref="P21:P28" si="14">IF(SUM(N21:O21)=0,N21,SUM(N21:O21))</f>
        <v>3554.8507084243597</v>
      </c>
      <c r="Q21" s="2917">
        <v>804.28072277857746</v>
      </c>
      <c r="R21" s="2918">
        <v>484.86118574532458</v>
      </c>
      <c r="S21" s="2918">
        <v>-1142.3625886968507</v>
      </c>
      <c r="T21" s="2918" t="s">
        <v>199</v>
      </c>
      <c r="U21" s="4262">
        <f t="shared" si="13"/>
        <v>-13572.64343692184</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0.34829294396538119</v>
      </c>
      <c r="O22" s="2917" t="s">
        <v>274</v>
      </c>
      <c r="P22" s="3087">
        <f t="shared" si="14"/>
        <v>0.34829294396538119</v>
      </c>
      <c r="Q22" s="2917">
        <v>-0.1859700840095696</v>
      </c>
      <c r="R22" s="2918" t="s">
        <v>205</v>
      </c>
      <c r="S22" s="2918" t="s">
        <v>205</v>
      </c>
      <c r="T22" s="2918" t="s">
        <v>205</v>
      </c>
      <c r="U22" s="4262">
        <f t="shared" si="13"/>
        <v>-0.59518381983797586</v>
      </c>
      <c r="W22" s="2424"/>
    </row>
    <row r="23" spans="2:23" ht="18" customHeight="1" x14ac:dyDescent="0.2">
      <c r="B23" s="477" t="s">
        <v>1348</v>
      </c>
      <c r="C23" s="494"/>
      <c r="D23" s="3509">
        <f>D24</f>
        <v>146.99083588056382</v>
      </c>
      <c r="E23" s="3512" t="str">
        <f t="shared" ref="E23" si="15">E24</f>
        <v>NO</v>
      </c>
      <c r="F23" s="3513">
        <f t="shared" ref="F23" si="16">F24</f>
        <v>146.99083588056382</v>
      </c>
      <c r="G23" s="3500">
        <f t="shared" si="6"/>
        <v>7.3717797816730553</v>
      </c>
      <c r="H23" s="3057" t="str">
        <f t="shared" si="6"/>
        <v>NA</v>
      </c>
      <c r="I23" s="3057">
        <f t="shared" si="6"/>
        <v>7.3717797816730553</v>
      </c>
      <c r="J23" s="3057">
        <f t="shared" si="6"/>
        <v>-0.75197361146508856</v>
      </c>
      <c r="K23" s="3057">
        <f t="shared" si="6"/>
        <v>0.17173244342069496</v>
      </c>
      <c r="L23" s="3057" t="str">
        <f t="shared" si="3"/>
        <v>NA</v>
      </c>
      <c r="M23" s="3106">
        <f t="shared" si="4"/>
        <v>1.4593501725755386E-2</v>
      </c>
      <c r="N23" s="3057">
        <f t="shared" ref="N23" si="17">N24</f>
        <v>1083.5840720355627</v>
      </c>
      <c r="O23" s="3057" t="str">
        <f t="shared" ref="O23" si="18">O24</f>
        <v>IE</v>
      </c>
      <c r="P23" s="3057">
        <f t="shared" ref="P23" si="19">P24</f>
        <v>1083.5840720355627</v>
      </c>
      <c r="Q23" s="3057">
        <f t="shared" ref="Q23" si="20">Q24</f>
        <v>-110.5332297093797</v>
      </c>
      <c r="R23" s="3514">
        <f t="shared" ref="R23" si="21">R24</f>
        <v>25.243095406219584</v>
      </c>
      <c r="S23" s="3514" t="str">
        <f t="shared" ref="S23" si="22">S24</f>
        <v>NO</v>
      </c>
      <c r="T23" s="3514">
        <f t="shared" ref="T23" si="23">T24</f>
        <v>2.1451110170932348</v>
      </c>
      <c r="U23" s="4262">
        <f t="shared" ref="U23" si="24">U24</f>
        <v>-3668.2765120814843</v>
      </c>
      <c r="W23" s="2048"/>
    </row>
    <row r="24" spans="2:23" ht="18" customHeight="1" x14ac:dyDescent="0.2">
      <c r="B24" s="478"/>
      <c r="C24" s="498" t="s">
        <v>409</v>
      </c>
      <c r="D24" s="3509">
        <f>IF(SUM(E24:F24)=0,E24,SUM(E24:F24))</f>
        <v>146.99083588056382</v>
      </c>
      <c r="E24" s="3510" t="s">
        <v>199</v>
      </c>
      <c r="F24" s="3496">
        <v>146.99083588056382</v>
      </c>
      <c r="G24" s="3500">
        <f t="shared" si="6"/>
        <v>7.3717797816730553</v>
      </c>
      <c r="H24" s="3057" t="str">
        <f t="shared" si="6"/>
        <v>NA</v>
      </c>
      <c r="I24" s="3057">
        <f t="shared" si="6"/>
        <v>7.3717797816730553</v>
      </c>
      <c r="J24" s="3057">
        <f t="shared" si="6"/>
        <v>-0.75197361146508856</v>
      </c>
      <c r="K24" s="3057">
        <f t="shared" si="6"/>
        <v>0.17173244342069496</v>
      </c>
      <c r="L24" s="3057" t="str">
        <f t="shared" si="3"/>
        <v>NA</v>
      </c>
      <c r="M24" s="3106">
        <f t="shared" si="4"/>
        <v>1.4593501725755386E-2</v>
      </c>
      <c r="N24" s="2917">
        <v>1083.5840720355627</v>
      </c>
      <c r="O24" s="2917" t="s">
        <v>274</v>
      </c>
      <c r="P24" s="3087">
        <f t="shared" si="14"/>
        <v>1083.5840720355627</v>
      </c>
      <c r="Q24" s="2917">
        <v>-110.5332297093797</v>
      </c>
      <c r="R24" s="2918">
        <v>25.243095406219584</v>
      </c>
      <c r="S24" s="2918" t="s">
        <v>199</v>
      </c>
      <c r="T24" s="2918">
        <v>2.1451110170932348</v>
      </c>
      <c r="U24" s="4262">
        <f t="shared" ref="U24" si="25">IF(SUM(P24:T24)=0,P24,SUM(P24:T24)*-44/12)</f>
        <v>-3668.2765120814843</v>
      </c>
      <c r="W24" s="2424"/>
    </row>
    <row r="25" spans="2:23" ht="18" customHeight="1" x14ac:dyDescent="0.2">
      <c r="B25" s="477" t="s">
        <v>1349</v>
      </c>
      <c r="C25" s="494"/>
      <c r="D25" s="3509">
        <f>D26</f>
        <v>47.588513354446278</v>
      </c>
      <c r="E25" s="3512">
        <f t="shared" ref="E25" si="26">E26</f>
        <v>47.588513354446278</v>
      </c>
      <c r="F25" s="3513" t="str">
        <f t="shared" ref="F25" si="27">F26</f>
        <v>NO</v>
      </c>
      <c r="G25" s="3500">
        <f t="shared" si="6"/>
        <v>1.6987238624856609</v>
      </c>
      <c r="H25" s="3057" t="str">
        <f t="shared" si="6"/>
        <v>NA</v>
      </c>
      <c r="I25" s="3057">
        <f t="shared" si="6"/>
        <v>1.6987238624856609</v>
      </c>
      <c r="J25" s="3057">
        <f t="shared" si="6"/>
        <v>5.3287786785713873E-2</v>
      </c>
      <c r="K25" s="3057">
        <f t="shared" si="6"/>
        <v>4.1239411275121582E-2</v>
      </c>
      <c r="L25" s="3057">
        <f t="shared" si="3"/>
        <v>-0.82825689349175924</v>
      </c>
      <c r="M25" s="3106" t="str">
        <f t="shared" si="4"/>
        <v>NA</v>
      </c>
      <c r="N25" s="3057">
        <f t="shared" ref="N25" si="28">N26</f>
        <v>80.839743215415439</v>
      </c>
      <c r="O25" s="3057" t="str">
        <f t="shared" ref="O25" si="29">O26</f>
        <v>IE</v>
      </c>
      <c r="P25" s="3057">
        <f t="shared" ref="P25" si="30">P26</f>
        <v>80.839743215415439</v>
      </c>
      <c r="Q25" s="3057">
        <f t="shared" ref="Q25" si="31">Q26</f>
        <v>2.5358865530808306</v>
      </c>
      <c r="R25" s="3514">
        <f t="shared" ref="R25" si="32">R26</f>
        <v>1.9625222741956259</v>
      </c>
      <c r="S25" s="3514">
        <f t="shared" ref="S25" si="33">S26</f>
        <v>-39.415514236844771</v>
      </c>
      <c r="T25" s="3514" t="str">
        <f t="shared" ref="T25" si="34">T26</f>
        <v>NO</v>
      </c>
      <c r="U25" s="4262">
        <f t="shared" ref="U25" si="35">U26</f>
        <v>-168.38300528810609</v>
      </c>
      <c r="W25" s="2048"/>
    </row>
    <row r="26" spans="2:23" ht="18" customHeight="1" x14ac:dyDescent="0.2">
      <c r="B26" s="478"/>
      <c r="C26" s="498" t="s">
        <v>409</v>
      </c>
      <c r="D26" s="3509">
        <f>IF(SUM(E26:F26)=0,E26,SUM(E26:F26))</f>
        <v>47.588513354446278</v>
      </c>
      <c r="E26" s="3510">
        <v>47.588513354446278</v>
      </c>
      <c r="F26" s="3496" t="s">
        <v>199</v>
      </c>
      <c r="G26" s="3500">
        <f t="shared" si="6"/>
        <v>1.6987238624856609</v>
      </c>
      <c r="H26" s="3057" t="str">
        <f t="shared" si="6"/>
        <v>NA</v>
      </c>
      <c r="I26" s="3057">
        <f t="shared" si="6"/>
        <v>1.6987238624856609</v>
      </c>
      <c r="J26" s="3057">
        <f t="shared" si="6"/>
        <v>5.3287786785713873E-2</v>
      </c>
      <c r="K26" s="3057">
        <f t="shared" si="6"/>
        <v>4.1239411275121582E-2</v>
      </c>
      <c r="L26" s="3057">
        <f t="shared" si="3"/>
        <v>-0.82825689349175924</v>
      </c>
      <c r="M26" s="3106" t="str">
        <f t="shared" si="4"/>
        <v>NA</v>
      </c>
      <c r="N26" s="2917">
        <v>80.839743215415439</v>
      </c>
      <c r="O26" s="2917" t="s">
        <v>274</v>
      </c>
      <c r="P26" s="3087">
        <f t="shared" si="14"/>
        <v>80.839743215415439</v>
      </c>
      <c r="Q26" s="2917">
        <v>2.5358865530808306</v>
      </c>
      <c r="R26" s="2918">
        <v>1.9625222741956259</v>
      </c>
      <c r="S26" s="2918">
        <v>-39.415514236844771</v>
      </c>
      <c r="T26" s="2918" t="s">
        <v>199</v>
      </c>
      <c r="U26" s="4262">
        <f t="shared" ref="U26" si="36">IF(SUM(P26:T26)=0,P26,SUM(P26:T26)*-44/12)</f>
        <v>-168.38300528810609</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39983.826660207749</v>
      </c>
      <c r="E10" s="3523">
        <f t="shared" ref="E10:F10" si="0">IF(SUM(E11,E13)=0,"IE",SUM(E11,E13))</f>
        <v>39980.826660207749</v>
      </c>
      <c r="F10" s="3524">
        <f t="shared" si="0"/>
        <v>3</v>
      </c>
      <c r="G10" s="3500">
        <f>IFERROR(IF(SUM($D10)=0,"NA",M10/$D10),"NA")</f>
        <v>9.9731720393721125E-4</v>
      </c>
      <c r="H10" s="3523">
        <f t="shared" ref="H10:J10" si="1">IFERROR(IF(SUM($D10)=0,"NA",N10/$D10),"NA")</f>
        <v>-1.8414474446031553E-3</v>
      </c>
      <c r="I10" s="3523">
        <f t="shared" si="1"/>
        <v>-8.4413024066594411E-4</v>
      </c>
      <c r="J10" s="3523">
        <f t="shared" si="1"/>
        <v>-3.665879479867613E-3</v>
      </c>
      <c r="K10" s="3525">
        <f>IFERROR(IF(SUM(E10)=0,"NA",Q10/E10),"NA")</f>
        <v>-3.8162631109426047E-2</v>
      </c>
      <c r="L10" s="3524">
        <f>IFERROR(IF(SUM(F10)=0,"NA",R10/F10),"NA")</f>
        <v>-12.475</v>
      </c>
      <c r="M10" s="3526">
        <f>IF(SUM(M11,M13)=0,"IE",SUM(M11,M13))</f>
        <v>39.876558207468513</v>
      </c>
      <c r="N10" s="3523">
        <f t="shared" ref="N10:S10" si="2">IF(SUM(N11,N13)=0,"IE",SUM(N11,N13))</f>
        <v>-73.628115428895072</v>
      </c>
      <c r="O10" s="3527">
        <f t="shared" si="2"/>
        <v>-33.751557221426559</v>
      </c>
      <c r="P10" s="3523">
        <f t="shared" si="2"/>
        <v>-146.57588968023919</v>
      </c>
      <c r="Q10" s="3525">
        <f t="shared" si="2"/>
        <v>-1525.7735392834145</v>
      </c>
      <c r="R10" s="3525">
        <f t="shared" si="2"/>
        <v>-37.424999999999997</v>
      </c>
      <c r="S10" s="3528">
        <f t="shared" si="2"/>
        <v>6392.9286160119609</v>
      </c>
      <c r="U10" s="2287"/>
    </row>
    <row r="11" spans="2:21" ht="18" customHeight="1" x14ac:dyDescent="0.2">
      <c r="B11" s="489" t="s">
        <v>1256</v>
      </c>
      <c r="C11" s="2282"/>
      <c r="D11" s="3529">
        <f>D12</f>
        <v>37699.115892725</v>
      </c>
      <c r="E11" s="3057">
        <f t="shared" ref="E11" si="3">E12</f>
        <v>37699.115892725</v>
      </c>
      <c r="F11" s="3057" t="str">
        <f t="shared" ref="F11" si="4">F12</f>
        <v>IE</v>
      </c>
      <c r="G11" s="3500">
        <f t="shared" ref="G11:G23" si="5">IFERROR(IF(SUM($D11)=0,"NA",M11/$D11),"NA")</f>
        <v>1.0577584450770557E-3</v>
      </c>
      <c r="H11" s="3057" t="str">
        <f t="shared" ref="H11:H23" si="6">IFERROR(IF(SUM($D11)=0,"NA",N11/$D11),"NA")</f>
        <v>NA</v>
      </c>
      <c r="I11" s="3057">
        <f t="shared" ref="I11:I23" si="7">IFERROR(IF(SUM($D11)=0,"NA",O11/$D11),"NA")</f>
        <v>1.0577584450770557E-3</v>
      </c>
      <c r="J11" s="3057" t="str">
        <f t="shared" ref="J11:J23" si="8">IFERROR(IF(SUM($D11)=0,"NA",P11/$D11),"NA")</f>
        <v>NA</v>
      </c>
      <c r="K11" s="3514">
        <f t="shared" ref="K11:K23" si="9">IFERROR(IF(SUM(E11)=0,"NA",Q11/E11),"NA")</f>
        <v>-2.9401649736160548E-2</v>
      </c>
      <c r="L11" s="3106" t="str">
        <f t="shared" ref="L11:L23" si="10">IFERROR(IF(SUM(F11)=0,"NA",R11/F11),"NA")</f>
        <v>NA</v>
      </c>
      <c r="M11" s="3530">
        <f t="shared" ref="M11" si="11">M12</f>
        <v>39.876558207468513</v>
      </c>
      <c r="N11" s="3531" t="str">
        <f t="shared" ref="N11" si="12">N12</f>
        <v>IE</v>
      </c>
      <c r="O11" s="3532">
        <f t="shared" ref="O11" si="13">O12</f>
        <v>39.876558207468513</v>
      </c>
      <c r="P11" s="3531" t="str">
        <f t="shared" ref="P11" si="14">P12</f>
        <v>NA</v>
      </c>
      <c r="Q11" s="3533">
        <f t="shared" ref="Q11" si="15">Q12</f>
        <v>-1108.4162008408239</v>
      </c>
      <c r="R11" s="3533" t="str">
        <f t="shared" ref="R11" si="16">R12</f>
        <v>IE</v>
      </c>
      <c r="S11" s="3534">
        <f t="shared" ref="S11" si="17">S12</f>
        <v>3917.9786896556366</v>
      </c>
      <c r="U11" s="2284"/>
    </row>
    <row r="12" spans="2:21" ht="18" customHeight="1" x14ac:dyDescent="0.2">
      <c r="B12" s="491"/>
      <c r="C12" s="498" t="s">
        <v>409</v>
      </c>
      <c r="D12" s="3509">
        <f>IF(SUM(E12:F12)=0,E12,SUM(E12:F12))</f>
        <v>37699.115892725</v>
      </c>
      <c r="E12" s="3510">
        <v>37699.115892725</v>
      </c>
      <c r="F12" s="3496" t="s">
        <v>274</v>
      </c>
      <c r="G12" s="3500">
        <f t="shared" si="5"/>
        <v>1.0577584450770557E-3</v>
      </c>
      <c r="H12" s="3057" t="str">
        <f t="shared" si="6"/>
        <v>NA</v>
      </c>
      <c r="I12" s="3057">
        <f t="shared" si="7"/>
        <v>1.0577584450770557E-3</v>
      </c>
      <c r="J12" s="3057" t="str">
        <f t="shared" si="8"/>
        <v>NA</v>
      </c>
      <c r="K12" s="3514">
        <f t="shared" si="9"/>
        <v>-2.9401649736160548E-2</v>
      </c>
      <c r="L12" s="3106" t="str">
        <f t="shared" si="10"/>
        <v>NA</v>
      </c>
      <c r="M12" s="2917">
        <v>39.876558207468513</v>
      </c>
      <c r="N12" s="2917" t="s">
        <v>274</v>
      </c>
      <c r="O12" s="3087">
        <f>IF(SUM(M12:N12)=0,M12,SUM(M12:N12))</f>
        <v>39.876558207468513</v>
      </c>
      <c r="P12" s="2917" t="s">
        <v>205</v>
      </c>
      <c r="Q12" s="2918">
        <v>-1108.4162008408239</v>
      </c>
      <c r="R12" s="2918" t="s">
        <v>274</v>
      </c>
      <c r="S12" s="3534">
        <f>IF(SUM(O12:R12)=0,Q12,SUM(O12:R12)*-44/12)</f>
        <v>3917.9786896556366</v>
      </c>
      <c r="U12" s="2424"/>
    </row>
    <row r="13" spans="2:21" ht="18" customHeight="1" x14ac:dyDescent="0.2">
      <c r="B13" s="475" t="s">
        <v>1375</v>
      </c>
      <c r="C13" s="494"/>
      <c r="D13" s="3529">
        <f>IF(SUM(D14,D16,D18,D20,D22)=0,"IE",SUM(D14,D16,D18,D20,D22))</f>
        <v>2284.7107674827475</v>
      </c>
      <c r="E13" s="3531">
        <f t="shared" ref="E13:F13" si="18">IF(SUM(E14,E16,E18,E20,E22)=0,"IE",SUM(E14,E16,E18,E20,E22))</f>
        <v>2281.7107674827475</v>
      </c>
      <c r="F13" s="3535">
        <f t="shared" si="18"/>
        <v>3</v>
      </c>
      <c r="G13" s="3500" t="str">
        <f t="shared" si="5"/>
        <v>NA</v>
      </c>
      <c r="H13" s="3057">
        <f t="shared" si="6"/>
        <v>-3.2226449175453913E-2</v>
      </c>
      <c r="I13" s="3057">
        <f t="shared" si="7"/>
        <v>-3.2226449175453913E-2</v>
      </c>
      <c r="J13" s="3057">
        <f t="shared" si="8"/>
        <v>-6.4155118348627485E-2</v>
      </c>
      <c r="K13" s="3514">
        <f t="shared" si="9"/>
        <v>-0.1829142169947473</v>
      </c>
      <c r="L13" s="3106">
        <f t="shared" si="10"/>
        <v>-12.475</v>
      </c>
      <c r="M13" s="3530" t="str">
        <f>IF(SUM(M14,M16,M18,M20,M22)=0,"IE",SUM(M14,M16,M18,M20,M22))</f>
        <v>IE</v>
      </c>
      <c r="N13" s="3531">
        <f t="shared" ref="N13" si="19">IF(SUM(N14,N16,N18,N20,N22)=0,"IE",SUM(N14,N16,N18,N20,N22))</f>
        <v>-73.628115428895072</v>
      </c>
      <c r="O13" s="3532">
        <f t="shared" ref="O13" si="20">IF(SUM(O14,O16,O18,O20,O22)=0,"IE",SUM(O14,O16,O18,O20,O22))</f>
        <v>-73.628115428895072</v>
      </c>
      <c r="P13" s="3532">
        <f t="shared" ref="P13" si="21">IF(SUM(P14,P16,P18,P20,P22)=0,"IE",SUM(P14,P16,P18,P20,P22))</f>
        <v>-146.57588968023919</v>
      </c>
      <c r="Q13" s="3532">
        <f t="shared" ref="Q13" si="22">IF(SUM(Q14,Q16,Q18,Q20,Q22)=0,"IE",SUM(Q14,Q16,Q18,Q20,Q22))</f>
        <v>-417.35733844259067</v>
      </c>
      <c r="R13" s="3532">
        <f t="shared" ref="R13" si="23">IF(SUM(R14,R16,R18,R20,R22)=0,"IE",SUM(R14,R16,R18,R20,R22))</f>
        <v>-37.424999999999997</v>
      </c>
      <c r="S13" s="3534">
        <f t="shared" ref="S13" si="24">IF(SUM(S14,S16,S18,S20,S22)=0,"IE",SUM(S14,S16,S18,S20,S22))</f>
        <v>2474.9499263563248</v>
      </c>
      <c r="U13" s="493"/>
    </row>
    <row r="14" spans="2:21" ht="18" customHeight="1" x14ac:dyDescent="0.2">
      <c r="B14" s="477" t="s">
        <v>1376</v>
      </c>
      <c r="C14" s="494"/>
      <c r="D14" s="3529">
        <f>D15</f>
        <v>2272.0498264549356</v>
      </c>
      <c r="E14" s="3057">
        <f t="shared" ref="E14" si="25">E15</f>
        <v>2272.0498264549356</v>
      </c>
      <c r="F14" s="3057" t="str">
        <f t="shared" ref="F14" si="26">F15</f>
        <v>IE</v>
      </c>
      <c r="G14" s="3500" t="str">
        <f t="shared" si="5"/>
        <v>NA</v>
      </c>
      <c r="H14" s="3057">
        <f t="shared" si="6"/>
        <v>-3.2406030260250296E-2</v>
      </c>
      <c r="I14" s="3057">
        <f t="shared" si="7"/>
        <v>-3.2406030260250296E-2</v>
      </c>
      <c r="J14" s="3057">
        <f t="shared" si="8"/>
        <v>-6.4512621146579602E-2</v>
      </c>
      <c r="K14" s="3514">
        <f t="shared" si="9"/>
        <v>-0.17126981958210391</v>
      </c>
      <c r="L14" s="3106" t="str">
        <f t="shared" si="10"/>
        <v>NA</v>
      </c>
      <c r="M14" s="3530" t="str">
        <f t="shared" ref="M14" si="27">M15</f>
        <v>IE</v>
      </c>
      <c r="N14" s="3531">
        <f t="shared" ref="N14" si="28">N15</f>
        <v>-73.628115428895072</v>
      </c>
      <c r="O14" s="3532">
        <f t="shared" ref="O14" si="29">O15</f>
        <v>-73.628115428895072</v>
      </c>
      <c r="P14" s="3531">
        <f t="shared" ref="P14" si="30">P15</f>
        <v>-146.57588968023919</v>
      </c>
      <c r="Q14" s="3533">
        <f t="shared" ref="Q14" si="31">Q15</f>
        <v>-389.13356385848732</v>
      </c>
      <c r="R14" s="3533" t="str">
        <f t="shared" ref="R14" si="32">R15</f>
        <v>IE</v>
      </c>
      <c r="S14" s="3534">
        <f t="shared" ref="S14" si="33">S15</f>
        <v>2234.237752881279</v>
      </c>
      <c r="U14" s="493"/>
    </row>
    <row r="15" spans="2:21" ht="18" customHeight="1" x14ac:dyDescent="0.2">
      <c r="B15" s="491"/>
      <c r="C15" s="498" t="s">
        <v>409</v>
      </c>
      <c r="D15" s="3509">
        <f>IF(SUM(E15:F15)=0,E15,SUM(E15:F15))</f>
        <v>2272.0498264549356</v>
      </c>
      <c r="E15" s="3510">
        <v>2272.0498264549356</v>
      </c>
      <c r="F15" s="3496" t="s">
        <v>274</v>
      </c>
      <c r="G15" s="3500" t="str">
        <f t="shared" si="5"/>
        <v>NA</v>
      </c>
      <c r="H15" s="3057">
        <f t="shared" si="6"/>
        <v>-3.2406030260250296E-2</v>
      </c>
      <c r="I15" s="3057">
        <f t="shared" si="7"/>
        <v>-3.2406030260250296E-2</v>
      </c>
      <c r="J15" s="3057">
        <f t="shared" si="8"/>
        <v>-6.4512621146579602E-2</v>
      </c>
      <c r="K15" s="3514">
        <f t="shared" si="9"/>
        <v>-0.17126981958210391</v>
      </c>
      <c r="L15" s="3106" t="str">
        <f t="shared" si="10"/>
        <v>NA</v>
      </c>
      <c r="M15" s="2917" t="s">
        <v>274</v>
      </c>
      <c r="N15" s="2917">
        <v>-73.628115428895072</v>
      </c>
      <c r="O15" s="3087">
        <f>IF(SUM(M15:N15)=0,M15,SUM(M15:N15))</f>
        <v>-73.628115428895072</v>
      </c>
      <c r="P15" s="2917">
        <v>-146.57588968023919</v>
      </c>
      <c r="Q15" s="2918">
        <v>-389.13356385848732</v>
      </c>
      <c r="R15" s="2918" t="s">
        <v>274</v>
      </c>
      <c r="S15" s="3534">
        <f>IF(SUM(O15:R15)=0,Q15,SUM(O15:R15)*-44/12)</f>
        <v>2234.237752881279</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518591.05546609627</v>
      </c>
      <c r="E10" s="3523">
        <f t="shared" ref="E10:F10" si="0">IF(SUM(E11,E15)=0,"IE",SUM(E11,E15))</f>
        <v>518590.05546609627</v>
      </c>
      <c r="F10" s="3524">
        <f t="shared" si="0"/>
        <v>1</v>
      </c>
      <c r="G10" s="3500">
        <f>IFERROR(IF(SUM($D10)=0,"NA",M10/$D10),"NA")</f>
        <v>3.7625749987008425E-4</v>
      </c>
      <c r="H10" s="3523">
        <f t="shared" ref="H10:J10" si="1">IFERROR(IF(SUM($D10)=0,"NA",N10/$D10),"NA")</f>
        <v>-1.5315369209176812E-2</v>
      </c>
      <c r="I10" s="3523">
        <f t="shared" si="1"/>
        <v>-1.4939111709306728E-2</v>
      </c>
      <c r="J10" s="3523">
        <f t="shared" si="1"/>
        <v>-5.9375787643132462E-3</v>
      </c>
      <c r="K10" s="3525">
        <f>IFERROR(IF(SUM(E10)=0,"NA",Q10/E10),"NA")</f>
        <v>-3.4484802981895775E-3</v>
      </c>
      <c r="L10" s="3524">
        <f>IFERROR(IF(SUM(F10)=0,"NA",R10/F10),"NA")</f>
        <v>-8.7249999999999996</v>
      </c>
      <c r="M10" s="3526">
        <f>IF(SUM(M11,M15)=0,"IE",SUM(M11,M15))</f>
        <v>195.12377398466157</v>
      </c>
      <c r="N10" s="3523">
        <f t="shared" ref="N10:S10" si="2">IF(SUM(N11,N15)=0,"IE",SUM(N11,N15))</f>
        <v>-7942.4134830399553</v>
      </c>
      <c r="O10" s="3527">
        <f t="shared" si="2"/>
        <v>-7747.2897090552933</v>
      </c>
      <c r="P10" s="3523">
        <f t="shared" si="2"/>
        <v>-3079.1752382982859</v>
      </c>
      <c r="Q10" s="3525">
        <f t="shared" si="2"/>
        <v>-1788.3475891118733</v>
      </c>
      <c r="R10" s="3525">
        <f t="shared" si="2"/>
        <v>-8.7249999999999996</v>
      </c>
      <c r="S10" s="3528">
        <f t="shared" si="2"/>
        <v>46286.304300373326</v>
      </c>
      <c r="U10" s="2287"/>
    </row>
    <row r="11" spans="2:21" ht="18" customHeight="1" x14ac:dyDescent="0.2">
      <c r="B11" s="483" t="s">
        <v>1259</v>
      </c>
      <c r="C11" s="473"/>
      <c r="D11" s="3539">
        <f>IF(SUM(D12:D14)=0,"IE",SUM(D12:D14))</f>
        <v>504974.19810365402</v>
      </c>
      <c r="E11" s="3505">
        <f t="shared" ref="E11:F11" si="3">IF(SUM(E12:E14)=0,"IE",SUM(E12:E14))</f>
        <v>504974.19810365402</v>
      </c>
      <c r="F11" s="3506" t="str">
        <f t="shared" si="3"/>
        <v>IE</v>
      </c>
      <c r="G11" s="3539">
        <f t="shared" ref="G11:G26" si="4">IFERROR(IF(SUM($D11)=0,"NA",M11/$D11),"NA")</f>
        <v>3.8640345331982548E-4</v>
      </c>
      <c r="H11" s="3087" t="str">
        <f t="shared" ref="H11:H26" si="5">IFERROR(IF(SUM($D11)=0,"NA",N11/$D11),"NA")</f>
        <v>NA</v>
      </c>
      <c r="I11" s="3087">
        <f t="shared" ref="I11:I26" si="6">IFERROR(IF(SUM($D11)=0,"NA",O11/$D11),"NA")</f>
        <v>3.8640345331982548E-4</v>
      </c>
      <c r="J11" s="3087">
        <f t="shared" ref="J11:J26" si="7">IFERROR(IF(SUM($D11)=0,"NA",P11/$D11),"NA")</f>
        <v>-7.2083533636553554E-4</v>
      </c>
      <c r="K11" s="3507">
        <f t="shared" ref="K11:K26" si="8">IFERROR(IF(SUM(E11)=0,"NA",Q11/E11),"NA")</f>
        <v>-7.2985709465464847E-4</v>
      </c>
      <c r="L11" s="3216" t="str">
        <f t="shared" ref="L11:L26" si="9">IFERROR(IF(SUM(F11)=0,"NA",R11/F11),"NA")</f>
        <v>NA</v>
      </c>
      <c r="M11" s="3087">
        <f>IF(SUM(M12:M14)=0,"IE",SUM(M12:M14))</f>
        <v>195.12377398466157</v>
      </c>
      <c r="N11" s="3087" t="str">
        <f t="shared" ref="N11:O11" si="10">IF(SUM(N12:N14)=0,"IE",SUM(N12:N14))</f>
        <v>IE</v>
      </c>
      <c r="O11" s="3087">
        <f t="shared" si="10"/>
        <v>195.12377398466157</v>
      </c>
      <c r="P11" s="3087">
        <f t="shared" ref="P11" si="11">IF(SUM(P12:P14)=0,"IE",SUM(P12:P14))</f>
        <v>-364.00324594596401</v>
      </c>
      <c r="Q11" s="3507">
        <f t="shared" ref="Q11" si="12">IF(SUM(Q12:Q14)=0,"IE",SUM(Q12:Q14))</f>
        <v>-368.55900110349381</v>
      </c>
      <c r="R11" s="3507" t="str">
        <f t="shared" ref="R11" si="13">IF(SUM(R12:R14)=0,"IE",SUM(R12:R14))</f>
        <v>IE</v>
      </c>
      <c r="S11" s="3508">
        <f t="shared" ref="S11" si="14">IF(SUM(S12:S14)=0,"IE",SUM(S12:S14))</f>
        <v>1970.6077345709195</v>
      </c>
      <c r="U11" s="2423"/>
    </row>
    <row r="12" spans="2:21" ht="18" customHeight="1" x14ac:dyDescent="0.2">
      <c r="B12" s="489"/>
      <c r="C12" s="474" t="s">
        <v>1391</v>
      </c>
      <c r="D12" s="3500">
        <f>IF(SUM(E12:F12)=0,E12,SUM(E12:F12))</f>
        <v>69820.727480068104</v>
      </c>
      <c r="E12" s="3510">
        <v>69820.727480068104</v>
      </c>
      <c r="F12" s="3496" t="s">
        <v>274</v>
      </c>
      <c r="G12" s="3500">
        <f t="shared" si="4"/>
        <v>1.1347143351298416E-3</v>
      </c>
      <c r="H12" s="3057" t="str">
        <f t="shared" si="5"/>
        <v>NA</v>
      </c>
      <c r="I12" s="3057">
        <f t="shared" si="6"/>
        <v>1.1347143351298416E-3</v>
      </c>
      <c r="J12" s="3057">
        <f t="shared" si="7"/>
        <v>2.2694286702596797E-4</v>
      </c>
      <c r="K12" s="3514">
        <f t="shared" si="8"/>
        <v>9.0777146810387189E-4</v>
      </c>
      <c r="L12" s="3106" t="str">
        <f t="shared" si="9"/>
        <v>NA</v>
      </c>
      <c r="M12" s="2917">
        <v>79.226580360827342</v>
      </c>
      <c r="N12" s="2917" t="s">
        <v>274</v>
      </c>
      <c r="O12" s="3087">
        <f>IF(SUM(M12:N12)=0,M12,SUM(M12:N12))</f>
        <v>79.226580360827342</v>
      </c>
      <c r="P12" s="2917">
        <v>15.845316072165444</v>
      </c>
      <c r="Q12" s="2918">
        <v>63.381264288661775</v>
      </c>
      <c r="R12" s="2918" t="s">
        <v>274</v>
      </c>
      <c r="S12" s="3511">
        <f>IF(SUM(O12:R12)=0,Q12,SUM(O12:R12)*-44/12)</f>
        <v>-580.99492264606681</v>
      </c>
      <c r="U12" s="2424"/>
    </row>
    <row r="13" spans="2:21" ht="18" customHeight="1" x14ac:dyDescent="0.2">
      <c r="B13" s="489"/>
      <c r="C13" s="474" t="s">
        <v>1392</v>
      </c>
      <c r="D13" s="3500">
        <f>IF(SUM(E13:F13)=0,E13,SUM(E13:F13))</f>
        <v>435153.47062358592</v>
      </c>
      <c r="E13" s="3510">
        <v>435153.47062358592</v>
      </c>
      <c r="F13" s="3496" t="s">
        <v>274</v>
      </c>
      <c r="G13" s="3500" t="str">
        <f t="shared" si="4"/>
        <v>NA</v>
      </c>
      <c r="H13" s="3057" t="str">
        <f t="shared" si="5"/>
        <v>NA</v>
      </c>
      <c r="I13" s="3057" t="str">
        <f t="shared" si="6"/>
        <v>NA</v>
      </c>
      <c r="J13" s="3057" t="str">
        <f t="shared" si="7"/>
        <v>NA</v>
      </c>
      <c r="K13" s="3514">
        <f t="shared" si="8"/>
        <v>-9.9261592645273925E-4</v>
      </c>
      <c r="L13" s="3106" t="str">
        <f t="shared" si="9"/>
        <v>NA</v>
      </c>
      <c r="M13" s="2917" t="s">
        <v>205</v>
      </c>
      <c r="N13" s="2917" t="s">
        <v>205</v>
      </c>
      <c r="O13" s="3087" t="str">
        <f>IF(SUM(M13:N13)=0,M13,SUM(M13:N13))</f>
        <v>NA</v>
      </c>
      <c r="P13" s="2917" t="s">
        <v>205</v>
      </c>
      <c r="Q13" s="2918">
        <v>-431.9402653921556</v>
      </c>
      <c r="R13" s="2918" t="s">
        <v>274</v>
      </c>
      <c r="S13" s="3511">
        <f>IF(SUM(O13:R13)=0,Q13,SUM(O13:R13)*-44/12)</f>
        <v>1583.7809731045706</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115.89719362383424</v>
      </c>
      <c r="N14" s="2917" t="s">
        <v>274</v>
      </c>
      <c r="O14" s="3087">
        <f>IF(SUM(M14:N14)=0,M14,SUM(M14:N14))</f>
        <v>115.89719362383424</v>
      </c>
      <c r="P14" s="2917">
        <v>-379.84856201812943</v>
      </c>
      <c r="Q14" s="2918" t="s">
        <v>205</v>
      </c>
      <c r="R14" s="2918" t="s">
        <v>205</v>
      </c>
      <c r="S14" s="3511">
        <f>IF(SUM(O14:R14)=0,Q14,SUM(O14:R14)*-44/12)</f>
        <v>967.82168411241571</v>
      </c>
      <c r="U14" s="2424"/>
    </row>
    <row r="15" spans="2:21" ht="18" customHeight="1" x14ac:dyDescent="0.2">
      <c r="B15" s="475" t="s">
        <v>1394</v>
      </c>
      <c r="C15" s="476"/>
      <c r="D15" s="3529">
        <f>IF(SUM(D16,D19,D21,D23,D25)=0,"IE",SUM(D16,D19,D21,D23,D25))</f>
        <v>13616.85736244227</v>
      </c>
      <c r="E15" s="3531">
        <f t="shared" ref="E15:F15" si="15">IF(SUM(E16,E19,E21,E23,E25)=0,"IE",SUM(E16,E19,E21,E23,E25))</f>
        <v>13615.85736244227</v>
      </c>
      <c r="F15" s="3535">
        <f t="shared" si="15"/>
        <v>1</v>
      </c>
      <c r="G15" s="3500" t="str">
        <f t="shared" si="4"/>
        <v>NA</v>
      </c>
      <c r="H15" s="3057">
        <f t="shared" si="5"/>
        <v>-0.58327801133810464</v>
      </c>
      <c r="I15" s="3057">
        <f t="shared" si="6"/>
        <v>-0.58327801133810464</v>
      </c>
      <c r="J15" s="3057">
        <f t="shared" si="7"/>
        <v>-0.19939784342907582</v>
      </c>
      <c r="K15" s="3514">
        <f t="shared" si="8"/>
        <v>-0.1042746373008209</v>
      </c>
      <c r="L15" s="3106">
        <f t="shared" si="9"/>
        <v>-8.7249999999999996</v>
      </c>
      <c r="M15" s="3530" t="str">
        <f>IF(SUM(M16,M19,M21,M23,M25)=0,"IE",SUM(M16,M19,M21,M23,M25))</f>
        <v>IE</v>
      </c>
      <c r="N15" s="3531">
        <f t="shared" ref="N15:S15" si="16">IF(SUM(N16,N19,N21,N23,N25)=0,"IE",SUM(N16,N19,N21,N23,N25))</f>
        <v>-7942.4134830399553</v>
      </c>
      <c r="O15" s="3532">
        <f t="shared" si="16"/>
        <v>-7942.4134830399553</v>
      </c>
      <c r="P15" s="3532">
        <f t="shared" si="16"/>
        <v>-2715.1719923523219</v>
      </c>
      <c r="Q15" s="3532">
        <f t="shared" si="16"/>
        <v>-1419.7885880083795</v>
      </c>
      <c r="R15" s="3532">
        <f t="shared" si="16"/>
        <v>-8.7249999999999996</v>
      </c>
      <c r="S15" s="3534">
        <f t="shared" si="16"/>
        <v>44315.696565802406</v>
      </c>
      <c r="U15" s="2048"/>
    </row>
    <row r="16" spans="2:21" ht="18" customHeight="1" x14ac:dyDescent="0.2">
      <c r="B16" s="490" t="s">
        <v>1395</v>
      </c>
      <c r="C16" s="476"/>
      <c r="D16" s="3539">
        <f>IF(SUM(D17:D18)=0,"IE",SUM(D17:D18))</f>
        <v>13567.979929905723</v>
      </c>
      <c r="E16" s="3505">
        <f t="shared" ref="E16:F16" si="17">IF(SUM(E17:E18)=0,"IE",SUM(E17:E18))</f>
        <v>13567.979929905723</v>
      </c>
      <c r="F16" s="3506" t="str">
        <f t="shared" si="17"/>
        <v>IE</v>
      </c>
      <c r="G16" s="3500" t="str">
        <f t="shared" si="4"/>
        <v>NA</v>
      </c>
      <c r="H16" s="3057">
        <f t="shared" si="5"/>
        <v>-0.58537921813502736</v>
      </c>
      <c r="I16" s="3057">
        <f t="shared" si="6"/>
        <v>-0.58537921813502736</v>
      </c>
      <c r="J16" s="3057">
        <f t="shared" si="7"/>
        <v>-0.20011615630177221</v>
      </c>
      <c r="K16" s="3514">
        <f t="shared" si="8"/>
        <v>-9.5916621170696936E-2</v>
      </c>
      <c r="L16" s="3106" t="str">
        <f t="shared" si="9"/>
        <v>NA</v>
      </c>
      <c r="M16" s="3057" t="str">
        <f>IF(SUM(M17:M18)=0,"IE",SUM(M17:M18))</f>
        <v>IE</v>
      </c>
      <c r="N16" s="3057">
        <f t="shared" ref="N16:O16" si="18">IF(SUM(N17:N18)=0,"IE",SUM(N17:N18))</f>
        <v>-7942.4134830399553</v>
      </c>
      <c r="O16" s="3057">
        <f t="shared" si="18"/>
        <v>-7942.4134830399553</v>
      </c>
      <c r="P16" s="3057">
        <f t="shared" ref="P16" si="19">IF(SUM(P17:P18)=0,"IE",SUM(P17:P18))</f>
        <v>-2715.1719923523219</v>
      </c>
      <c r="Q16" s="3514">
        <f t="shared" ref="Q16" si="20">IF(SUM(Q17:Q18)=0,"IE",SUM(Q17:Q18))</f>
        <v>-1301.3947909883864</v>
      </c>
      <c r="R16" s="3514" t="str">
        <f t="shared" ref="R16" si="21">IF(SUM(R17:R18)=0,"IE",SUM(R17:R18))</f>
        <v>IE</v>
      </c>
      <c r="S16" s="3511">
        <f t="shared" ref="S16" si="22">IF(SUM(S17:S18)=0,"IE",SUM(S17:S18))</f>
        <v>43849.594310062428</v>
      </c>
      <c r="U16" s="2048"/>
    </row>
    <row r="17" spans="2:21" ht="18" customHeight="1" x14ac:dyDescent="0.2">
      <c r="B17" s="490"/>
      <c r="C17" s="474" t="s">
        <v>1396</v>
      </c>
      <c r="D17" s="3500">
        <f>IF(SUM(E17:F17)=0,E17,SUM(E17:F17))</f>
        <v>13567.979929905723</v>
      </c>
      <c r="E17" s="3510">
        <v>13567.979929905723</v>
      </c>
      <c r="F17" s="3496" t="s">
        <v>274</v>
      </c>
      <c r="G17" s="3500" t="str">
        <f t="shared" si="4"/>
        <v>NA</v>
      </c>
      <c r="H17" s="3057">
        <f t="shared" si="5"/>
        <v>-0.58459257509843465</v>
      </c>
      <c r="I17" s="3057">
        <f t="shared" si="6"/>
        <v>-0.58459257509843465</v>
      </c>
      <c r="J17" s="3057">
        <f t="shared" si="7"/>
        <v>-0.20009286895645276</v>
      </c>
      <c r="K17" s="3514">
        <f t="shared" si="8"/>
        <v>-9.5916621170696936E-2</v>
      </c>
      <c r="L17" s="3106" t="str">
        <f t="shared" si="9"/>
        <v>NA</v>
      </c>
      <c r="M17" s="2917" t="s">
        <v>274</v>
      </c>
      <c r="N17" s="2917">
        <v>-7931.7403261074651</v>
      </c>
      <c r="O17" s="3087">
        <f>IF(SUM(M17:N17)=0,M17,SUM(M17:N17))</f>
        <v>-7931.7403261074651</v>
      </c>
      <c r="P17" s="2917">
        <v>-2714.856030118407</v>
      </c>
      <c r="Q17" s="2918">
        <v>-1301.3947909883864</v>
      </c>
      <c r="R17" s="2918" t="s">
        <v>274</v>
      </c>
      <c r="S17" s="3511">
        <f>IF(SUM(O17:R17)=0,Q17,SUM(O17:R17)*-44/12)</f>
        <v>43809.300873118947</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-10.673156932489871</v>
      </c>
      <c r="O18" s="3087">
        <f>IF(SUM(M18:N18)=0,M18,SUM(M18:N18))</f>
        <v>-10.673156932489871</v>
      </c>
      <c r="P18" s="2917">
        <v>-0.31596223391492001</v>
      </c>
      <c r="Q18" s="2918" t="s">
        <v>205</v>
      </c>
      <c r="R18" s="2918" t="s">
        <v>205</v>
      </c>
      <c r="S18" s="3511">
        <f>IF(SUM(O18:R18)=0,Q18,SUM(O18:R18)*-44/12)</f>
        <v>40.293436943484231</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13288.582227046449</v>
      </c>
      <c r="E10" s="3523">
        <f>IF(SUM(E11,E23)=0,"IE",SUM(E11,E23))</f>
        <v>13233.674846656328</v>
      </c>
      <c r="F10" s="3524">
        <f>IF(SUM(F11,F23)=0,"IE",SUM(F11,F23))</f>
        <v>54.907380390120181</v>
      </c>
      <c r="G10" s="4317" t="str">
        <f>IFERROR(IF(SUM($D10)=0,"NA",M10/$D10),"NA")</f>
        <v>NA</v>
      </c>
      <c r="H10" s="4318">
        <f t="shared" ref="H10:J10" si="0">IFERROR(IF(SUM($D10)=0,"NA",N10/$D10),"NA")</f>
        <v>-2.4748771069996154E-2</v>
      </c>
      <c r="I10" s="4319">
        <f t="shared" si="0"/>
        <v>-2.4748771069996154E-2</v>
      </c>
      <c r="J10" s="4318">
        <f t="shared" si="0"/>
        <v>-2.140010688545909E-3</v>
      </c>
      <c r="K10" s="4318">
        <f>IFERROR(IF(SUM(E10)=0,"NA",Q10/E10),"NA")</f>
        <v>-2.011301048853744E-3</v>
      </c>
      <c r="L10" s="4320" t="str">
        <f>IFERROR(IF(SUM(F10)=0,"NA",R10/F10),"NA")</f>
        <v>NA</v>
      </c>
      <c r="M10" s="4319" t="str">
        <f t="shared" ref="M10:S10" si="1">IF(SUM(M11,M23)=0,"IE",SUM(M11,M23))</f>
        <v>IE</v>
      </c>
      <c r="N10" s="4318">
        <f t="shared" si="1"/>
        <v>-328.87607938199221</v>
      </c>
      <c r="O10" s="4319">
        <f t="shared" si="1"/>
        <v>-328.87607938199221</v>
      </c>
      <c r="P10" s="4318">
        <f t="shared" si="1"/>
        <v>-28.437708001500599</v>
      </c>
      <c r="Q10" s="4321">
        <f t="shared" si="1"/>
        <v>-26.616904099269281</v>
      </c>
      <c r="R10" s="4321" t="str">
        <f t="shared" si="1"/>
        <v>IE</v>
      </c>
      <c r="S10" s="3528">
        <f t="shared" si="1"/>
        <v>1407.7458687701276</v>
      </c>
      <c r="U10" s="4322"/>
    </row>
    <row r="11" spans="1:23" ht="18" customHeight="1" x14ac:dyDescent="0.2">
      <c r="B11" s="491" t="s">
        <v>1262</v>
      </c>
      <c r="C11" s="473"/>
      <c r="D11" s="4323">
        <f>IF(SUM(D12,D14,D17)=0,"IE",SUM(D12,D14,D17))</f>
        <v>13238.279780122002</v>
      </c>
      <c r="E11" s="3542">
        <f t="shared" ref="E11:S11" si="2">IF(SUM(E12,E14,E17)=0,"IE",SUM(E12,E14,E17))</f>
        <v>13183.372399731881</v>
      </c>
      <c r="F11" s="3543">
        <f t="shared" si="2"/>
        <v>54.907380390120181</v>
      </c>
      <c r="G11" s="4324" t="str">
        <f t="shared" ref="G11:G56" si="3">IFERROR(IF(SUM($D11)=0,"NA",M11/$D11),"NA")</f>
        <v>NA</v>
      </c>
      <c r="H11" s="4325">
        <f t="shared" ref="H11:H56" si="4">IFERROR(IF(SUM($D11)=0,"NA",N11/$D11),"NA")</f>
        <v>-2.4349209471077347E-2</v>
      </c>
      <c r="I11" s="4326">
        <f t="shared" ref="I11:I56" si="5">IFERROR(IF(SUM($D11)=0,"NA",O11/$D11),"NA")</f>
        <v>-2.4349209471077347E-2</v>
      </c>
      <c r="J11" s="4325">
        <f t="shared" ref="J11:J56" si="6">IFERROR(IF(SUM($D11)=0,"NA",P11/$D11),"NA")</f>
        <v>-2.1481422415774417E-3</v>
      </c>
      <c r="K11" s="4325">
        <f t="shared" ref="K11:K56" si="7">IFERROR(IF(SUM(E11)=0,"NA",Q11/E11),"NA")</f>
        <v>-2.0189753647413167E-3</v>
      </c>
      <c r="L11" s="4327" t="str">
        <f t="shared" ref="L11:L56" si="8">IFERROR(IF(SUM(F11)=0,"NA",R11/F11),"NA")</f>
        <v>NA</v>
      </c>
      <c r="M11" s="4326" t="str">
        <f t="shared" si="2"/>
        <v>IE</v>
      </c>
      <c r="N11" s="4325">
        <f t="shared" si="2"/>
        <v>-322.3416474029184</v>
      </c>
      <c r="O11" s="4326">
        <f t="shared" si="2"/>
        <v>-322.3416474029184</v>
      </c>
      <c r="P11" s="4325">
        <f t="shared" si="2"/>
        <v>-28.437708001500599</v>
      </c>
      <c r="Q11" s="4328">
        <f t="shared" si="2"/>
        <v>-26.616904099269281</v>
      </c>
      <c r="R11" s="4328" t="str">
        <f t="shared" si="2"/>
        <v>IE</v>
      </c>
      <c r="S11" s="3544">
        <f t="shared" si="2"/>
        <v>1383.7862848468569</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762.65559083423182</v>
      </c>
      <c r="E14" s="3505">
        <f>IF(SUM(E15:E16)=0,"IE",SUM(E15:E16))</f>
        <v>762.65559083423182</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535.48540000000003</v>
      </c>
      <c r="E15" s="3510">
        <v>535.48540000000003</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12475.62418928777</v>
      </c>
      <c r="E17" s="3505">
        <f>IF(SUM(E18:E21)=0,"IE",SUM(E18:E21))</f>
        <v>12420.716808897649</v>
      </c>
      <c r="F17" s="3506">
        <f>IF(SUM(F18:F21)=0,"IE",SUM(F18:F21))</f>
        <v>54.907380390120181</v>
      </c>
      <c r="G17" s="3545" t="str">
        <f t="shared" si="3"/>
        <v>NA</v>
      </c>
      <c r="H17" s="3531">
        <f t="shared" si="4"/>
        <v>-2.5837717016171262E-2</v>
      </c>
      <c r="I17" s="3546">
        <f t="shared" si="5"/>
        <v>-2.5837717016171262E-2</v>
      </c>
      <c r="J17" s="3531">
        <f t="shared" si="6"/>
        <v>-2.2794617383488291E-3</v>
      </c>
      <c r="K17" s="3531">
        <f t="shared" si="7"/>
        <v>-2.1429442848420886E-3</v>
      </c>
      <c r="L17" s="3535" t="str">
        <f t="shared" si="8"/>
        <v>NA</v>
      </c>
      <c r="M17" s="3505" t="str">
        <f t="shared" ref="M17:S17" si="16">IF(SUM(M18:M21)=0,"IE",SUM(M18:M21))</f>
        <v>IE</v>
      </c>
      <c r="N17" s="4325">
        <f t="shared" si="16"/>
        <v>-322.3416474029184</v>
      </c>
      <c r="O17" s="4326">
        <f t="shared" si="16"/>
        <v>-322.3416474029184</v>
      </c>
      <c r="P17" s="4325">
        <f t="shared" si="16"/>
        <v>-28.437708001500599</v>
      </c>
      <c r="Q17" s="4328">
        <f t="shared" si="16"/>
        <v>-26.616904099269281</v>
      </c>
      <c r="R17" s="4328" t="str">
        <f t="shared" si="16"/>
        <v>IE</v>
      </c>
      <c r="S17" s="4332">
        <f t="shared" si="16"/>
        <v>1383.7862848468569</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-1.9376501695426141E-2</v>
      </c>
      <c r="I18" s="3554">
        <f t="shared" si="5"/>
        <v>-1.9376501695426141E-2</v>
      </c>
      <c r="J18" s="3553">
        <f t="shared" si="6"/>
        <v>-3.8753003390852294E-3</v>
      </c>
      <c r="K18" s="3553">
        <f t="shared" si="7"/>
        <v>-1.5501201356340918E-2</v>
      </c>
      <c r="L18" s="3555" t="str">
        <f t="shared" si="8"/>
        <v>NA</v>
      </c>
      <c r="M18" s="3547" t="s">
        <v>274</v>
      </c>
      <c r="N18" s="3548">
        <v>-33.271130124086589</v>
      </c>
      <c r="O18" s="3087">
        <f>IF(SUM(M18:N18)=0,M18,SUM(M18:N18))</f>
        <v>-33.271130124086589</v>
      </c>
      <c r="P18" s="3548">
        <v>-6.6542260248173202</v>
      </c>
      <c r="Q18" s="3549">
        <v>-26.616904099269281</v>
      </c>
      <c r="R18" s="3556" t="s">
        <v>274</v>
      </c>
      <c r="S18" s="3511">
        <f>IF(SUM(O18:R18)=0,Q18,SUM(O18:R18)*-44/12)</f>
        <v>243.98828757663503</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-289.0705172788318</v>
      </c>
      <c r="O19" s="3087">
        <f t="shared" ref="O19:O22" si="18">IF(SUM(M19:N19)=0,M19,SUM(M19:N19))</f>
        <v>-289.0705172788318</v>
      </c>
      <c r="P19" s="3548">
        <v>-21.78348197668328</v>
      </c>
      <c r="Q19" s="3551" t="s">
        <v>205</v>
      </c>
      <c r="R19" s="3550" t="s">
        <v>205</v>
      </c>
      <c r="S19" s="3511">
        <f t="shared" ref="S19:S22" si="19">IF(SUM(O19:R19)=0,Q19,SUM(O19:R19)*-44/12)</f>
        <v>1139.7979972702219</v>
      </c>
      <c r="T19" s="2519"/>
      <c r="U19" s="2699"/>
      <c r="V19" s="2519"/>
      <c r="W19" s="2519"/>
    </row>
    <row r="20" spans="1:23" ht="18" customHeight="1" x14ac:dyDescent="0.2">
      <c r="A20" s="2519"/>
      <c r="B20" s="2698"/>
      <c r="C20" s="4316" t="s">
        <v>1414</v>
      </c>
      <c r="D20" s="3500">
        <f t="shared" si="17"/>
        <v>10703.630275576708</v>
      </c>
      <c r="E20" s="4335">
        <v>10703.630275576708</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54.907380390120181</v>
      </c>
      <c r="E21" s="3505" t="str">
        <f t="shared" ref="E21:F21" si="20">E22</f>
        <v>IE</v>
      </c>
      <c r="F21" s="3506">
        <f t="shared" si="20"/>
        <v>54.907380390120181</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54.907380390120181</v>
      </c>
      <c r="E22" s="3510" t="s">
        <v>274</v>
      </c>
      <c r="F22" s="3496">
        <v>54.907380390120181</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50.302446924447331</v>
      </c>
      <c r="E23" s="3531">
        <f t="shared" ref="E23:F23" si="22">IF(SUM(E24,E35,E46)=0,"IE",SUM(E24,E35,E46))</f>
        <v>50.302446924447331</v>
      </c>
      <c r="F23" s="3535" t="str">
        <f t="shared" si="22"/>
        <v>IE</v>
      </c>
      <c r="G23" s="3545" t="str">
        <f t="shared" si="3"/>
        <v>NA</v>
      </c>
      <c r="H23" s="3531">
        <f t="shared" si="4"/>
        <v>-0.1299028651407019</v>
      </c>
      <c r="I23" s="3546">
        <f t="shared" si="5"/>
        <v>-0.1299028651407019</v>
      </c>
      <c r="J23" s="3531" t="str">
        <f t="shared" si="6"/>
        <v>NA</v>
      </c>
      <c r="K23" s="3531" t="str">
        <f t="shared" si="7"/>
        <v>NA</v>
      </c>
      <c r="L23" s="3535" t="str">
        <f t="shared" si="8"/>
        <v>NA</v>
      </c>
      <c r="M23" s="3531" t="str">
        <f t="shared" ref="M23" si="23">IF(SUM(M24,M35,M46)=0,"IE",SUM(M24,M35,M46))</f>
        <v>IE</v>
      </c>
      <c r="N23" s="3531">
        <f t="shared" ref="N23" si="24">IF(SUM(N24,N35,N46)=0,"IE",SUM(N24,N35,N46))</f>
        <v>-6.5344319790737968</v>
      </c>
      <c r="O23" s="3546">
        <f t="shared" ref="O23" si="25">IF(SUM(O24,O35,O46)=0,"IE",SUM(O24,O35,O46))</f>
        <v>-6.5344319790737968</v>
      </c>
      <c r="P23" s="3531" t="str">
        <f>IF(SUM(P24,P35,P46)=0,"NO",SUM(P24,P35,P46))</f>
        <v>NO</v>
      </c>
      <c r="Q23" s="3530" t="str">
        <f>IF(SUM(Q24,Q35,Q46)=0,"NO",SUM(Q24,Q35,Q46))</f>
        <v>NO</v>
      </c>
      <c r="R23" s="3530" t="str">
        <f>IF(SUM(R24,R35,R46)=0,"NO",SUM(R24,R35,R46))</f>
        <v>NO</v>
      </c>
      <c r="S23" s="3534">
        <f t="shared" ref="S23" si="26">IF(SUM(S24,S35,S46)=0,"IE",SUM(S24,S35,S46))</f>
        <v>23.959583923270589</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50.302446924447331</v>
      </c>
      <c r="E35" s="3531">
        <f>IF(SUM(E36,E38,E40,E42,E44)=0,"IE",SUM(E36,E38,E40,E42,E44))</f>
        <v>50.302446924447331</v>
      </c>
      <c r="F35" s="3535" t="str">
        <f>IF(SUM(F36,F38,F40,F42,F44)=0,"IE",SUM(F36,F38,F40,F42,F44))</f>
        <v>IE</v>
      </c>
      <c r="G35" s="3545" t="str">
        <f t="shared" si="3"/>
        <v>NA</v>
      </c>
      <c r="H35" s="3531">
        <f t="shared" si="4"/>
        <v>-0.1299028651407019</v>
      </c>
      <c r="I35" s="3546">
        <f t="shared" si="5"/>
        <v>-0.1299028651407019</v>
      </c>
      <c r="J35" s="3531" t="str">
        <f t="shared" si="6"/>
        <v>NA</v>
      </c>
      <c r="K35" s="3531" t="str">
        <f t="shared" si="7"/>
        <v>NA</v>
      </c>
      <c r="L35" s="3535" t="str">
        <f t="shared" si="8"/>
        <v>NA</v>
      </c>
      <c r="M35" s="3531" t="str">
        <f t="shared" ref="M35:S35" si="48">IF(SUM(M36,M38,M40,M42,M44)=0,"IE",SUM(M36,M38,M40,M42,M44))</f>
        <v>IE</v>
      </c>
      <c r="N35" s="3531">
        <f t="shared" si="48"/>
        <v>-6.5344319790737968</v>
      </c>
      <c r="O35" s="3546">
        <f t="shared" si="48"/>
        <v>-6.5344319790737968</v>
      </c>
      <c r="P35" s="3531" t="str">
        <f>IF(SUM(P36,P38,P40,P42,P44)=0,"NO",SUM(P36,P38,P40,P42,P44))</f>
        <v>NO</v>
      </c>
      <c r="Q35" s="3530" t="str">
        <f>IF(SUM(Q36,Q38,Q40,Q42,Q44)=0,"NO",SUM(Q36,Q38,Q40,Q42,Q44))</f>
        <v>NO</v>
      </c>
      <c r="R35" s="3530" t="str">
        <f>IF(SUM(R36,R38,R40,R42,R44)=0,"NO",SUM(R36,R38,R40,R42,R44))</f>
        <v>NO</v>
      </c>
      <c r="S35" s="3534">
        <f t="shared" si="48"/>
        <v>23.959583923270589</v>
      </c>
      <c r="U35" s="493"/>
    </row>
    <row r="36" spans="2:21" ht="18" customHeight="1" x14ac:dyDescent="0.2">
      <c r="B36" s="495" t="s">
        <v>1424</v>
      </c>
      <c r="C36" s="476"/>
      <c r="D36" s="3500">
        <f>D37</f>
        <v>50.302446924447331</v>
      </c>
      <c r="E36" s="3505">
        <f t="shared" ref="E36:F36" si="49">E37</f>
        <v>50.302446924447331</v>
      </c>
      <c r="F36" s="3506" t="str">
        <f t="shared" si="49"/>
        <v>IE</v>
      </c>
      <c r="G36" s="3500" t="str">
        <f t="shared" si="3"/>
        <v>NA</v>
      </c>
      <c r="H36" s="3057">
        <f t="shared" si="4"/>
        <v>-0.1299028651407019</v>
      </c>
      <c r="I36" s="3057">
        <f t="shared" si="5"/>
        <v>-0.1299028651407019</v>
      </c>
      <c r="J36" s="3057" t="str">
        <f t="shared" si="6"/>
        <v>NA</v>
      </c>
      <c r="K36" s="3514" t="str">
        <f t="shared" si="7"/>
        <v>NA</v>
      </c>
      <c r="L36" s="3106" t="str">
        <f t="shared" si="8"/>
        <v>NA</v>
      </c>
      <c r="M36" s="4170" t="str">
        <f t="shared" ref="M36:S36" si="50">M37</f>
        <v>IE</v>
      </c>
      <c r="N36" s="3057">
        <f t="shared" si="50"/>
        <v>-6.5344319790737968</v>
      </c>
      <c r="O36" s="3057">
        <f t="shared" si="50"/>
        <v>-6.5344319790737968</v>
      </c>
      <c r="P36" s="3057" t="str">
        <f t="shared" si="50"/>
        <v>NA</v>
      </c>
      <c r="Q36" s="3514" t="str">
        <f t="shared" si="50"/>
        <v>NA</v>
      </c>
      <c r="R36" s="3514" t="str">
        <f t="shared" si="50"/>
        <v>NA</v>
      </c>
      <c r="S36" s="3511">
        <f t="shared" si="50"/>
        <v>23.959583923270589</v>
      </c>
      <c r="U36" s="4329"/>
    </row>
    <row r="37" spans="2:21" ht="18" customHeight="1" x14ac:dyDescent="0.2">
      <c r="B37" s="1478"/>
      <c r="C37" s="4330" t="s">
        <v>409</v>
      </c>
      <c r="D37" s="3500">
        <f>IF(SUM(E37:F37)=0,E37,SUM(E37:F37))</f>
        <v>50.302446924447331</v>
      </c>
      <c r="E37" s="3510">
        <v>50.302446924447331</v>
      </c>
      <c r="F37" s="3496" t="s">
        <v>274</v>
      </c>
      <c r="G37" s="3545" t="str">
        <f t="shared" si="3"/>
        <v>NA</v>
      </c>
      <c r="H37" s="3531">
        <f t="shared" si="4"/>
        <v>-0.1299028651407019</v>
      </c>
      <c r="I37" s="3546">
        <f t="shared" si="5"/>
        <v>-0.1299028651407019</v>
      </c>
      <c r="J37" s="3531" t="str">
        <f t="shared" si="6"/>
        <v>NA</v>
      </c>
      <c r="K37" s="3531" t="str">
        <f t="shared" si="7"/>
        <v>NA</v>
      </c>
      <c r="L37" s="3535" t="str">
        <f t="shared" si="8"/>
        <v>NA</v>
      </c>
      <c r="M37" s="3547" t="s">
        <v>274</v>
      </c>
      <c r="N37" s="3548">
        <v>-6.5344319790737968</v>
      </c>
      <c r="O37" s="3087">
        <f t="shared" ref="O37" si="51">IF(SUM(M37:N37)=0,M37,SUM(M37:N37))</f>
        <v>-6.5344319790737968</v>
      </c>
      <c r="P37" s="3548" t="s">
        <v>205</v>
      </c>
      <c r="Q37" s="3549" t="s">
        <v>205</v>
      </c>
      <c r="R37" s="3549" t="s">
        <v>205</v>
      </c>
      <c r="S37" s="3511">
        <f t="shared" ref="S37" si="52">IF(SUM(O37:R37)=0,Q37,SUM(O37:R37)*-44/12)</f>
        <v>23.959583923270589</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1560.4481483376669</v>
      </c>
      <c r="E10" s="3523">
        <f t="shared" ref="E10:F10" si="0">IF(SUM(E11,E13)=0,"IE",SUM(E11,E13))</f>
        <v>1477.2374916715539</v>
      </c>
      <c r="F10" s="3524">
        <f t="shared" si="0"/>
        <v>83.210656666113096</v>
      </c>
      <c r="G10" s="3522" t="str">
        <f>IFERROR(IF(SUM($D10)=0,"NA",M10/$D10),"NA")</f>
        <v>NA</v>
      </c>
      <c r="H10" s="3523">
        <f t="shared" ref="H10:J10" si="1">IFERROR(IF(SUM($D10)=0,"NA",N10/$D10),"NA")</f>
        <v>-0.52900300701303937</v>
      </c>
      <c r="I10" s="3523">
        <f t="shared" si="1"/>
        <v>-0.52900300701303937</v>
      </c>
      <c r="J10" s="3523">
        <f t="shared" si="1"/>
        <v>-0.16475585677708471</v>
      </c>
      <c r="K10" s="3525">
        <f>IFERROR(IF(SUM(E10)=0,"NA",Q10/E10),"NA")</f>
        <v>-6.9676197592950503E-2</v>
      </c>
      <c r="L10" s="3524">
        <f>IFERROR(IF(SUM(F10)=0,"NA",R10/F10),"NA")</f>
        <v>0.25636870157262742</v>
      </c>
      <c r="M10" s="3526" t="str">
        <f>IF(SUM(M11,M13)=0,"IE",SUM(M11,M13))</f>
        <v>IE</v>
      </c>
      <c r="N10" s="3523">
        <f t="shared" ref="N10:S10" si="2">IF(SUM(N11,N13)=0,"IE",SUM(N11,N13))</f>
        <v>-825.48176275855508</v>
      </c>
      <c r="O10" s="3527">
        <f t="shared" si="2"/>
        <v>-825.48176275855508</v>
      </c>
      <c r="P10" s="3523">
        <f t="shared" si="2"/>
        <v>-257.09297163558767</v>
      </c>
      <c r="Q10" s="3525">
        <f t="shared" si="2"/>
        <v>-102.92829136142177</v>
      </c>
      <c r="R10" s="3525">
        <f t="shared" si="2"/>
        <v>21.332608006497111</v>
      </c>
      <c r="S10" s="3528">
        <f t="shared" si="2"/>
        <v>4268.6248650799134</v>
      </c>
      <c r="U10" s="2287"/>
    </row>
    <row r="11" spans="2:21" ht="18" customHeight="1" x14ac:dyDescent="0.2">
      <c r="B11" s="483" t="s">
        <v>1265</v>
      </c>
      <c r="C11" s="2282"/>
      <c r="D11" s="3529">
        <f>D12</f>
        <v>1073.319350411</v>
      </c>
      <c r="E11" s="3057">
        <f t="shared" ref="E11:F11" si="3">E12</f>
        <v>1073.319350411</v>
      </c>
      <c r="F11" s="3057" t="str">
        <f t="shared" si="3"/>
        <v>IE</v>
      </c>
      <c r="G11" s="3500" t="str">
        <f t="shared" ref="G11:G24" si="4">IFERROR(IF(SUM($D11)=0,"NA",M11/$D11),"NA")</f>
        <v>NA</v>
      </c>
      <c r="H11" s="3057">
        <f t="shared" ref="H11:H24" si="5">IFERROR(IF(SUM($D11)=0,"NA",N11/$D11),"NA")</f>
        <v>-3.3219897078691019E-3</v>
      </c>
      <c r="I11" s="3057">
        <f t="shared" ref="I11:I24" si="6">IFERROR(IF(SUM($D11)=0,"NA",O11/$D11),"NA")</f>
        <v>-3.3219897078691019E-3</v>
      </c>
      <c r="J11" s="3057">
        <f t="shared" ref="J11:J24" si="7">IFERROR(IF(SUM($D11)=0,"NA",P11/$D11),"NA")</f>
        <v>-6.643979415738206E-4</v>
      </c>
      <c r="K11" s="3514">
        <f t="shared" ref="K11:K24" si="8">IFERROR(IF(SUM(E11)=0,"NA",Q11/E11),"NA")</f>
        <v>-2.6575917662952824E-3</v>
      </c>
      <c r="L11" s="3106" t="str">
        <f t="shared" ref="L11:L24" si="9">IFERROR(IF(SUM(F11)=0,"NA",R11/F11),"NA")</f>
        <v>NA</v>
      </c>
      <c r="M11" s="3530" t="str">
        <f t="shared" ref="M11:S11" si="10">M12</f>
        <v>IE</v>
      </c>
      <c r="N11" s="3531">
        <f t="shared" si="10"/>
        <v>-3.5655558353220922</v>
      </c>
      <c r="O11" s="3532">
        <f t="shared" si="10"/>
        <v>-3.5655558353220922</v>
      </c>
      <c r="P11" s="3531">
        <f t="shared" si="10"/>
        <v>-0.71311116706441857</v>
      </c>
      <c r="Q11" s="3533">
        <f t="shared" si="10"/>
        <v>-2.8524446682576743</v>
      </c>
      <c r="R11" s="3533" t="str">
        <f t="shared" si="10"/>
        <v>IE</v>
      </c>
      <c r="S11" s="3534">
        <f t="shared" si="10"/>
        <v>26.14740945902868</v>
      </c>
      <c r="U11" s="2423"/>
    </row>
    <row r="12" spans="2:21" ht="18" customHeight="1" x14ac:dyDescent="0.2">
      <c r="B12" s="491"/>
      <c r="C12" s="4330" t="s">
        <v>409</v>
      </c>
      <c r="D12" s="3500">
        <f>IF(SUM(E12:F12)=0,E12,SUM(E12:F12))</f>
        <v>1073.319350411</v>
      </c>
      <c r="E12" s="3510">
        <v>1073.319350411</v>
      </c>
      <c r="F12" s="3496" t="s">
        <v>274</v>
      </c>
      <c r="G12" s="3500" t="str">
        <f t="shared" si="4"/>
        <v>NA</v>
      </c>
      <c r="H12" s="3057">
        <f t="shared" si="5"/>
        <v>-3.3219897078691019E-3</v>
      </c>
      <c r="I12" s="3057">
        <f t="shared" si="6"/>
        <v>-3.3219897078691019E-3</v>
      </c>
      <c r="J12" s="3057">
        <f t="shared" si="7"/>
        <v>-6.643979415738206E-4</v>
      </c>
      <c r="K12" s="3514">
        <f t="shared" si="8"/>
        <v>-2.6575917662952824E-3</v>
      </c>
      <c r="L12" s="3106" t="str">
        <f t="shared" si="9"/>
        <v>NA</v>
      </c>
      <c r="M12" s="2917" t="s">
        <v>274</v>
      </c>
      <c r="N12" s="2917">
        <v>-3.5655558353220922</v>
      </c>
      <c r="O12" s="3087">
        <f>IF(SUM(M12:N12)=0,M12,SUM(M12:N12))</f>
        <v>-3.5655558353220922</v>
      </c>
      <c r="P12" s="2917">
        <v>-0.71311116706441857</v>
      </c>
      <c r="Q12" s="2918">
        <v>-2.8524446682576743</v>
      </c>
      <c r="R12" s="2918" t="s">
        <v>274</v>
      </c>
      <c r="S12" s="3511">
        <f>IF(SUM(O12:R12)=0,Q12,SUM(O12:R12)*-44/12)</f>
        <v>26.14740945902868</v>
      </c>
      <c r="U12" s="2424"/>
    </row>
    <row r="13" spans="2:21" ht="18" customHeight="1" x14ac:dyDescent="0.2">
      <c r="B13" s="483" t="s">
        <v>1266</v>
      </c>
      <c r="C13" s="494"/>
      <c r="D13" s="3529">
        <f>IF(SUM(D14,D17,D19,D21,D23)=0,"IE",SUM(D14,D17,D19,D21,D23))</f>
        <v>487.12879792666695</v>
      </c>
      <c r="E13" s="3531">
        <f t="shared" ref="E13:S13" si="11">IF(SUM(E14,E17,E19,E21,E23)=0,"IE",SUM(E14,E17,E19,E21,E23))</f>
        <v>403.91814126055385</v>
      </c>
      <c r="F13" s="3535">
        <f t="shared" si="11"/>
        <v>83.210656666113096</v>
      </c>
      <c r="G13" s="3500" t="str">
        <f t="shared" si="4"/>
        <v>NA</v>
      </c>
      <c r="H13" s="3057">
        <f t="shared" si="5"/>
        <v>-1.687266715541144</v>
      </c>
      <c r="I13" s="3057">
        <f t="shared" si="6"/>
        <v>-1.687266715541144</v>
      </c>
      <c r="J13" s="3057">
        <f t="shared" si="7"/>
        <v>-0.52630815825246902</v>
      </c>
      <c r="K13" s="3514">
        <f t="shared" si="8"/>
        <v>-0.24776269365086173</v>
      </c>
      <c r="L13" s="3106">
        <f t="shared" si="9"/>
        <v>0.25636870157262742</v>
      </c>
      <c r="M13" s="3057" t="str">
        <f t="shared" si="11"/>
        <v>IE</v>
      </c>
      <c r="N13" s="3057">
        <f t="shared" si="11"/>
        <v>-821.91620692323295</v>
      </c>
      <c r="O13" s="3057">
        <f t="shared" si="11"/>
        <v>-821.91620692323295</v>
      </c>
      <c r="P13" s="3057">
        <f t="shared" si="11"/>
        <v>-256.37986046852325</v>
      </c>
      <c r="Q13" s="3514">
        <f t="shared" si="11"/>
        <v>-100.0758466931641</v>
      </c>
      <c r="R13" s="3514">
        <f t="shared" si="11"/>
        <v>21.332608006497111</v>
      </c>
      <c r="S13" s="3511">
        <f t="shared" si="11"/>
        <v>4242.4774556208849</v>
      </c>
      <c r="U13" s="2048"/>
    </row>
    <row r="14" spans="2:21" ht="18" customHeight="1" x14ac:dyDescent="0.2">
      <c r="B14" s="485" t="s">
        <v>1440</v>
      </c>
      <c r="C14" s="494"/>
      <c r="D14" s="3539">
        <f>IF(SUM(D15:D16)=0,"IE",SUM(D15:D16))</f>
        <v>487.12879792666695</v>
      </c>
      <c r="E14" s="3505">
        <f t="shared" ref="E14:F14" si="12">IF(SUM(E15:E16)=0,"IE",SUM(E15:E16))</f>
        <v>403.91814126055385</v>
      </c>
      <c r="F14" s="3506">
        <f t="shared" si="12"/>
        <v>83.210656666113096</v>
      </c>
      <c r="G14" s="3500" t="str">
        <f t="shared" si="4"/>
        <v>NA</v>
      </c>
      <c r="H14" s="3057">
        <f t="shared" si="5"/>
        <v>-1.687266715541144</v>
      </c>
      <c r="I14" s="3057">
        <f t="shared" si="6"/>
        <v>-1.687266715541144</v>
      </c>
      <c r="J14" s="3057">
        <f t="shared" si="7"/>
        <v>-0.52630815825246902</v>
      </c>
      <c r="K14" s="3514">
        <f t="shared" si="8"/>
        <v>-0.24776269365086173</v>
      </c>
      <c r="L14" s="3106">
        <f t="shared" si="9"/>
        <v>0.25636870157262742</v>
      </c>
      <c r="M14" s="3057" t="str">
        <f>IF(SUM(M15:M16)=0,"IE",SUM(M15:M16))</f>
        <v>IE</v>
      </c>
      <c r="N14" s="3057">
        <f t="shared" ref="N14:S14" si="13">IF(SUM(N15:N16)=0,"IE",SUM(N15:N16))</f>
        <v>-821.91620692323295</v>
      </c>
      <c r="O14" s="3057">
        <f t="shared" si="13"/>
        <v>-821.91620692323295</v>
      </c>
      <c r="P14" s="3057">
        <f t="shared" si="13"/>
        <v>-256.37986046852325</v>
      </c>
      <c r="Q14" s="3514">
        <f t="shared" si="13"/>
        <v>-100.0758466931641</v>
      </c>
      <c r="R14" s="3514">
        <f t="shared" si="13"/>
        <v>21.332608006497111</v>
      </c>
      <c r="S14" s="3511">
        <f t="shared" si="13"/>
        <v>4242.4774556208849</v>
      </c>
      <c r="U14" s="2048"/>
    </row>
    <row r="15" spans="2:21" ht="18" customHeight="1" x14ac:dyDescent="0.2">
      <c r="B15" s="486"/>
      <c r="C15" s="498" t="s">
        <v>1441</v>
      </c>
      <c r="D15" s="3500">
        <f>IF(SUM(E15:F15)=0,E15,SUM(E15:F15))</f>
        <v>83.210656666113096</v>
      </c>
      <c r="E15" s="3510" t="s">
        <v>199</v>
      </c>
      <c r="F15" s="3496">
        <v>83.210656666113096</v>
      </c>
      <c r="G15" s="3500" t="str">
        <f t="shared" si="4"/>
        <v>NA</v>
      </c>
      <c r="H15" s="3057">
        <f t="shared" si="5"/>
        <v>-6.2514840755919714</v>
      </c>
      <c r="I15" s="3057">
        <f t="shared" si="6"/>
        <v>-6.2514840755919714</v>
      </c>
      <c r="J15" s="3057">
        <f t="shared" si="7"/>
        <v>-1.4706940963235637</v>
      </c>
      <c r="K15" s="3514" t="str">
        <f t="shared" si="8"/>
        <v>NA</v>
      </c>
      <c r="L15" s="3106">
        <f t="shared" si="9"/>
        <v>0.25636870157262742</v>
      </c>
      <c r="M15" s="2917" t="s">
        <v>274</v>
      </c>
      <c r="N15" s="2917">
        <v>-520.19009506775694</v>
      </c>
      <c r="O15" s="3087">
        <f>IF(SUM(M15:N15)=0,M15,SUM(M15:N15))</f>
        <v>-520.19009506775694</v>
      </c>
      <c r="P15" s="2917">
        <v>-122.37742151005952</v>
      </c>
      <c r="Q15" s="2918" t="s">
        <v>199</v>
      </c>
      <c r="R15" s="2918">
        <v>21.332608006497111</v>
      </c>
      <c r="S15" s="3511">
        <f>IF(SUM(O15:R15)=0,Q15,SUM(O15:R15)*-44/12)</f>
        <v>2277.8613314281711</v>
      </c>
      <c r="U15" s="2048"/>
    </row>
    <row r="16" spans="2:21" ht="18" customHeight="1" x14ac:dyDescent="0.2">
      <c r="B16" s="484"/>
      <c r="C16" s="498" t="s">
        <v>1442</v>
      </c>
      <c r="D16" s="3500">
        <f>IF(SUM(E16:F16)=0,E16,SUM(E16:F16))</f>
        <v>403.91814126055385</v>
      </c>
      <c r="E16" s="3510">
        <v>403.91814126055385</v>
      </c>
      <c r="F16" s="3496" t="s">
        <v>274</v>
      </c>
      <c r="G16" s="3500" t="str">
        <f t="shared" si="4"/>
        <v>NA</v>
      </c>
      <c r="H16" s="3057">
        <f t="shared" si="5"/>
        <v>-0.74699816877212921</v>
      </c>
      <c r="I16" s="3057">
        <f t="shared" si="6"/>
        <v>-0.74699816877212921</v>
      </c>
      <c r="J16" s="3057">
        <f t="shared" si="7"/>
        <v>-0.33175642604282851</v>
      </c>
      <c r="K16" s="3514">
        <f t="shared" si="8"/>
        <v>-0.24776269365086173</v>
      </c>
      <c r="L16" s="3106" t="str">
        <f t="shared" si="9"/>
        <v>NA</v>
      </c>
      <c r="M16" s="2917" t="s">
        <v>274</v>
      </c>
      <c r="N16" s="2917">
        <v>-301.72611185547595</v>
      </c>
      <c r="O16" s="3087">
        <f>IF(SUM(M16:N16)=0,M16,SUM(M16:N16))</f>
        <v>-301.72611185547595</v>
      </c>
      <c r="P16" s="2917">
        <v>-134.0024389584637</v>
      </c>
      <c r="Q16" s="2918">
        <v>-100.0758466931641</v>
      </c>
      <c r="R16" s="2918" t="s">
        <v>274</v>
      </c>
      <c r="S16" s="3511">
        <f>IF(SUM(O16:R16)=0,Q16,SUM(O16:R16)*-44/12)</f>
        <v>1964.6161241927139</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60.677535167823585</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60.677535167823585</v>
      </c>
    </row>
    <row r="270" spans="2:10" ht="18" customHeight="1" x14ac:dyDescent="0.2">
      <c r="B270" s="2842" t="s">
        <v>1550</v>
      </c>
      <c r="C270" s="2843"/>
      <c r="D270" s="2823"/>
      <c r="E270" s="2824"/>
      <c r="F270" s="2825"/>
      <c r="G270" s="2826"/>
      <c r="H270" s="2834" t="s">
        <v>221</v>
      </c>
      <c r="I270" s="2830" t="s">
        <v>221</v>
      </c>
      <c r="J270" s="3659">
        <f>J277</f>
        <v>58.693226512615254</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538.09437374029619</v>
      </c>
      <c r="E277" s="2770" t="s">
        <v>205</v>
      </c>
      <c r="F277" s="2768" t="s">
        <v>205</v>
      </c>
      <c r="G277" s="3653">
        <f>IF(SUM(D277)=0,"NA",J277*1000/D277)</f>
        <v>109.07608288976968</v>
      </c>
      <c r="H277" s="2793" t="str">
        <f t="shared" ref="H277:J277" si="1">H302</f>
        <v>NE</v>
      </c>
      <c r="I277" s="2792" t="str">
        <f t="shared" si="1"/>
        <v>NE</v>
      </c>
      <c r="J277" s="3652">
        <f t="shared" si="1"/>
        <v>58.693226512615254</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343.64343240712577</v>
      </c>
      <c r="E281" s="2770" t="str">
        <f t="shared" si="2"/>
        <v>NA</v>
      </c>
      <c r="F281" s="2768" t="str">
        <f t="shared" si="2"/>
        <v>NA</v>
      </c>
      <c r="G281" s="3653">
        <f t="shared" si="2"/>
        <v>124.09638158041973</v>
      </c>
      <c r="H281" s="2795" t="str">
        <f t="shared" ref="H281" si="3">H306</f>
        <v>NA</v>
      </c>
      <c r="I281" s="2773" t="str">
        <f t="shared" ref="I281:J281" si="4">I306</f>
        <v>NA</v>
      </c>
      <c r="J281" s="3662">
        <f t="shared" si="4"/>
        <v>42.644906515599857</v>
      </c>
    </row>
    <row r="282" spans="2:10" ht="18" customHeight="1" outlineLevel="1" x14ac:dyDescent="0.2">
      <c r="B282" s="2862" t="str">
        <f>B307</f>
        <v>Other Constructed Water Bodies</v>
      </c>
      <c r="C282" s="2850" t="str">
        <f t="shared" si="2"/>
        <v>Other Constructed Water Bodies</v>
      </c>
      <c r="D282" s="3647">
        <f t="shared" si="2"/>
        <v>194.45094133317045</v>
      </c>
      <c r="E282" s="2770" t="str">
        <f t="shared" si="2"/>
        <v>NA</v>
      </c>
      <c r="F282" s="2768" t="str">
        <f t="shared" si="2"/>
        <v>NA</v>
      </c>
      <c r="G282" s="3653">
        <f t="shared" si="2"/>
        <v>82.531459539289955</v>
      </c>
      <c r="H282" s="2860" t="str">
        <f t="shared" ref="H282" si="5">H307</f>
        <v>NA</v>
      </c>
      <c r="I282" s="2861" t="str">
        <f t="shared" ref="I282:J282" si="6">I307</f>
        <v>NA</v>
      </c>
      <c r="J282" s="3662">
        <f t="shared" si="6"/>
        <v>16.048319997015401</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58.693226512615254</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538.09437374029619</v>
      </c>
      <c r="E302" s="2770" t="s">
        <v>205</v>
      </c>
      <c r="F302" s="2768" t="s">
        <v>205</v>
      </c>
      <c r="G302" s="3653">
        <f>IF(SUM(D302)=0,"NA",J302*1000/D302)</f>
        <v>109.07608288976968</v>
      </c>
      <c r="H302" s="2793" t="s">
        <v>221</v>
      </c>
      <c r="I302" s="2792" t="s">
        <v>221</v>
      </c>
      <c r="J302" s="3652">
        <f t="shared" ref="J302" si="7">IF(SUM(J306:J307)=0,"NO",SUM(J306:J307))</f>
        <v>58.693226512615254</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343.64343240712577</v>
      </c>
      <c r="E306" s="2770" t="s">
        <v>205</v>
      </c>
      <c r="F306" s="2768" t="s">
        <v>205</v>
      </c>
      <c r="G306" s="3653">
        <f>IF(SUM(D306)=0,"NA",J306*1000/D306)</f>
        <v>124.09638158041973</v>
      </c>
      <c r="H306" s="2795" t="s">
        <v>205</v>
      </c>
      <c r="I306" s="2773" t="s">
        <v>205</v>
      </c>
      <c r="J306" s="3662">
        <v>42.644906515599857</v>
      </c>
    </row>
    <row r="307" spans="2:10" ht="18" customHeight="1" outlineLevel="2" x14ac:dyDescent="0.2">
      <c r="B307" s="2862" t="s">
        <v>1554</v>
      </c>
      <c r="C307" s="2850" t="s">
        <v>1554</v>
      </c>
      <c r="D307" s="3650">
        <v>194.45094133317045</v>
      </c>
      <c r="E307" s="2770" t="s">
        <v>205</v>
      </c>
      <c r="F307" s="2768" t="s">
        <v>205</v>
      </c>
      <c r="G307" s="3653">
        <f>IF(SUM(D307)=0,"NA",J307*1000/D307)</f>
        <v>82.531459539289955</v>
      </c>
      <c r="H307" s="2795" t="s">
        <v>205</v>
      </c>
      <c r="I307" s="2773" t="s">
        <v>205</v>
      </c>
      <c r="J307" s="3662">
        <v>16.048319997015401</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1.9843086552083331</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11.775184895833332</v>
      </c>
      <c r="E327" s="2791" t="str">
        <f t="shared" ref="E327:J327" si="8">E331</f>
        <v>NA</v>
      </c>
      <c r="F327" s="2792" t="str">
        <f t="shared" si="8"/>
        <v>NA</v>
      </c>
      <c r="G327" s="3655">
        <f t="shared" si="8"/>
        <v>168.51613564985155</v>
      </c>
      <c r="H327" s="2793" t="str">
        <f t="shared" si="8"/>
        <v>IE</v>
      </c>
      <c r="I327" s="2792" t="str">
        <f t="shared" si="8"/>
        <v>NA</v>
      </c>
      <c r="J327" s="3652">
        <f t="shared" si="8"/>
        <v>1.9843086552083331</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11.775184895833332</v>
      </c>
      <c r="E331" s="2770" t="str">
        <f t="shared" si="9"/>
        <v>NA</v>
      </c>
      <c r="F331" s="2768" t="str">
        <f t="shared" si="9"/>
        <v>NA</v>
      </c>
      <c r="G331" s="3653">
        <f t="shared" si="9"/>
        <v>168.51613564985155</v>
      </c>
      <c r="H331" s="2780" t="str">
        <f t="shared" si="9"/>
        <v>IE</v>
      </c>
      <c r="I331" s="2773" t="str">
        <f t="shared" si="9"/>
        <v>NA</v>
      </c>
      <c r="J331" s="3662">
        <f t="shared" si="9"/>
        <v>1.9843086552083331</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1.9843086552083331</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11.775184895833332</v>
      </c>
      <c r="E411" s="2791" t="str">
        <f t="shared" ref="E411:J411" si="10">E415</f>
        <v>NA</v>
      </c>
      <c r="F411" s="2792" t="str">
        <f t="shared" si="10"/>
        <v>NA</v>
      </c>
      <c r="G411" s="3655">
        <f t="shared" si="10"/>
        <v>168.51613564985155</v>
      </c>
      <c r="H411" s="2793" t="str">
        <f t="shared" si="10"/>
        <v>IE</v>
      </c>
      <c r="I411" s="2792" t="str">
        <f t="shared" si="10"/>
        <v>NA</v>
      </c>
      <c r="J411" s="3652">
        <f t="shared" si="10"/>
        <v>1.9843086552083331</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11.775184895833332</v>
      </c>
      <c r="E415" s="2770" t="str">
        <f>E427</f>
        <v>NA</v>
      </c>
      <c r="F415" s="2768" t="str">
        <f>F427</f>
        <v>NA</v>
      </c>
      <c r="G415" s="3653">
        <f t="shared" ref="G415:J415" si="11">G427</f>
        <v>168.51613564985155</v>
      </c>
      <c r="H415" s="2795" t="str">
        <f t="shared" si="11"/>
        <v>IE</v>
      </c>
      <c r="I415" s="2773" t="str">
        <f t="shared" si="11"/>
        <v>NA</v>
      </c>
      <c r="J415" s="3662">
        <f t="shared" si="11"/>
        <v>1.9843086552083331</v>
      </c>
    </row>
    <row r="416" spans="2:10" ht="18" customHeight="1" outlineLevel="2" x14ac:dyDescent="0.2">
      <c r="B416" s="2857" t="s">
        <v>1564</v>
      </c>
      <c r="C416" s="2843"/>
      <c r="D416" s="3649"/>
      <c r="E416" s="2824"/>
      <c r="F416" s="2825"/>
      <c r="G416" s="3656"/>
      <c r="H416" s="2834" t="s">
        <v>221</v>
      </c>
      <c r="I416" s="2830" t="s">
        <v>221</v>
      </c>
      <c r="J416" s="3659">
        <f>J423</f>
        <v>1.9843086552083331</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11.775184895833332</v>
      </c>
      <c r="E423" s="2791" t="str">
        <f t="shared" ref="E423:J423" si="12">E427</f>
        <v>NA</v>
      </c>
      <c r="F423" s="2792" t="str">
        <f t="shared" si="12"/>
        <v>NA</v>
      </c>
      <c r="G423" s="3655">
        <f t="shared" si="12"/>
        <v>168.51613564985155</v>
      </c>
      <c r="H423" s="2793" t="str">
        <f t="shared" si="12"/>
        <v>IE</v>
      </c>
      <c r="I423" s="2792" t="str">
        <f t="shared" si="12"/>
        <v>NA</v>
      </c>
      <c r="J423" s="3652">
        <f t="shared" si="12"/>
        <v>1.9843086552083331</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11.775184895833332</v>
      </c>
      <c r="E427" s="2770" t="s">
        <v>205</v>
      </c>
      <c r="F427" s="2768" t="s">
        <v>205</v>
      </c>
      <c r="G427" s="3653">
        <f>IF(SUM(D427)=0,"NA",J427*1000/D427)</f>
        <v>168.51613564985155</v>
      </c>
      <c r="H427" s="4306" t="s">
        <v>274</v>
      </c>
      <c r="I427" s="2773" t="s">
        <v>205</v>
      </c>
      <c r="J427" s="3662">
        <v>1.9843086552083331</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657087.13466084306</v>
      </c>
      <c r="D10" s="3577">
        <f>IF(SUM(D11,D20,D28,D37,D46,D55)=0,"NO",SUM(D11,D20,D28,D37,D46,D55))</f>
        <v>53797.265375300078</v>
      </c>
      <c r="E10" s="3592">
        <f t="shared" ref="E10:E12" si="0">IF(SUM(C10)=0,"NA",G10/C10*1000/(44/28))</f>
        <v>1.7464082718734505E-3</v>
      </c>
      <c r="F10" s="3593">
        <f t="shared" ref="F10:F11" si="1">IF(SUM(D10)=0,"NA",H10/D10*1000/(44/28))</f>
        <v>7.4999999999999989E-3</v>
      </c>
      <c r="G10" s="4464">
        <f>IF(SUM(G11,G20,G28,G37,G46,G55)=0,"NO",SUM(G11,G20,G28,G37,G46,G55))</f>
        <v>1.8032809257780746</v>
      </c>
      <c r="H10" s="4465">
        <f>IF(SUM(H11,H20,H28,H37,H46,H55)=0,"NO",SUM(H11,H20,H28,H37,H46,H55))</f>
        <v>0.63403919906603645</v>
      </c>
      <c r="I10" s="4466">
        <f t="shared" ref="I10:I11" si="2">IF(SUM(G10:H10)=0,"NO",SUM(G10:H10))</f>
        <v>2.4373201248441112</v>
      </c>
    </row>
    <row r="11" spans="2:10" ht="18" customHeight="1" x14ac:dyDescent="0.2">
      <c r="B11" s="2863" t="s">
        <v>1605</v>
      </c>
      <c r="C11" s="3578">
        <f>IF(SUM(C12:C13)=0,"NO",SUM(C12:C13))</f>
        <v>134795.66930915677</v>
      </c>
      <c r="D11" s="3579">
        <f>IF(SUM(D12:D13)=0,"NO",SUM(D12:D13))</f>
        <v>33859.811378274186</v>
      </c>
      <c r="E11" s="3594">
        <f t="shared" si="0"/>
        <v>4.9526557657729323E-3</v>
      </c>
      <c r="F11" s="3595">
        <f t="shared" si="1"/>
        <v>7.4999999999999997E-3</v>
      </c>
      <c r="G11" s="4467">
        <f>IF(SUM(G12:G13)=0,"NO",SUM(G12:G13))</f>
        <v>1.0490802909796262</v>
      </c>
      <c r="H11" s="4468">
        <f>IF(SUM(H12:H13)=0,"NO",SUM(H12:H13))</f>
        <v>0.39906206267251715</v>
      </c>
      <c r="I11" s="4469">
        <f t="shared" si="2"/>
        <v>1.4481423536521434</v>
      </c>
    </row>
    <row r="12" spans="2:10" ht="18" customHeight="1" x14ac:dyDescent="0.2">
      <c r="B12" s="917" t="s">
        <v>1606</v>
      </c>
      <c r="C12" s="3580">
        <f>Table4.A!E11</f>
        <v>125112.073289883</v>
      </c>
      <c r="D12" s="3581">
        <f>H12/F12*1000/(44/28)</f>
        <v>18055.234031873133</v>
      </c>
      <c r="E12" s="3596">
        <f t="shared" si="0"/>
        <v>3.0334911271499409E-3</v>
      </c>
      <c r="F12" s="3597">
        <v>7.4999999999999997E-3</v>
      </c>
      <c r="G12" s="4470">
        <v>0.59639857235230354</v>
      </c>
      <c r="H12" s="4471">
        <v>0.21279382966136193</v>
      </c>
      <c r="I12" s="4472">
        <f>IF(SUM(G12:H12)=0,"NO",SUM(G12:H12))</f>
        <v>0.80919240201366549</v>
      </c>
    </row>
    <row r="13" spans="2:10" ht="18" customHeight="1" x14ac:dyDescent="0.2">
      <c r="B13" s="917" t="s">
        <v>1607</v>
      </c>
      <c r="C13" s="3582">
        <f>IF(SUM(C15:C19)=0,"NO",SUM(C15:C19))</f>
        <v>9683.5960192737657</v>
      </c>
      <c r="D13" s="3583">
        <f>IF(SUM(D15:D19)=0,"NO",SUM(D15:D19))</f>
        <v>15804.577346401049</v>
      </c>
      <c r="E13" s="3599">
        <f>IF(SUM(C13)=0,"NA",G13/C13*1000/(44/28))</f>
        <v>2.97482654178946E-2</v>
      </c>
      <c r="F13" s="3598">
        <f>IF(SUM(D13)=0,"NA",H13/D13*1000/(44/28))</f>
        <v>7.4999999999999997E-3</v>
      </c>
      <c r="G13" s="4473">
        <f>IF(SUM(G15:G19)=0,"NO",SUM(G15:G19))</f>
        <v>0.4526817186273227</v>
      </c>
      <c r="H13" s="4474">
        <f>IF(SUM(H15:H19)=0,"NO",SUM(H15:H19))</f>
        <v>0.18626823301115522</v>
      </c>
      <c r="I13" s="4472">
        <f>IF(SUM(G13:H13)=0,"NO",SUM(G13:H13))</f>
        <v>0.6389499516384779</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57.389052690292367</v>
      </c>
      <c r="D15" s="3581">
        <f>H15/F15*1000/(44/28)</f>
        <v>110.77117248884106</v>
      </c>
      <c r="E15" s="3599">
        <f>IF(SUM(C15)=0,"NA",G15/C15*1000/(44/28))</f>
        <v>4.3816801832664766E-2</v>
      </c>
      <c r="F15" s="3597">
        <v>7.4999999999999997E-3</v>
      </c>
      <c r="G15" s="4477">
        <v>3.9515217485776959E-3</v>
      </c>
      <c r="H15" s="4478">
        <v>1.3055173900470552E-3</v>
      </c>
      <c r="I15" s="4472">
        <f>IF(SUM(G15:H15)=0,"NO",SUM(G15:H15))</f>
        <v>5.2570391386247512E-3</v>
      </c>
    </row>
    <row r="16" spans="2:10" ht="18" customHeight="1" x14ac:dyDescent="0.2">
      <c r="B16" s="518" t="s">
        <v>1609</v>
      </c>
      <c r="C16" s="3584">
        <f>Table4.A!E19</f>
        <v>9578.6184532290263</v>
      </c>
      <c r="D16" s="3581">
        <f>H16/F16*1000/(44/28)</f>
        <v>15519.043123489149</v>
      </c>
      <c r="E16" s="3599">
        <f t="shared" ref="E16:E21" si="3">IF(SUM(C16)=0,"NA",G16/C16*1000/(44/28))</f>
        <v>2.933048188765263E-2</v>
      </c>
      <c r="F16" s="3597">
        <v>7.4999999999999997E-3</v>
      </c>
      <c r="G16" s="4477">
        <v>0.44148577793755167</v>
      </c>
      <c r="H16" s="4478">
        <v>0.18290300824112213</v>
      </c>
      <c r="I16" s="4472">
        <f t="shared" ref="I16:I21" si="4">IF(SUM(G16:H16)=0,"NO",SUM(G16:H16))</f>
        <v>0.62438878617867377</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47.588513354446278</v>
      </c>
      <c r="D18" s="3581">
        <f>H18/F18*1000/(44/28)</f>
        <v>174.76305042305844</v>
      </c>
      <c r="E18" s="3599">
        <f t="shared" si="3"/>
        <v>9.6873897833764988E-2</v>
      </c>
      <c r="F18" s="3597">
        <v>7.4999999999999997E-3</v>
      </c>
      <c r="G18" s="4477">
        <v>7.2444189411933263E-3</v>
      </c>
      <c r="H18" s="4478">
        <v>2.0597073799860461E-3</v>
      </c>
      <c r="I18" s="4472">
        <f t="shared" si="4"/>
        <v>9.3041263211793724E-3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2272.0498264549356</v>
      </c>
      <c r="D20" s="3589">
        <f>D21</f>
        <v>2180.5620348933849</v>
      </c>
      <c r="E20" s="3602">
        <f t="shared" si="3"/>
        <v>1.9981478951245461E-2</v>
      </c>
      <c r="F20" s="3603">
        <f t="shared" si="5"/>
        <v>7.5000000000000006E-3</v>
      </c>
      <c r="G20" s="4482">
        <f>G21</f>
        <v>7.1341153374056013E-2</v>
      </c>
      <c r="H20" s="4483">
        <f>H21</f>
        <v>2.5699481125529181E-2</v>
      </c>
      <c r="I20" s="4484">
        <f t="shared" si="4"/>
        <v>9.7040634499585193E-2</v>
      </c>
    </row>
    <row r="21" spans="2:9" ht="18" customHeight="1" x14ac:dyDescent="0.2">
      <c r="B21" s="917" t="s">
        <v>1614</v>
      </c>
      <c r="C21" s="3582">
        <f>IF(SUM(C23:C27)=0,"NO",SUM(C23:C27))</f>
        <v>2272.0498264549356</v>
      </c>
      <c r="D21" s="3583">
        <f>IF(SUM(D23:D27)=0,"NO",SUM(D23:D27))</f>
        <v>2180.5620348933849</v>
      </c>
      <c r="E21" s="3599">
        <f t="shared" si="3"/>
        <v>1.9981478951245461E-2</v>
      </c>
      <c r="F21" s="3598">
        <f t="shared" si="5"/>
        <v>7.5000000000000006E-3</v>
      </c>
      <c r="G21" s="4473">
        <f>IF(SUM(G23:G27)=0,"NO",SUM(G23:G27))</f>
        <v>7.1341153374056013E-2</v>
      </c>
      <c r="H21" s="4474">
        <f>IF(SUM(H23:H27)=0,"NO",SUM(H23:H27))</f>
        <v>2.5699481125529181E-2</v>
      </c>
      <c r="I21" s="4472">
        <f t="shared" si="4"/>
        <v>9.7040634499585193E-2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2272.0498264549356</v>
      </c>
      <c r="D23" s="3581">
        <f>H23/F23*1000/(44/28)</f>
        <v>2180.5620348933849</v>
      </c>
      <c r="E23" s="3599">
        <f>IF(SUM(C23)=0,"NA",G23/C23*1000/(44/28))</f>
        <v>1.9981478951245461E-2</v>
      </c>
      <c r="F23" s="3597">
        <v>7.4999999999999997E-3</v>
      </c>
      <c r="G23" s="4477">
        <v>7.1341153374056013E-2</v>
      </c>
      <c r="H23" s="4478">
        <v>2.5699481125529181E-2</v>
      </c>
      <c r="I23" s="4472">
        <f>IF(SUM(G23:H23)=0,"NO",SUM(G23:H23))</f>
        <v>9.7040634499585193E-2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518542.17803355976</v>
      </c>
      <c r="D28" s="3579">
        <f>IF(SUM(D29:D30)=0,"NO",SUM(D29:D30))</f>
        <v>17342.308249346926</v>
      </c>
      <c r="E28" s="3594">
        <f t="shared" si="6"/>
        <v>8.1480089696015705E-4</v>
      </c>
      <c r="F28" s="3595">
        <f t="shared" si="7"/>
        <v>7.4999999999999997E-3</v>
      </c>
      <c r="G28" s="4467">
        <f>IF(SUM(G29:G30)=0,"NO",SUM(G29:G30))</f>
        <v>0.66394213564394244</v>
      </c>
      <c r="H28" s="4468">
        <f>IF(SUM(H29:H30)=0,"NO",SUM(H29:H30))</f>
        <v>0.20439149008158874</v>
      </c>
      <c r="I28" s="4484">
        <f t="shared" si="8"/>
        <v>0.86833362572553119</v>
      </c>
    </row>
    <row r="29" spans="2:9" ht="18" customHeight="1" x14ac:dyDescent="0.2">
      <c r="B29" s="917" t="s">
        <v>1621</v>
      </c>
      <c r="C29" s="3580">
        <f>Table4.C!E11</f>
        <v>504974.19810365402</v>
      </c>
      <c r="D29" s="3581">
        <f>H29/F29*1000/(44/28)</f>
        <v>12216.03301029949</v>
      </c>
      <c r="E29" s="3596">
        <f t="shared" si="6"/>
        <v>5.2581854455253517E-4</v>
      </c>
      <c r="F29" s="3597">
        <v>7.4999999999999997E-3</v>
      </c>
      <c r="G29" s="4470">
        <v>0.41725325381684519</v>
      </c>
      <c r="H29" s="4471">
        <v>0.14397467476424397</v>
      </c>
      <c r="I29" s="4472">
        <f t="shared" si="8"/>
        <v>0.56122792858108916</v>
      </c>
    </row>
    <row r="30" spans="2:9" ht="18" customHeight="1" x14ac:dyDescent="0.2">
      <c r="B30" s="917" t="s">
        <v>1622</v>
      </c>
      <c r="C30" s="3582">
        <f>IF(SUM(C32:C36)=0,"NO",SUM(C32:C36))</f>
        <v>13567.979929905723</v>
      </c>
      <c r="D30" s="3583">
        <f>IF(SUM(D32:D36)=0,"NO",SUM(D32:D36))</f>
        <v>5126.275239047437</v>
      </c>
      <c r="E30" s="3599">
        <f>IF(SUM(C30)=0,"NA",G30/C30*1000/(44/28))</f>
        <v>1.1570169966419004E-2</v>
      </c>
      <c r="F30" s="3598">
        <f>IF(SUM(D30)=0,"NA",H30/D30*1000/(44/28))</f>
        <v>7.4999999999999997E-3</v>
      </c>
      <c r="G30" s="4473">
        <f>IF(SUM(G32:G36)=0,"NO",SUM(G32:G36))</f>
        <v>0.24668888182709728</v>
      </c>
      <c r="H30" s="4474">
        <f>IF(SUM(H32:H36)=0,"NO",SUM(H32:H36))</f>
        <v>6.0416815317344788E-2</v>
      </c>
      <c r="I30" s="4472">
        <f t="shared" si="8"/>
        <v>0.30710569714444208</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13567.979929905723</v>
      </c>
      <c r="D32" s="3581">
        <f>H32/F32*1000/(44/28)</f>
        <v>5126.275239047437</v>
      </c>
      <c r="E32" s="3599">
        <f>IF(SUM(C32)=0,"NA",G32/C32*1000/(44/28))</f>
        <v>1.1570169966419004E-2</v>
      </c>
      <c r="F32" s="3597">
        <v>7.4999999999999997E-3</v>
      </c>
      <c r="G32" s="4477">
        <v>0.24668888182709728</v>
      </c>
      <c r="H32" s="4478">
        <v>6.0416815317344788E-2</v>
      </c>
      <c r="I32" s="4472">
        <f t="shared" si="8"/>
        <v>0.30710569714444208</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1477.2374916715539</v>
      </c>
      <c r="D46" s="3579">
        <f>IF(SUM(D47:D48)=0,"NO",SUM(D47:D48))</f>
        <v>414.58371278557621</v>
      </c>
      <c r="E46" s="3594">
        <f t="shared" si="11"/>
        <v>8.1492048631758816E-3</v>
      </c>
      <c r="F46" s="3595">
        <f t="shared" si="12"/>
        <v>7.4999999999999997E-3</v>
      </c>
      <c r="G46" s="4467">
        <f>IF(SUM(G47:G48)=0,"NO",SUM(G47:G48))</f>
        <v>1.8917345780450179E-2</v>
      </c>
      <c r="H46" s="4468">
        <f>IF(SUM(H47:H48)=0,"NO",SUM(H47:H48))</f>
        <v>4.886165186401433E-3</v>
      </c>
      <c r="I46" s="4469">
        <f t="shared" si="8"/>
        <v>2.3803510966851613E-2</v>
      </c>
    </row>
    <row r="47" spans="2:9" ht="18" customHeight="1" x14ac:dyDescent="0.2">
      <c r="B47" s="917" t="s">
        <v>1637</v>
      </c>
      <c r="C47" s="3580">
        <f>Table4.E!E11</f>
        <v>1073.319350411</v>
      </c>
      <c r="D47" s="3581">
        <f>H47/F47*1000/(44/28)</f>
        <v>29.862983097953226</v>
      </c>
      <c r="E47" s="3596">
        <f t="shared" si="11"/>
        <v>3.3801263670577784E-4</v>
      </c>
      <c r="F47" s="3597">
        <v>7.4999999999999997E-3</v>
      </c>
      <c r="G47" s="4470">
        <v>5.7010722003675751E-4</v>
      </c>
      <c r="H47" s="4471">
        <v>3.5195658651159158E-4</v>
      </c>
      <c r="I47" s="4472">
        <f t="shared" si="8"/>
        <v>9.2206380654834903E-4</v>
      </c>
    </row>
    <row r="48" spans="2:9" ht="18" customHeight="1" x14ac:dyDescent="0.2">
      <c r="B48" s="917" t="s">
        <v>1638</v>
      </c>
      <c r="C48" s="3582">
        <f>IF(SUM(C50:C54)=0,"NO",SUM(C50:C54))</f>
        <v>403.91814126055385</v>
      </c>
      <c r="D48" s="3583">
        <f>IF(SUM(D50:D54)=0,"NO",SUM(D50:D54))</f>
        <v>384.72072968762296</v>
      </c>
      <c r="E48" s="3599">
        <f>IF(SUM(C48)=0,"NA",G48/C48*1000/(44/28))</f>
        <v>2.8905647592600545E-2</v>
      </c>
      <c r="F48" s="3598">
        <f>IF(SUM(D48)=0,"NA",H48/D48*1000/(44/28))</f>
        <v>7.4999999999999997E-3</v>
      </c>
      <c r="G48" s="4473">
        <f>IF(SUM(G50:G54)=0,"NO",SUM(G50:G54))</f>
        <v>1.8347238560413422E-2</v>
      </c>
      <c r="H48" s="4474">
        <f>IF(SUM(H50:H54)=0,"NO",SUM(H50:H54))</f>
        <v>4.5342085998898414E-3</v>
      </c>
      <c r="I48" s="4472">
        <f t="shared" si="8"/>
        <v>2.2881447160303263E-2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403.91814126055385</v>
      </c>
      <c r="D50" s="3581">
        <f>H50/F50*1000/(44/28)</f>
        <v>384.72072968762296</v>
      </c>
      <c r="E50" s="3599">
        <f>IF(SUM(C50)=0,"NA",G50/C50*1000/(44/28))</f>
        <v>2.8905647592600545E-2</v>
      </c>
      <c r="F50" s="3597">
        <v>7.4999999999999997E-3</v>
      </c>
      <c r="G50" s="4477">
        <v>1.8347238560413422E-2</v>
      </c>
      <c r="H50" s="4478">
        <v>4.5342085998898414E-3</v>
      </c>
      <c r="I50" s="4472">
        <f t="shared" si="8"/>
        <v>2.2881447160303263E-2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5272160.2476680139</v>
      </c>
      <c r="D10" s="3055" t="s">
        <v>97</v>
      </c>
      <c r="E10" s="615"/>
      <c r="F10" s="615"/>
      <c r="G10" s="615"/>
      <c r="H10" s="1938">
        <f>IF(SUM(H11:H15)=0,"NO",SUM(H11:H15))</f>
        <v>376029.89863237907</v>
      </c>
      <c r="I10" s="1938">
        <f t="shared" ref="I10:K10" si="0">IF(SUM(I11:I16)=0,"NO",SUM(I11:I16))</f>
        <v>85.80450504670641</v>
      </c>
      <c r="J10" s="1938">
        <f t="shared" si="0"/>
        <v>12.282073749605301</v>
      </c>
      <c r="K10" s="3064" t="str">
        <f t="shared" si="0"/>
        <v>NO</v>
      </c>
    </row>
    <row r="11" spans="2:11" ht="18" customHeight="1" x14ac:dyDescent="0.2">
      <c r="B11" s="282" t="s">
        <v>243</v>
      </c>
      <c r="C11" s="3065">
        <f>IF(SUM(C18,'Table1.A(a)s2'!C11,'Table1.A(a)s3'!C11,'Table1.A(a)s4'!C11,'Table1.A(a)s4'!C94)=0,"NO",SUM(C18,'Table1.A(a)s2'!C11,'Table1.A(a)s3'!C11,'Table1.A(a)s4'!C11,'Table1.A(a)s4'!C94))</f>
        <v>1739963.3098445602</v>
      </c>
      <c r="D11" s="3056" t="s">
        <v>244</v>
      </c>
      <c r="E11" s="1938">
        <f>IFERROR(H11*1000/$C11,"NA")</f>
        <v>68.190056698962039</v>
      </c>
      <c r="F11" s="1938">
        <f t="shared" ref="F11:G16" si="1">IFERROR(I11*1000000/$C11,"NA")</f>
        <v>11.499738888136589</v>
      </c>
      <c r="G11" s="1938">
        <f t="shared" si="1"/>
        <v>4.3551380429387292</v>
      </c>
      <c r="H11" s="1938">
        <f>IF(SUM(H18,'Table1.A(a)s2'!H11,'Table1.A(a)s3'!H11,'Table1.A(a)s4'!H11,'Table1.A(a)s4'!H94)=0,"NO",SUM(H18,'Table1.A(a)s2'!H11,'Table1.A(a)s3'!H11,'Table1.A(a)s4'!H11,'Table1.A(a)s4'!H94))</f>
        <v>118648.19675241421</v>
      </c>
      <c r="I11" s="1938">
        <f>IF(SUM(I18,'Table1.A(a)s2'!I11,'Table1.A(a)s3'!I11,'Table1.A(a)s4'!I11,'Table1.A(a)s4'!I94)=0,"NO",SUM(I18,'Table1.A(a)s2'!I11,'Table1.A(a)s3'!I11,'Table1.A(a)s4'!I11,'Table1.A(a)s4'!I94))</f>
        <v>20.009123738150343</v>
      </c>
      <c r="J11" s="1938">
        <f>IF(SUM(J18,'Table1.A(a)s2'!J11,'Table1.A(a)s3'!J11,'Table1.A(a)s4'!J11,'Table1.A(a)s4'!J94)=0,"NO",SUM(J18,'Table1.A(a)s2'!J11,'Table1.A(a)s3'!J11,'Table1.A(a)s4'!J11,'Table1.A(a)s4'!J94))</f>
        <v>7.577780404021631</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2183711.5172176557</v>
      </c>
      <c r="D12" s="3056" t="s">
        <v>97</v>
      </c>
      <c r="E12" s="1938">
        <f t="shared" ref="E12:E16" si="2">IFERROR(H12*1000/$C12,"NA")</f>
        <v>90.171766250783747</v>
      </c>
      <c r="F12" s="1938">
        <f t="shared" si="1"/>
        <v>0.71069319837952993</v>
      </c>
      <c r="G12" s="1938">
        <f t="shared" si="1"/>
        <v>1.3293970366265984</v>
      </c>
      <c r="H12" s="1938">
        <f>IF(SUM(H19,'Table1.A(a)s2'!H12,'Table1.A(a)s3'!H12,'Table1.A(a)s4'!H12,'Table1.A(a)s4'!H95)=0,"NO",SUM(H19,'Table1.A(a)s2'!H12,'Table1.A(a)s3'!H12,'Table1.A(a)s4'!H12,'Table1.A(a)s4'!H95))</f>
        <v>196909.12448969478</v>
      </c>
      <c r="I12" s="1938">
        <f>IF(SUM(I19,'Table1.A(a)s2'!I12,'Table1.A(a)s3'!I12,'Table1.A(a)s4'!I12,'Table1.A(a)s4'!I95)=0,"NO",SUM(I19,'Table1.A(a)s2'!I12,'Table1.A(a)s3'!I12,'Table1.A(a)s4'!I12,'Table1.A(a)s4'!I95))</f>
        <v>1.5519489225096317</v>
      </c>
      <c r="J12" s="1938">
        <f>IF(SUM(J19,'Table1.A(a)s2'!J12,'Table1.A(a)s3'!J12,'Table1.A(a)s4'!J12,'Table1.A(a)s4'!J95)=0,"NO",SUM(J19,'Table1.A(a)s2'!J12,'Table1.A(a)s3'!J12,'Table1.A(a)s4'!J12,'Table1.A(a)s4'!J95))</f>
        <v>2.9030196198365248</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1170551.6824036725</v>
      </c>
      <c r="D13" s="3056" t="s">
        <v>244</v>
      </c>
      <c r="E13" s="1938">
        <f t="shared" si="2"/>
        <v>51.288314742283738</v>
      </c>
      <c r="F13" s="1938">
        <f t="shared" si="1"/>
        <v>15.957314332467652</v>
      </c>
      <c r="G13" s="1938">
        <f t="shared" si="1"/>
        <v>0.90488041702860511</v>
      </c>
      <c r="H13" s="1938">
        <f>IF(SUM(H20,'Table1.A(a)s2'!H13,'Table1.A(a)s3'!H13,'Table1.A(a)s4'!H13,'Table1.A(a)s4'!H96)=0,"NO",SUM(H20,'Table1.A(a)s2'!H13,'Table1.A(a)s3'!H13,'Table1.A(a)s4'!H13,'Table1.A(a)s4'!H96))</f>
        <v>60035.623109229302</v>
      </c>
      <c r="I13" s="1938">
        <f>IF(SUM(I20,'Table1.A(a)s2'!I13,'Table1.A(a)s3'!I13,'Table1.A(a)s4'!I13,'Table1.A(a)s4'!I96)=0,"NO",SUM(I20,'Table1.A(a)s2'!I13,'Table1.A(a)s3'!I13,'Table1.A(a)s4'!I13,'Table1.A(a)s4'!I96))</f>
        <v>18.678861138514247</v>
      </c>
      <c r="J13" s="1938">
        <f>IF(SUM(J20,'Table1.A(a)s2'!J13,'Table1.A(a)s3'!J13,'Table1.A(a)s4'!J13,'Table1.A(a)s4'!J96)=0,"NO",SUM(J20,'Table1.A(a)s2'!J13,'Table1.A(a)s3'!J13,'Table1.A(a)s4'!J13,'Table1.A(a)s4'!J96))</f>
        <v>1.0592092945269704</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4858.475866858772</v>
      </c>
      <c r="D14" s="3056" t="s">
        <v>244</v>
      </c>
      <c r="E14" s="1938">
        <f t="shared" si="2"/>
        <v>89.936493051525417</v>
      </c>
      <c r="F14" s="1938">
        <f t="shared" si="1"/>
        <v>31.878310038851144</v>
      </c>
      <c r="G14" s="1938">
        <f t="shared" si="1"/>
        <v>0.99619718871409824</v>
      </c>
      <c r="H14" s="1938">
        <f>IF(SUM(H21,'Table1.A(a)s2'!H14,'Table1.A(a)s3'!H14,'Table1.A(a)s4'!H14,'Table1.A(a)s4'!H97)=0,"NO",SUM(H21,'Table1.A(a)s2'!H14,'Table1.A(a)s3'!H14,'Table1.A(a)s4'!H14,'Table1.A(a)s4'!H97))</f>
        <v>436.9542810407479</v>
      </c>
      <c r="I14" s="1938">
        <f>IF(SUM(I21,'Table1.A(a)s2'!I14,'Table1.A(a)s3'!I14,'Table1.A(a)s4'!I14,'Table1.A(a)s4'!I97)=0,"NO",SUM(I21,'Table1.A(a)s2'!I14,'Table1.A(a)s3'!I14,'Table1.A(a)s4'!I14,'Table1.A(a)s4'!I97))</f>
        <v>0.15487999999999999</v>
      </c>
      <c r="J14" s="1938">
        <f>IF(SUM(J21,'Table1.A(a)s2'!J14,'Table1.A(a)s3'!J14,'Table1.A(a)s4'!J14,'Table1.A(a)s4'!J97)=0,"NO",SUM(J21,'Table1.A(a)s2'!J14,'Table1.A(a)s3'!J14,'Table1.A(a)s4'!J14,'Table1.A(a)s4'!J97))</f>
        <v>4.8399999999999997E-3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173075.26233526709</v>
      </c>
      <c r="D16" s="3058" t="s">
        <v>244</v>
      </c>
      <c r="E16" s="2891">
        <f t="shared" si="2"/>
        <v>84.834829902612356</v>
      </c>
      <c r="F16" s="1938">
        <f t="shared" si="1"/>
        <v>262.36962252622959</v>
      </c>
      <c r="G16" s="1938">
        <f t="shared" si="1"/>
        <v>4.2595598081029333</v>
      </c>
      <c r="H16" s="2891">
        <f>IF(SUM(H23,'Table1.A(a)s2'!H16,'Table1.A(a)s3'!H15,'Table1.A(a)s4'!H16,'Table1.A(a)s4'!H99)=0,"NO",SUM(H23,'Table1.A(a)s2'!H16,'Table1.A(a)s3'!H15,'Table1.A(a)s4'!H16,'Table1.A(a)s4'!H99))</f>
        <v>14682.810440562396</v>
      </c>
      <c r="I16" s="2891">
        <f>IF(SUM(I23,'Table1.A(a)s2'!I16,'Table1.A(a)s3'!I15,'Table1.A(a)s4'!I16,'Table1.A(a)s4'!I99)=0,"NO",SUM(I23,'Table1.A(a)s2'!I16,'Table1.A(a)s3'!I15,'Table1.A(a)s4'!I16,'Table1.A(a)s4'!I99))</f>
        <v>45.409691247532187</v>
      </c>
      <c r="J16" s="2891">
        <f>IF(SUM(J23,'Table1.A(a)s2'!J16,'Table1.A(a)s3'!J15,'Table1.A(a)s4'!J16,'Table1.A(a)s4'!J99)=0,"NO",SUM(J23,'Table1.A(a)s2'!J16,'Table1.A(a)s3'!J15,'Table1.A(a)s4'!J16,'Table1.A(a)s4'!J99))</f>
        <v>0.73722443122017511</v>
      </c>
      <c r="K16" s="3045" t="str">
        <f>IF(SUM(K23,'Table1.A(a)s2'!K16,'Table1.A(a)s3'!K15,'Table1.A(a)s4'!K16,'Table1.A(a)s4'!K99)=0,"NO",SUM(K23,'Table1.A(a)s2'!K16,'Table1.A(a)s3'!K15,'Table1.A(a)s4'!K16,'Table1.A(a)s4'!K99))</f>
        <v>NO</v>
      </c>
    </row>
    <row r="17" spans="2:12" ht="18" customHeight="1" x14ac:dyDescent="0.2">
      <c r="B17" s="2209" t="s">
        <v>175</v>
      </c>
      <c r="C17" s="3046">
        <f>IF(SUM(C18:C23)=0,"NO",SUM(C18:C23))</f>
        <v>2900134.3807057319</v>
      </c>
      <c r="D17" s="3059" t="s">
        <v>97</v>
      </c>
      <c r="E17" s="3060"/>
      <c r="F17" s="3060"/>
      <c r="G17" s="3060"/>
      <c r="H17" s="3046">
        <f>IF(SUM(H18:H22)=0,"NO",SUM(H18:H22))</f>
        <v>230787.71621986479</v>
      </c>
      <c r="I17" s="3046">
        <f t="shared" ref="I17" si="3">IF(SUM(I18:I23)=0,"NO",SUM(I18:I23))</f>
        <v>22.703087244854057</v>
      </c>
      <c r="J17" s="3046">
        <f t="shared" ref="J17" si="4">IF(SUM(J18:J23)=0,"NO",SUM(J18:J23))</f>
        <v>3.9344495955182452</v>
      </c>
      <c r="K17" s="3047" t="str">
        <f t="shared" ref="K17" si="5">IF(SUM(K18:K23)=0,"NO",SUM(K18:K23))</f>
        <v>NO</v>
      </c>
    </row>
    <row r="18" spans="2:12" ht="18" customHeight="1" x14ac:dyDescent="0.2">
      <c r="B18" s="282" t="s">
        <v>243</v>
      </c>
      <c r="C18" s="3065">
        <f>IF(SUM(C25,C54,C61)=0,"NO",SUM(C25,C54,C61))</f>
        <v>177345.55651213913</v>
      </c>
      <c r="D18" s="3056" t="s">
        <v>97</v>
      </c>
      <c r="E18" s="1938">
        <f>IFERROR(H18*1000/$C18,"NA")</f>
        <v>67.246321717722637</v>
      </c>
      <c r="F18" s="1938">
        <f t="shared" ref="F18:G23" si="6">IFERROR(I18*1000000/$C18,"NA")</f>
        <v>2.4718078245880677</v>
      </c>
      <c r="G18" s="1938">
        <f t="shared" si="6"/>
        <v>1.4607996279194218</v>
      </c>
      <c r="H18" s="3065">
        <f>IF(SUM(H25,H54,H61)=0,"NO",SUM(H25,H54,H61))</f>
        <v>11925.836348423869</v>
      </c>
      <c r="I18" s="3065">
        <f>IF(SUM(I25,I54,I61)=0,"NO",SUM(I25,I54,I61))</f>
        <v>0.43836413424263082</v>
      </c>
      <c r="J18" s="3065">
        <f>IF(SUM(J25,J54,J61)=0,"NO",SUM(J25,J54,J61))</f>
        <v>0.25906632296609561</v>
      </c>
      <c r="K18" s="3048" t="str">
        <f>IF(SUM(K25,K54,K61)=0,"NO",SUM(K25,K54,K61))</f>
        <v>NO</v>
      </c>
      <c r="L18" s="19"/>
    </row>
    <row r="19" spans="2:12" ht="18" customHeight="1" x14ac:dyDescent="0.2">
      <c r="B19" s="282" t="s">
        <v>245</v>
      </c>
      <c r="C19" s="3065">
        <f t="shared" ref="C19:C23" si="7">IF(SUM(C26,C55,C62)=0,"NO",SUM(C26,C55,C62))</f>
        <v>2051515.0646525926</v>
      </c>
      <c r="D19" s="3056" t="s">
        <v>97</v>
      </c>
      <c r="E19" s="1938">
        <f t="shared" ref="E19:E23" si="8">IFERROR(H19*1000/$C19,"NA")</f>
        <v>90.78153533471604</v>
      </c>
      <c r="F19" s="1938">
        <f t="shared" si="6"/>
        <v>0.69732787589693346</v>
      </c>
      <c r="G19" s="1938">
        <f t="shared" si="6"/>
        <v>1.3708607967611148</v>
      </c>
      <c r="H19" s="3065">
        <f t="shared" ref="H19:K23" si="9">IF(SUM(H26,H55,H62)=0,"NO",SUM(H26,H55,H62))</f>
        <v>186239.68733146161</v>
      </c>
      <c r="I19" s="3065">
        <f t="shared" si="9"/>
        <v>1.4305786424047526</v>
      </c>
      <c r="J19" s="3065">
        <f t="shared" si="9"/>
        <v>2.8123415760970834</v>
      </c>
      <c r="K19" s="3048" t="str">
        <f t="shared" si="9"/>
        <v>NO</v>
      </c>
      <c r="L19" s="19"/>
    </row>
    <row r="20" spans="2:12" ht="18" customHeight="1" x14ac:dyDescent="0.2">
      <c r="B20" s="282" t="s">
        <v>246</v>
      </c>
      <c r="C20" s="3065">
        <f t="shared" si="7"/>
        <v>637523.60169300006</v>
      </c>
      <c r="D20" s="3056" t="s">
        <v>97</v>
      </c>
      <c r="E20" s="1938">
        <f t="shared" si="8"/>
        <v>51.170172293775792</v>
      </c>
      <c r="F20" s="1938">
        <f t="shared" si="6"/>
        <v>28.024329348781428</v>
      </c>
      <c r="G20" s="1938">
        <f t="shared" si="6"/>
        <v>1.1094732783483863</v>
      </c>
      <c r="H20" s="3065">
        <f t="shared" si="9"/>
        <v>32622.192539979304</v>
      </c>
      <c r="I20" s="3065">
        <f t="shared" si="9"/>
        <v>17.866171381465982</v>
      </c>
      <c r="J20" s="3065">
        <f t="shared" si="9"/>
        <v>0.70731540039480356</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33750.157848000003</v>
      </c>
      <c r="D23" s="3056" t="s">
        <v>97</v>
      </c>
      <c r="E23" s="1938">
        <f t="shared" si="8"/>
        <v>78.64625643184182</v>
      </c>
      <c r="F23" s="1938">
        <f t="shared" si="6"/>
        <v>87.939532019598289</v>
      </c>
      <c r="G23" s="1938">
        <f t="shared" si="6"/>
        <v>4.6140908958590616</v>
      </c>
      <c r="H23" s="3065">
        <f t="shared" si="9"/>
        <v>2654.3235687289471</v>
      </c>
      <c r="I23" s="3065">
        <f t="shared" si="9"/>
        <v>2.9679730867406926</v>
      </c>
      <c r="J23" s="3065">
        <f t="shared" si="9"/>
        <v>0.15572629606026306</v>
      </c>
      <c r="K23" s="3048" t="str">
        <f t="shared" si="9"/>
        <v>NO</v>
      </c>
      <c r="L23" s="19"/>
    </row>
    <row r="24" spans="2:12" ht="18" customHeight="1" x14ac:dyDescent="0.2">
      <c r="B24" s="1236" t="s">
        <v>250</v>
      </c>
      <c r="C24" s="3065">
        <f>IF(SUM(C25:C30)=0,"NO",SUM(C25:C30))</f>
        <v>2557303.6901003742</v>
      </c>
      <c r="D24" s="3056" t="s">
        <v>97</v>
      </c>
      <c r="E24" s="615"/>
      <c r="F24" s="615"/>
      <c r="G24" s="615"/>
      <c r="H24" s="3065">
        <f>IF(SUM(H25:H29)=0,"NO",SUM(H25:H29))</f>
        <v>210253.99342354815</v>
      </c>
      <c r="I24" s="3065">
        <f t="shared" ref="I24" si="10">IF(SUM(I25:I30)=0,"NO",SUM(I25:I30))</f>
        <v>15.701786207807046</v>
      </c>
      <c r="J24" s="3065">
        <f t="shared" ref="J24" si="11">IF(SUM(J25:J30)=0,"NO",SUM(J25:J30))</f>
        <v>3.5168888254111561</v>
      </c>
      <c r="K24" s="3048" t="str">
        <f t="shared" ref="K24" si="12">IF(SUM(K25:K30)=0,"NO",SUM(K25:K30))</f>
        <v>NO</v>
      </c>
      <c r="L24" s="19"/>
    </row>
    <row r="25" spans="2:12" ht="18" customHeight="1" x14ac:dyDescent="0.2">
      <c r="B25" s="160" t="s">
        <v>243</v>
      </c>
      <c r="C25" s="3053">
        <f>IF(SUM(C33,C40,C47)=0,"NO",SUM(C33,C40,C47))</f>
        <v>38707.61291779999</v>
      </c>
      <c r="D25" s="3061" t="s">
        <v>97</v>
      </c>
      <c r="E25" s="3065">
        <f>IFERROR(H25*1000/$C25,"NA")</f>
        <v>69.133491677876677</v>
      </c>
      <c r="F25" s="1938">
        <f t="shared" ref="F25:G30" si="13">IFERROR(I25*1000000/$C25,"NA")</f>
        <v>3.345963278505399</v>
      </c>
      <c r="G25" s="1938">
        <f t="shared" si="13"/>
        <v>0.38941905702891716</v>
      </c>
      <c r="H25" s="3065">
        <f>IF(SUM(H33,H40,H47)=0,"NO",SUM(H33,H40,H47))</f>
        <v>2675.9924355231974</v>
      </c>
      <c r="I25" s="3065">
        <f>IF(SUM(I33,I40,I47)=0,"NO",SUM(I33,I40,I47))</f>
        <v>0.12951425142155998</v>
      </c>
      <c r="J25" s="3065">
        <f>IF(SUM(J33,J40,J47)=0,"NO",SUM(J33,J40,J47))</f>
        <v>1.5073482122290004E-2</v>
      </c>
      <c r="K25" s="3048" t="str">
        <f>IF(SUM(K33,K40,K47)=0,"NO",SUM(K33,K40,K47))</f>
        <v>NO</v>
      </c>
      <c r="L25" s="19"/>
    </row>
    <row r="26" spans="2:12" ht="18" customHeight="1" x14ac:dyDescent="0.2">
      <c r="B26" s="160" t="s">
        <v>245</v>
      </c>
      <c r="C26" s="3065">
        <f t="shared" ref="C26:C30" si="14">IF(SUM(C34,C41,C48)=0,"NO",SUM(C34,C41,C48))</f>
        <v>2031402.9668485741</v>
      </c>
      <c r="D26" s="3061" t="s">
        <v>97</v>
      </c>
      <c r="E26" s="3065">
        <f t="shared" ref="E26:E30" si="15">IFERROR(H26*1000/$C26,"NA")</f>
        <v>90.779933721390137</v>
      </c>
      <c r="F26" s="1938">
        <f t="shared" si="13"/>
        <v>0.69470981387881325</v>
      </c>
      <c r="G26" s="1938">
        <f t="shared" si="13"/>
        <v>1.3763081524540643</v>
      </c>
      <c r="H26" s="3065">
        <f t="shared" ref="H26:K30" si="16">IF(SUM(H34,H41,H48)=0,"NO",SUM(H34,H41,H48))</f>
        <v>184410.62669194883</v>
      </c>
      <c r="I26" s="3065">
        <f t="shared" si="16"/>
        <v>1.411235577012242</v>
      </c>
      <c r="J26" s="3065">
        <f t="shared" si="16"/>
        <v>2.7958364641930662</v>
      </c>
      <c r="K26" s="3048" t="str">
        <f t="shared" si="16"/>
        <v>NO</v>
      </c>
      <c r="L26" s="19"/>
    </row>
    <row r="27" spans="2:12" ht="18" customHeight="1" x14ac:dyDescent="0.2">
      <c r="B27" s="160" t="s">
        <v>246</v>
      </c>
      <c r="C27" s="3065">
        <f t="shared" si="14"/>
        <v>453602.20200000005</v>
      </c>
      <c r="D27" s="3061" t="s">
        <v>97</v>
      </c>
      <c r="E27" s="3065">
        <f t="shared" si="15"/>
        <v>51.074210385063637</v>
      </c>
      <c r="F27" s="1938">
        <f t="shared" si="13"/>
        <v>24.677208700292514</v>
      </c>
      <c r="G27" s="1938">
        <f t="shared" si="13"/>
        <v>1.2143327332392446</v>
      </c>
      <c r="H27" s="3065">
        <f t="shared" si="16"/>
        <v>23167.374296076137</v>
      </c>
      <c r="I27" s="3065">
        <f t="shared" si="16"/>
        <v>11.193636205666245</v>
      </c>
      <c r="J27" s="3065">
        <f t="shared" si="16"/>
        <v>0.55082400175799995</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33590.908334</v>
      </c>
      <c r="D30" s="3061" t="s">
        <v>97</v>
      </c>
      <c r="E30" s="3065">
        <f t="shared" si="15"/>
        <v>78.696208834225231</v>
      </c>
      <c r="F30" s="1938">
        <f t="shared" si="13"/>
        <v>88.339384699027661</v>
      </c>
      <c r="G30" s="1938">
        <f t="shared" si="13"/>
        <v>4.6189545038517323</v>
      </c>
      <c r="H30" s="3065">
        <f t="shared" si="16"/>
        <v>2643.477137183781</v>
      </c>
      <c r="I30" s="3065">
        <f t="shared" si="16"/>
        <v>2.9674001737070004</v>
      </c>
      <c r="J30" s="3065">
        <f t="shared" si="16"/>
        <v>0.15515487733779998</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2557303.6901003742</v>
      </c>
      <c r="D32" s="3056" t="s">
        <v>97</v>
      </c>
      <c r="E32" s="1939"/>
      <c r="F32" s="1939"/>
      <c r="G32" s="1939"/>
      <c r="H32" s="3065">
        <f>IF(SUM(H33:H37)=0,"NO",SUM(H33:H37))</f>
        <v>210253.99342354815</v>
      </c>
      <c r="I32" s="3065">
        <f t="shared" ref="I32" si="17">IF(SUM(I33:I38)=0,"NO",SUM(I33:I38))</f>
        <v>15.701786207807046</v>
      </c>
      <c r="J32" s="3065">
        <f t="shared" ref="J32" si="18">IF(SUM(J33:J38)=0,"NO",SUM(J33:J38))</f>
        <v>3.5168888254111561</v>
      </c>
      <c r="K32" s="3048" t="str">
        <f t="shared" ref="K32" si="19">IF(SUM(K33:K38)=0,"NO",SUM(K33:K38))</f>
        <v>NO</v>
      </c>
      <c r="L32" s="19"/>
    </row>
    <row r="33" spans="2:12" ht="18" customHeight="1" x14ac:dyDescent="0.2">
      <c r="B33" s="160" t="s">
        <v>243</v>
      </c>
      <c r="C33" s="3014">
        <v>38707.61291779999</v>
      </c>
      <c r="D33" s="3056" t="s">
        <v>97</v>
      </c>
      <c r="E33" s="1938">
        <f>IFERROR(H33*1000/$C33,"NA")</f>
        <v>69.133491677876677</v>
      </c>
      <c r="F33" s="1938">
        <f t="shared" ref="F33:G38" si="20">IFERROR(I33*1000000/$C33,"NA")</f>
        <v>3.345963278505399</v>
      </c>
      <c r="G33" s="1938">
        <f t="shared" si="20"/>
        <v>0.38941905702891716</v>
      </c>
      <c r="H33" s="3014">
        <v>2675.9924355231974</v>
      </c>
      <c r="I33" s="3014">
        <v>0.12951425142155998</v>
      </c>
      <c r="J33" s="3014">
        <v>1.5073482122290004E-2</v>
      </c>
      <c r="K33" s="3051" t="s">
        <v>199</v>
      </c>
      <c r="L33" s="19"/>
    </row>
    <row r="34" spans="2:12" ht="18" customHeight="1" x14ac:dyDescent="0.2">
      <c r="B34" s="160" t="s">
        <v>245</v>
      </c>
      <c r="C34" s="3014">
        <v>2031402.9668485741</v>
      </c>
      <c r="D34" s="3056" t="s">
        <v>97</v>
      </c>
      <c r="E34" s="1938">
        <f t="shared" ref="E34:E38" si="21">IFERROR(H34*1000/$C34,"NA")</f>
        <v>90.779933721390137</v>
      </c>
      <c r="F34" s="1938">
        <f t="shared" si="20"/>
        <v>0.69470981387881325</v>
      </c>
      <c r="G34" s="1938">
        <f t="shared" si="20"/>
        <v>1.3763081524540643</v>
      </c>
      <c r="H34" s="3014">
        <v>184410.62669194883</v>
      </c>
      <c r="I34" s="3014">
        <v>1.411235577012242</v>
      </c>
      <c r="J34" s="3014">
        <v>2.7958364641930662</v>
      </c>
      <c r="K34" s="3051" t="s">
        <v>199</v>
      </c>
      <c r="L34" s="19"/>
    </row>
    <row r="35" spans="2:12" ht="18" customHeight="1" x14ac:dyDescent="0.2">
      <c r="B35" s="160" t="s">
        <v>246</v>
      </c>
      <c r="C35" s="3014">
        <v>453602.20200000005</v>
      </c>
      <c r="D35" s="3056" t="s">
        <v>97</v>
      </c>
      <c r="E35" s="1938">
        <f t="shared" si="21"/>
        <v>51.074210385063637</v>
      </c>
      <c r="F35" s="1938">
        <f t="shared" si="20"/>
        <v>24.677208700292514</v>
      </c>
      <c r="G35" s="1938">
        <f t="shared" si="20"/>
        <v>1.2143327332392446</v>
      </c>
      <c r="H35" s="3014">
        <v>23167.374296076137</v>
      </c>
      <c r="I35" s="3014">
        <v>11.193636205666245</v>
      </c>
      <c r="J35" s="3014">
        <v>0.55082400175799995</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33590.908334</v>
      </c>
      <c r="D38" s="3056" t="s">
        <v>97</v>
      </c>
      <c r="E38" s="1938">
        <f t="shared" si="21"/>
        <v>78.696208834225231</v>
      </c>
      <c r="F38" s="1938">
        <f t="shared" si="20"/>
        <v>88.339384699027661</v>
      </c>
      <c r="G38" s="1938">
        <f t="shared" si="20"/>
        <v>4.6189545038517323</v>
      </c>
      <c r="H38" s="3014">
        <v>2643.477137183781</v>
      </c>
      <c r="I38" s="3014">
        <v>2.9674001737070004</v>
      </c>
      <c r="J38" s="3014">
        <v>0.15515487733779998</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83907.365742439128</v>
      </c>
      <c r="D53" s="3056" t="s">
        <v>97</v>
      </c>
      <c r="E53" s="615"/>
      <c r="F53" s="615"/>
      <c r="G53" s="615"/>
      <c r="H53" s="3065">
        <f>IF(SUM(H54:H58)=0,"NO",SUM(H54:H58))</f>
        <v>5191.8922962258312</v>
      </c>
      <c r="I53" s="3065">
        <f t="shared" ref="I53:K53" si="28">IF(SUM(I54:I59)=0,"NO",SUM(I54:I59))</f>
        <v>8.1899229502998161E-2</v>
      </c>
      <c r="J53" s="3065">
        <f t="shared" si="28"/>
        <v>1.6247878718440242E-2</v>
      </c>
      <c r="K53" s="3048" t="str">
        <f t="shared" si="28"/>
        <v>NO</v>
      </c>
      <c r="L53" s="19"/>
    </row>
    <row r="54" spans="2:12" ht="18" customHeight="1" x14ac:dyDescent="0.2">
      <c r="B54" s="160" t="s">
        <v>243</v>
      </c>
      <c r="C54" s="3014">
        <v>69801.990955039131</v>
      </c>
      <c r="D54" s="3056" t="s">
        <v>97</v>
      </c>
      <c r="E54" s="1938">
        <f>IFERROR(H54*1000/$C54,"NA")</f>
        <v>64.006704242752392</v>
      </c>
      <c r="F54" s="1938">
        <f t="shared" ref="F54:G59" si="29">IFERROR(I54*1000000/$C54,"NA")</f>
        <v>0.96553606402666359</v>
      </c>
      <c r="G54" s="1938">
        <f t="shared" si="29"/>
        <v>0.14696176313363596</v>
      </c>
      <c r="H54" s="3014">
        <v>4467.7953906144676</v>
      </c>
      <c r="I54" s="3014">
        <v>6.7396339607953257E-2</v>
      </c>
      <c r="J54" s="3014">
        <v>1.025822366099066E-2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14105.3747874</v>
      </c>
      <c r="D56" s="3056" t="s">
        <v>97</v>
      </c>
      <c r="E56" s="1938">
        <f t="shared" si="30"/>
        <v>51.334822117465627</v>
      </c>
      <c r="F56" s="1938">
        <f t="shared" si="29"/>
        <v>1.0281818181818181</v>
      </c>
      <c r="G56" s="1938">
        <f t="shared" si="29"/>
        <v>0.42463636363636359</v>
      </c>
      <c r="H56" s="3014">
        <v>724.09690561136358</v>
      </c>
      <c r="I56" s="3014">
        <v>1.4502889895044908E-2</v>
      </c>
      <c r="J56" s="3014">
        <v>5.9896550574495815E-3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258923.32486291855</v>
      </c>
      <c r="D60" s="3056" t="s">
        <v>97</v>
      </c>
      <c r="E60" s="615"/>
      <c r="F60" s="615"/>
      <c r="G60" s="615"/>
      <c r="H60" s="3065">
        <f>IF(SUM(H61:H65)=0,"NO",SUM(H61:H65))</f>
        <v>15341.830500090799</v>
      </c>
      <c r="I60" s="3065">
        <f t="shared" ref="I60:K60" si="31">IF(SUM(I61:I66)=0,"NO",SUM(I61:I66))</f>
        <v>6.9194018075440127</v>
      </c>
      <c r="J60" s="3065">
        <f t="shared" si="31"/>
        <v>0.40131289138864945</v>
      </c>
      <c r="K60" s="3048" t="str">
        <f t="shared" si="31"/>
        <v>NO</v>
      </c>
      <c r="L60" s="19"/>
    </row>
    <row r="61" spans="2:12" ht="18" customHeight="1" x14ac:dyDescent="0.2">
      <c r="B61" s="160" t="s">
        <v>243</v>
      </c>
      <c r="C61" s="3053">
        <f>IF(SUM(C69,C76,C83)=0,"NO",SUM(C69,C76,C83))</f>
        <v>68835.952639299998</v>
      </c>
      <c r="D61" s="3056" t="s">
        <v>97</v>
      </c>
      <c r="E61" s="1938">
        <f>IFERROR(H61*1000/$C61,"NA")</f>
        <v>69.470216346741225</v>
      </c>
      <c r="F61" s="1938">
        <f t="shared" ref="F61:G66" si="32">IFERROR(I61*1000000/$C61,"NA")</f>
        <v>3.5076661825010658</v>
      </c>
      <c r="G61" s="1938">
        <f t="shared" si="32"/>
        <v>3.3955310883483087</v>
      </c>
      <c r="H61" s="3053">
        <f>IF(SUM(H69,H76,H83)=0,"NO",SUM(H69,H76,H83))</f>
        <v>4782.0485222862035</v>
      </c>
      <c r="I61" s="3053">
        <f>IF(SUM(I69,I76,I83)=0,"NO",SUM(I69,I76,I83))</f>
        <v>0.24145354321311757</v>
      </c>
      <c r="J61" s="3053">
        <f>IF(SUM(J69,J76,J83)=0,"NO",SUM(J69,J76,J83))</f>
        <v>0.23373461718281496</v>
      </c>
      <c r="K61" s="3067" t="str">
        <f>IF(SUM(K69,K76,K83)=0,"NO",SUM(K69,K76,K83))</f>
        <v>NO</v>
      </c>
    </row>
    <row r="62" spans="2:12" ht="18" customHeight="1" x14ac:dyDescent="0.2">
      <c r="B62" s="160" t="s">
        <v>245</v>
      </c>
      <c r="C62" s="3053">
        <f t="shared" ref="C62:C66" si="33">IF(SUM(C70,C77,C84)=0,"NO",SUM(C70,C77,C84))</f>
        <v>20112.097804018511</v>
      </c>
      <c r="D62" s="3056" t="s">
        <v>97</v>
      </c>
      <c r="E62" s="1938">
        <f t="shared" ref="E62:E66" si="34">IFERROR(H62*1000/$C62,"NA")</f>
        <v>90.943304738073365</v>
      </c>
      <c r="F62" s="1938">
        <f t="shared" si="32"/>
        <v>0.96176269531891878</v>
      </c>
      <c r="G62" s="1938">
        <f t="shared" si="32"/>
        <v>0.82065590893852502</v>
      </c>
      <c r="H62" s="3053">
        <f t="shared" ref="H62:K66" si="35">IF(SUM(H70,H77,H84)=0,"NO",SUM(H70,H77,H84))</f>
        <v>1829.0606395127916</v>
      </c>
      <c r="I62" s="3053">
        <f t="shared" si="35"/>
        <v>1.9343065392510551E-2</v>
      </c>
      <c r="J62" s="3053">
        <f t="shared" si="35"/>
        <v>1.6505111904017326E-2</v>
      </c>
      <c r="K62" s="3067" t="str">
        <f t="shared" si="35"/>
        <v>NO</v>
      </c>
    </row>
    <row r="63" spans="2:12" ht="18" customHeight="1" x14ac:dyDescent="0.2">
      <c r="B63" s="160" t="s">
        <v>246</v>
      </c>
      <c r="C63" s="3053">
        <f t="shared" si="33"/>
        <v>169816.02490560003</v>
      </c>
      <c r="D63" s="3056" t="s">
        <v>97</v>
      </c>
      <c r="E63" s="1938">
        <f t="shared" si="34"/>
        <v>51.412823631604688</v>
      </c>
      <c r="F63" s="1938">
        <f t="shared" si="32"/>
        <v>39.207326220277871</v>
      </c>
      <c r="G63" s="1938">
        <f t="shared" si="32"/>
        <v>0.88626349405491811</v>
      </c>
      <c r="H63" s="3053">
        <f t="shared" si="35"/>
        <v>8730.7213382918035</v>
      </c>
      <c r="I63" s="3053">
        <f t="shared" si="35"/>
        <v>6.6580322859046923</v>
      </c>
      <c r="J63" s="3053">
        <f t="shared" si="35"/>
        <v>0.15050174357935409</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159.249514</v>
      </c>
      <c r="D66" s="3056" t="s">
        <v>97</v>
      </c>
      <c r="E66" s="1938">
        <f t="shared" si="34"/>
        <v>68.109668109668107</v>
      </c>
      <c r="F66" s="1938">
        <f t="shared" si="32"/>
        <v>3.5975810493976876</v>
      </c>
      <c r="G66" s="1938">
        <f t="shared" si="32"/>
        <v>3.5881975907510713</v>
      </c>
      <c r="H66" s="3053">
        <f t="shared" si="35"/>
        <v>10.846431545165943</v>
      </c>
      <c r="I66" s="3053">
        <f t="shared" si="35"/>
        <v>5.7291303369219181E-4</v>
      </c>
      <c r="J66" s="3053">
        <f t="shared" si="35"/>
        <v>5.7141872246307902E-4</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20115.970394418513</v>
      </c>
      <c r="D68" s="3056" t="s">
        <v>97</v>
      </c>
      <c r="E68" s="615"/>
      <c r="F68" s="615"/>
      <c r="G68" s="615"/>
      <c r="H68" s="3065">
        <f>IF(SUM(H69:H73)=0,"NO",SUM(H69:H73))</f>
        <v>1829.3326553855311</v>
      </c>
      <c r="I68" s="3065">
        <f t="shared" ref="I68:K68" si="36">IF(SUM(I69:I74)=0,"NO",SUM(I69:I74))</f>
        <v>1.9355467131205468E-2</v>
      </c>
      <c r="J68" s="3065">
        <f t="shared" si="36"/>
        <v>1.651705531932475E-2</v>
      </c>
      <c r="K68" s="3048" t="str">
        <f t="shared" si="36"/>
        <v>NO</v>
      </c>
    </row>
    <row r="69" spans="2:11" ht="18" customHeight="1" x14ac:dyDescent="0.2">
      <c r="B69" s="282" t="s">
        <v>243</v>
      </c>
      <c r="C69" s="3014">
        <v>3.8581673000000007</v>
      </c>
      <c r="D69" s="3055" t="s">
        <v>97</v>
      </c>
      <c r="E69" s="1938">
        <f>IFERROR(H69*1000/$C69,"NA")</f>
        <v>70.311713413775493</v>
      </c>
      <c r="F69" s="1938">
        <f t="shared" ref="F69:G74" si="37">IFERROR(I69*1000000/$C69,"NA")</f>
        <v>3.2070269520102315</v>
      </c>
      <c r="G69" s="1938">
        <f t="shared" si="37"/>
        <v>3.0923110789695811</v>
      </c>
      <c r="H69" s="3014">
        <v>0.27127435350000001</v>
      </c>
      <c r="I69" s="3014">
        <v>1.2373246516464548E-5</v>
      </c>
      <c r="J69" s="3014">
        <v>1.1930653486308158E-5</v>
      </c>
      <c r="K69" s="3051" t="s">
        <v>199</v>
      </c>
    </row>
    <row r="70" spans="2:11" ht="18" customHeight="1" x14ac:dyDescent="0.2">
      <c r="B70" s="282" t="s">
        <v>245</v>
      </c>
      <c r="C70" s="3014">
        <v>20112.097804018511</v>
      </c>
      <c r="D70" s="3055" t="s">
        <v>97</v>
      </c>
      <c r="E70" s="1938">
        <f t="shared" ref="E70:E74" si="38">IFERROR(H70*1000/$C70,"NA")</f>
        <v>90.943304738073365</v>
      </c>
      <c r="F70" s="1938">
        <f t="shared" si="37"/>
        <v>0.96176269531891878</v>
      </c>
      <c r="G70" s="1938">
        <f t="shared" si="37"/>
        <v>0.82065590893852502</v>
      </c>
      <c r="H70" s="3014">
        <v>1829.0606395127916</v>
      </c>
      <c r="I70" s="3014">
        <v>1.9343065392510551E-2</v>
      </c>
      <c r="J70" s="3014">
        <v>1.6505111904017326E-2</v>
      </c>
      <c r="K70" s="3051" t="s">
        <v>199</v>
      </c>
    </row>
    <row r="71" spans="2:11" ht="18" customHeight="1" x14ac:dyDescent="0.2">
      <c r="B71" s="160" t="s">
        <v>246</v>
      </c>
      <c r="C71" s="3014">
        <v>1.4423099999999999E-2</v>
      </c>
      <c r="D71" s="3055" t="s">
        <v>97</v>
      </c>
      <c r="E71" s="1938">
        <f t="shared" si="38"/>
        <v>51.411918339265007</v>
      </c>
      <c r="F71" s="1938">
        <f t="shared" si="37"/>
        <v>1.9754545454545456</v>
      </c>
      <c r="G71" s="1938">
        <f t="shared" si="37"/>
        <v>0.88481818181818184</v>
      </c>
      <c r="H71" s="3014">
        <v>7.4151923939905304E-4</v>
      </c>
      <c r="I71" s="3014">
        <v>2.8492178454545456E-8</v>
      </c>
      <c r="J71" s="3014">
        <v>1.2761821118181818E-8</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164782.97809440005</v>
      </c>
      <c r="D75" s="3056" t="s">
        <v>97</v>
      </c>
      <c r="E75" s="615"/>
      <c r="F75" s="615"/>
      <c r="G75" s="615"/>
      <c r="H75" s="3065">
        <f>IF(SUM(H76:H80)=0,"NO",SUM(H76:H80))</f>
        <v>8544.8674767219345</v>
      </c>
      <c r="I75" s="3065">
        <f t="shared" ref="I75:K75" si="39">IF(SUM(I76:I81)=0,"NO",SUM(I76:I81))</f>
        <v>6.6355467279901958</v>
      </c>
      <c r="J75" s="3065">
        <f t="shared" si="39"/>
        <v>0.14844254867366874</v>
      </c>
      <c r="K75" s="3048" t="str">
        <f t="shared" si="39"/>
        <v>NO</v>
      </c>
    </row>
    <row r="76" spans="2:11" ht="18" customHeight="1" x14ac:dyDescent="0.2">
      <c r="B76" s="282" t="s">
        <v>243</v>
      </c>
      <c r="C76" s="3014">
        <v>5246.0974210000004</v>
      </c>
      <c r="D76" s="3055" t="s">
        <v>97</v>
      </c>
      <c r="E76" s="1938">
        <f>IFERROR(H76*1000/$C76,"NA")</f>
        <v>65.338168152944903</v>
      </c>
      <c r="F76" s="1938">
        <f t="shared" ref="F76:G81" si="40">IFERROR(I76*1000000/$C76,"NA")</f>
        <v>2.3653333055946506</v>
      </c>
      <c r="G76" s="1938">
        <f t="shared" si="40"/>
        <v>1.3879681216249191</v>
      </c>
      <c r="H76" s="3014">
        <v>342.77039544002861</v>
      </c>
      <c r="I76" s="3014">
        <v>1.2408768954285502E-2</v>
      </c>
      <c r="J76" s="3014">
        <v>7.2814159832867023E-3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159536.88067340004</v>
      </c>
      <c r="D78" s="3055" t="s">
        <v>97</v>
      </c>
      <c r="E78" s="1938">
        <f t="shared" si="41"/>
        <v>51.411918339264986</v>
      </c>
      <c r="F78" s="1938">
        <f t="shared" si="40"/>
        <v>41.51477659008912</v>
      </c>
      <c r="G78" s="1938">
        <f t="shared" si="40"/>
        <v>0.88481818181818161</v>
      </c>
      <c r="H78" s="3014">
        <v>8202.097081281905</v>
      </c>
      <c r="I78" s="3014">
        <v>6.6231379590359101</v>
      </c>
      <c r="J78" s="3014">
        <v>0.14116113269038202</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74024.376374099986</v>
      </c>
      <c r="D82" s="3056" t="s">
        <v>97</v>
      </c>
      <c r="E82" s="615"/>
      <c r="F82" s="615"/>
      <c r="G82" s="615"/>
      <c r="H82" s="3065">
        <f>IF(SUM(H83:H87)=0,"NO",SUM(H83:H87))</f>
        <v>4967.6303679833336</v>
      </c>
      <c r="I82" s="3065">
        <f t="shared" ref="I82:K82" si="42">IF(SUM(I83:I88)=0,"NO",SUM(I83:I88))</f>
        <v>0.26449961242261172</v>
      </c>
      <c r="J82" s="3065">
        <f t="shared" si="42"/>
        <v>0.23635328739565598</v>
      </c>
      <c r="K82" s="3048" t="str">
        <f t="shared" si="42"/>
        <v>NO</v>
      </c>
    </row>
    <row r="83" spans="2:11" ht="18" customHeight="1" x14ac:dyDescent="0.2">
      <c r="B83" s="282" t="s">
        <v>243</v>
      </c>
      <c r="C83" s="3014">
        <v>63585.997050999991</v>
      </c>
      <c r="D83" s="3055" t="s">
        <v>97</v>
      </c>
      <c r="E83" s="1938">
        <f>IFERROR(H83*1000/$C83,"NA")</f>
        <v>69.811075682784534</v>
      </c>
      <c r="F83" s="1938">
        <f t="shared" ref="F83:G88" si="43">IFERROR(I83*1000000/$C83,"NA")</f>
        <v>3.6019314256976602</v>
      </c>
      <c r="G83" s="1938">
        <f t="shared" si="43"/>
        <v>3.5611814086114233</v>
      </c>
      <c r="H83" s="3014">
        <v>4439.0068524926746</v>
      </c>
      <c r="I83" s="3014">
        <v>0.22903240101231562</v>
      </c>
      <c r="J83" s="3014">
        <v>0.22644127054604196</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10279.129809100003</v>
      </c>
      <c r="D85" s="3055" t="s">
        <v>97</v>
      </c>
      <c r="E85" s="1938">
        <f t="shared" si="44"/>
        <v>51.42687419149766</v>
      </c>
      <c r="F85" s="1938">
        <f t="shared" si="43"/>
        <v>3.3946743571340421</v>
      </c>
      <c r="G85" s="1938">
        <f t="shared" si="43"/>
        <v>0.90869541494473649</v>
      </c>
      <c r="H85" s="3014">
        <v>528.6235154906592</v>
      </c>
      <c r="I85" s="3014">
        <v>3.4894298376603919E-2</v>
      </c>
      <c r="J85" s="3014">
        <v>9.3405981271509377E-3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159.249514</v>
      </c>
      <c r="D88" s="3063" t="s">
        <v>97</v>
      </c>
      <c r="E88" s="2891">
        <f t="shared" si="44"/>
        <v>68.109668109668107</v>
      </c>
      <c r="F88" s="2891">
        <f t="shared" si="43"/>
        <v>3.5975810493976876</v>
      </c>
      <c r="G88" s="2891">
        <f t="shared" si="43"/>
        <v>3.5881975907510713</v>
      </c>
      <c r="H88" s="3021">
        <v>10.846431545165943</v>
      </c>
      <c r="I88" s="3021">
        <v>5.7291303369219181E-4</v>
      </c>
      <c r="J88" s="3021">
        <v>5.7141872246307902E-4</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35818232.791474834</v>
      </c>
      <c r="G10" s="4346" t="s">
        <v>205</v>
      </c>
      <c r="H10" s="4347">
        <f t="shared" ref="H10:H13" si="0">IF(SUM($F10)=0,"NA",K10*1000/$F10)</f>
        <v>1.9254867775501609E-2</v>
      </c>
      <c r="I10" s="4348">
        <f t="shared" ref="I10:I13" si="1">IF(SUM($F10)=0,"NA",L10*1000/$F10)</f>
        <v>4.2257853168052421E-4</v>
      </c>
      <c r="J10" s="4349" t="str">
        <f>IF(SUM(J11,J25,J36,J48,J59,J70,J76)=0,"IE",SUM(J11,J25,J36,J48,J59,J70,J76))</f>
        <v>IE</v>
      </c>
      <c r="K10" s="4350">
        <f>IF(SUM(K11,K25,K36,K48,K59,K70,K76)=0,"NO",SUM(K11,K25,K36,K48,K59,K70,K76))</f>
        <v>689.67533635198379</v>
      </c>
      <c r="L10" s="4351">
        <f>IF(SUM(L11,L25,L36,L48,L59,L70,L76)=0,"NO",SUM(L11,L25,L36,L48,L59,L70,L76))</f>
        <v>15.136016220412639</v>
      </c>
    </row>
    <row r="11" spans="2:13" ht="18" customHeight="1" x14ac:dyDescent="0.2">
      <c r="B11" s="934" t="s">
        <v>1662</v>
      </c>
      <c r="C11" s="4352"/>
      <c r="D11" s="4353"/>
      <c r="E11" s="2866" t="s">
        <v>1661</v>
      </c>
      <c r="F11" s="4354">
        <f>IF(SUM(F12,F19)=0,"NO",SUM(F12,F19))</f>
        <v>8339747.6440737816</v>
      </c>
      <c r="G11" s="4355" t="s">
        <v>205</v>
      </c>
      <c r="H11" s="4356">
        <f t="shared" si="0"/>
        <v>3.8319118788155818E-2</v>
      </c>
      <c r="I11" s="4357">
        <f t="shared" si="1"/>
        <v>6.1390905613512676E-4</v>
      </c>
      <c r="J11" s="4358" t="str">
        <f>IF(SUM(J12,J19)=0,"IE",SUM(J12,J19))</f>
        <v>IE</v>
      </c>
      <c r="K11" s="4359">
        <f>IF(SUM(K12,K19)=0,"NO",SUM(K12,K19))</f>
        <v>319.57178063650588</v>
      </c>
      <c r="L11" s="4360">
        <f>IF(SUM(L12,L19)=0,"NO",SUM(L12,L19))</f>
        <v>5.1198466045784823</v>
      </c>
      <c r="M11" s="472"/>
    </row>
    <row r="12" spans="2:13" ht="18" customHeight="1" x14ac:dyDescent="0.2">
      <c r="B12" s="906" t="s">
        <v>1663</v>
      </c>
      <c r="C12" s="4361"/>
      <c r="D12" s="4362"/>
      <c r="E12" s="4363" t="s">
        <v>1661</v>
      </c>
      <c r="F12" s="4364">
        <f>IF(SUM(F13,F17)=0,"NO",SUM(F13,F17))</f>
        <v>8327399.654134376</v>
      </c>
      <c r="G12" s="4365" t="str">
        <f>IFERROR(IF(SUM($F12)=0,"NA",J12*1000/$F12),"NA")</f>
        <v>NA</v>
      </c>
      <c r="H12" s="4366">
        <f t="shared" si="0"/>
        <v>3.8084238320965719E-2</v>
      </c>
      <c r="I12" s="4367">
        <f t="shared" si="1"/>
        <v>6.1041785816625174E-4</v>
      </c>
      <c r="J12" s="4170" t="str">
        <f>IF(SUM(J13,J17)=0,"IE",SUM(J13,J17))</f>
        <v>IE</v>
      </c>
      <c r="K12" s="3057">
        <f>IF(SUM(K13,K17)=0,"NO",SUM(K13,K17))</f>
        <v>317.14267302198107</v>
      </c>
      <c r="L12" s="3106">
        <f>IF(SUM(L13,L17)=0,"NO",SUM(L13,L17))</f>
        <v>5.0831934609710911</v>
      </c>
    </row>
    <row r="13" spans="2:13" ht="18" customHeight="1" x14ac:dyDescent="0.2">
      <c r="B13" s="926" t="s">
        <v>1664</v>
      </c>
      <c r="C13" s="4361"/>
      <c r="D13" s="4362"/>
      <c r="E13" s="4363" t="s">
        <v>1661</v>
      </c>
      <c r="F13" s="4368">
        <f>IF(SUM(F14:F16)=0,"NO",SUM(F14:F16))</f>
        <v>7845123.2074163454</v>
      </c>
      <c r="G13" s="4369" t="str">
        <f t="shared" ref="G13:G76" si="2">IFERROR(IF(SUM($F13)=0,"NA",J13*1000/$F13),"NA")</f>
        <v>NA</v>
      </c>
      <c r="H13" s="4370">
        <f t="shared" si="0"/>
        <v>2.7859376456564219E-2</v>
      </c>
      <c r="I13" s="4371">
        <f t="shared" si="1"/>
        <v>5.3098662755045214E-4</v>
      </c>
      <c r="J13" s="4170" t="str">
        <f>IF(SUM(J14:J16)=0,"IE",SUM(J14:J16))</f>
        <v>IE</v>
      </c>
      <c r="K13" s="4170">
        <f>IF(SUM(K14:K16)=0,"NO",SUM(K14:K16))</f>
        <v>218.56024078354051</v>
      </c>
      <c r="L13" s="4372">
        <f>IF(SUM(L14:L16)=0,"NO",SUM(L14:L16))</f>
        <v>4.1656555146237917</v>
      </c>
      <c r="M13" s="472"/>
    </row>
    <row r="14" spans="2:13" ht="18" customHeight="1" x14ac:dyDescent="0.2">
      <c r="B14" s="926"/>
      <c r="C14" s="2864" t="s">
        <v>1665</v>
      </c>
      <c r="D14" s="4373" t="s">
        <v>1219</v>
      </c>
      <c r="E14" s="4374" t="s">
        <v>1661</v>
      </c>
      <c r="F14" s="4375">
        <v>369193.22696630878</v>
      </c>
      <c r="G14" s="4369" t="str">
        <f t="shared" si="2"/>
        <v>NA</v>
      </c>
      <c r="H14" s="4370">
        <f>IF(SUM($F14)=0,"NA",K14*1000/$F14)</f>
        <v>0.11342430402112112</v>
      </c>
      <c r="I14" s="4371">
        <f>IF(SUM($F14)=0,"NA",L14*1000/$F14)</f>
        <v>1.1576919157590252E-3</v>
      </c>
      <c r="J14" s="4376" t="s">
        <v>274</v>
      </c>
      <c r="K14" s="4377">
        <v>41.875484817965379</v>
      </c>
      <c r="L14" s="4378">
        <v>0.42741201421188257</v>
      </c>
      <c r="M14" s="472"/>
    </row>
    <row r="15" spans="2:13" ht="18" customHeight="1" x14ac:dyDescent="0.2">
      <c r="B15" s="926"/>
      <c r="C15" s="2864" t="s">
        <v>1666</v>
      </c>
      <c r="D15" s="4373" t="s">
        <v>1219</v>
      </c>
      <c r="E15" s="4379" t="s">
        <v>1661</v>
      </c>
      <c r="F15" s="4380">
        <v>7970.871789650826</v>
      </c>
      <c r="G15" s="4369" t="str">
        <f t="shared" si="2"/>
        <v>NA</v>
      </c>
      <c r="H15" s="4370">
        <f t="shared" ref="H15:H77" si="3">IF(SUM($F15)=0,"NA",K15*1000/$F15)</f>
        <v>1.4608695209488802</v>
      </c>
      <c r="I15" s="4371">
        <f t="shared" ref="I15:I77" si="4">IF(SUM($F15)=0,"NA",L15*1000/$F15)</f>
        <v>2.7005796283096659E-2</v>
      </c>
      <c r="J15" s="4376" t="s">
        <v>274</v>
      </c>
      <c r="K15" s="4377">
        <v>11.644403652892146</v>
      </c>
      <c r="L15" s="4381">
        <v>0.2152597397499923</v>
      </c>
      <c r="M15" s="472"/>
    </row>
    <row r="16" spans="2:13" ht="18" customHeight="1" x14ac:dyDescent="0.2">
      <c r="B16" s="926"/>
      <c r="C16" s="2864" t="s">
        <v>1342</v>
      </c>
      <c r="D16" s="4373" t="s">
        <v>1219</v>
      </c>
      <c r="E16" s="4379" t="s">
        <v>1661</v>
      </c>
      <c r="F16" s="4380">
        <v>7467959.1086603859</v>
      </c>
      <c r="G16" s="4369" t="str">
        <f t="shared" si="2"/>
        <v>NA</v>
      </c>
      <c r="H16" s="4370">
        <f t="shared" si="3"/>
        <v>2.2099793251584659E-2</v>
      </c>
      <c r="I16" s="4371">
        <f t="shared" si="4"/>
        <v>4.7174652530922536E-4</v>
      </c>
      <c r="J16" s="4376" t="s">
        <v>274</v>
      </c>
      <c r="K16" s="4377">
        <v>165.04035231268298</v>
      </c>
      <c r="L16" s="4381">
        <v>3.5229837606619165</v>
      </c>
      <c r="M16" s="472"/>
    </row>
    <row r="17" spans="2:13" ht="18" customHeight="1" x14ac:dyDescent="0.2">
      <c r="B17" s="926" t="s">
        <v>1667</v>
      </c>
      <c r="C17" s="4361"/>
      <c r="D17" s="4362"/>
      <c r="E17" s="4382" t="s">
        <v>1661</v>
      </c>
      <c r="F17" s="4368">
        <f>F18</f>
        <v>482276.44671803049</v>
      </c>
      <c r="G17" s="4369" t="str">
        <f t="shared" si="2"/>
        <v>NA</v>
      </c>
      <c r="H17" s="4370">
        <f t="shared" si="3"/>
        <v>0.20441062985619557</v>
      </c>
      <c r="I17" s="4371">
        <f t="shared" si="4"/>
        <v>1.9025145279046789E-3</v>
      </c>
      <c r="J17" s="4170" t="str">
        <f>J18</f>
        <v>IE</v>
      </c>
      <c r="K17" s="4170">
        <f>K18</f>
        <v>98.582432238440546</v>
      </c>
      <c r="L17" s="4372">
        <f>L18</f>
        <v>0.91753794634729979</v>
      </c>
      <c r="M17" s="472"/>
    </row>
    <row r="18" spans="2:13" ht="18" customHeight="1" x14ac:dyDescent="0.2">
      <c r="B18" s="926"/>
      <c r="C18" s="2864" t="s">
        <v>1668</v>
      </c>
      <c r="D18" s="4373" t="s">
        <v>1219</v>
      </c>
      <c r="E18" s="4379" t="s">
        <v>1661</v>
      </c>
      <c r="F18" s="4375">
        <v>482276.44671803049</v>
      </c>
      <c r="G18" s="4369" t="str">
        <f t="shared" si="2"/>
        <v>NA</v>
      </c>
      <c r="H18" s="4370">
        <f t="shared" si="3"/>
        <v>0.20441062985619557</v>
      </c>
      <c r="I18" s="4371">
        <f t="shared" si="4"/>
        <v>1.9025145279046789E-3</v>
      </c>
      <c r="J18" s="4376" t="s">
        <v>274</v>
      </c>
      <c r="K18" s="4377">
        <v>98.582432238440546</v>
      </c>
      <c r="L18" s="4378">
        <v>0.91753794634729979</v>
      </c>
      <c r="M18" s="472"/>
    </row>
    <row r="19" spans="2:13" ht="18" customHeight="1" x14ac:dyDescent="0.2">
      <c r="B19" s="906" t="s">
        <v>1669</v>
      </c>
      <c r="C19" s="4361"/>
      <c r="D19" s="4362"/>
      <c r="E19" s="4382" t="s">
        <v>1661</v>
      </c>
      <c r="F19" s="4383">
        <f>IF(SUM(F20,F23)=0,"NO",SUM(F20,F23))</f>
        <v>12347.98993940591</v>
      </c>
      <c r="G19" s="4365" t="s">
        <v>205</v>
      </c>
      <c r="H19" s="4366">
        <f t="shared" si="3"/>
        <v>0.19672089355797664</v>
      </c>
      <c r="I19" s="4367">
        <f t="shared" si="4"/>
        <v>2.9683490015180881E-3</v>
      </c>
      <c r="J19" s="4170" t="str">
        <f>IF(SUM(J20,J23)=0,"IE",SUM(J20,J23))</f>
        <v>IE</v>
      </c>
      <c r="K19" s="3057">
        <f>IF(SUM(K20,K23)=0,"NO",SUM(K20,K23))</f>
        <v>2.4291076145248365</v>
      </c>
      <c r="L19" s="3106">
        <f>IF(SUM(L20,L23)=0,"NO",SUM(L20,L23))</f>
        <v>3.6653143607390928E-2</v>
      </c>
    </row>
    <row r="20" spans="2:13" ht="18" customHeight="1" x14ac:dyDescent="0.2">
      <c r="B20" s="926" t="s">
        <v>1670</v>
      </c>
      <c r="C20" s="4361"/>
      <c r="D20" s="4362"/>
      <c r="E20" s="4382" t="s">
        <v>1661</v>
      </c>
      <c r="F20" s="4368">
        <f>IF(SUM(F21:F22)=0,"NO",SUM(F21:F22))</f>
        <v>5168.6815030887483</v>
      </c>
      <c r="G20" s="4369" t="str">
        <f t="shared" si="2"/>
        <v>NA</v>
      </c>
      <c r="H20" s="4370">
        <f t="shared" si="3"/>
        <v>0.28531505085571157</v>
      </c>
      <c r="I20" s="4371">
        <f t="shared" si="4"/>
        <v>5.358712930220175E-3</v>
      </c>
      <c r="J20" s="4170" t="str">
        <f>IF(SUM(J21:J22)=0,"IE",SUM(J21:J22))</f>
        <v>IE</v>
      </c>
      <c r="K20" s="4170">
        <f>IF(SUM(K21:K22)=0,"NO",SUM(K21:K22))</f>
        <v>1.4747026259107419</v>
      </c>
      <c r="L20" s="4372">
        <f>IF(SUM(L21:L22)=0,"NO",SUM(L21:L22))</f>
        <v>2.7697480402791526E-2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1.3643266858183278</v>
      </c>
      <c r="L21" s="4378">
        <v>2.5221094705891588E-2</v>
      </c>
      <c r="M21" s="472"/>
    </row>
    <row r="22" spans="2:13" ht="18" customHeight="1" x14ac:dyDescent="0.2">
      <c r="B22" s="926"/>
      <c r="C22" s="2864" t="s">
        <v>1342</v>
      </c>
      <c r="D22" s="4373" t="s">
        <v>1219</v>
      </c>
      <c r="E22" s="4379" t="s">
        <v>1661</v>
      </c>
      <c r="F22" s="4380">
        <v>5168.6815030887483</v>
      </c>
      <c r="G22" s="4369" t="str">
        <f t="shared" si="2"/>
        <v>NA</v>
      </c>
      <c r="H22" s="4370">
        <f t="shared" si="3"/>
        <v>2.1354757499848758E-2</v>
      </c>
      <c r="I22" s="4371">
        <f t="shared" si="4"/>
        <v>4.7911361832221139E-4</v>
      </c>
      <c r="J22" s="4376" t="s">
        <v>274</v>
      </c>
      <c r="K22" s="4377">
        <v>0.110375940092414</v>
      </c>
      <c r="L22" s="4381">
        <v>2.4763856968999364E-3</v>
      </c>
      <c r="M22" s="472"/>
    </row>
    <row r="23" spans="2:13" ht="18" customHeight="1" x14ac:dyDescent="0.2">
      <c r="B23" s="926" t="s">
        <v>1671</v>
      </c>
      <c r="C23" s="4361"/>
      <c r="D23" s="4362"/>
      <c r="E23" s="4382" t="s">
        <v>1661</v>
      </c>
      <c r="F23" s="4368">
        <f>F24</f>
        <v>7179.3084363171629</v>
      </c>
      <c r="G23" s="4369" t="str">
        <f t="shared" si="2"/>
        <v>NA</v>
      </c>
      <c r="H23" s="4370">
        <f t="shared" si="3"/>
        <v>0.13293829023783862</v>
      </c>
      <c r="I23" s="4371">
        <f t="shared" si="4"/>
        <v>1.2474270027592624E-3</v>
      </c>
      <c r="J23" s="4170" t="str">
        <f>J24</f>
        <v>IE</v>
      </c>
      <c r="K23" s="4170">
        <f>K24</f>
        <v>0.9544049886140944</v>
      </c>
      <c r="L23" s="4372">
        <f>L24</f>
        <v>8.955663204599406E-3</v>
      </c>
      <c r="M23" s="472"/>
    </row>
    <row r="24" spans="2:13" ht="18" customHeight="1" thickBot="1" x14ac:dyDescent="0.25">
      <c r="B24" s="936"/>
      <c r="C24" s="2865" t="s">
        <v>1672</v>
      </c>
      <c r="D24" s="4384" t="s">
        <v>1219</v>
      </c>
      <c r="E24" s="4385" t="s">
        <v>1661</v>
      </c>
      <c r="F24" s="4386">
        <v>7179.3084363171629</v>
      </c>
      <c r="G24" s="4387" t="str">
        <f t="shared" si="2"/>
        <v>NA</v>
      </c>
      <c r="H24" s="4388">
        <f t="shared" si="3"/>
        <v>0.13293829023783862</v>
      </c>
      <c r="I24" s="4389">
        <f t="shared" si="4"/>
        <v>1.2474270027592624E-3</v>
      </c>
      <c r="J24" s="4390" t="s">
        <v>274</v>
      </c>
      <c r="K24" s="4391">
        <v>0.9544049886140944</v>
      </c>
      <c r="L24" s="4392">
        <v>8.955663204599406E-3</v>
      </c>
      <c r="M24" s="472"/>
    </row>
    <row r="25" spans="2:13" ht="18" customHeight="1" x14ac:dyDescent="0.2">
      <c r="B25" s="934" t="s">
        <v>1673</v>
      </c>
      <c r="C25" s="4352"/>
      <c r="D25" s="4353"/>
      <c r="E25" s="4393" t="s">
        <v>1661</v>
      </c>
      <c r="F25" s="4394">
        <f>IF(SUM(F26,F31)=0,"IE",SUM(F26,F31))</f>
        <v>18381.076209186933</v>
      </c>
      <c r="G25" s="4355" t="str">
        <f t="shared" si="2"/>
        <v>NA</v>
      </c>
      <c r="H25" s="4356">
        <f t="shared" si="3"/>
        <v>0.10982628950057771</v>
      </c>
      <c r="I25" s="4357">
        <f t="shared" si="4"/>
        <v>2.0302609906287352E-3</v>
      </c>
      <c r="J25" s="4358" t="str">
        <f>IF(SUM(J26,J31)=0,"IE",SUM(J26,J31))</f>
        <v>IE</v>
      </c>
      <c r="K25" s="4359">
        <f>IF(SUM(K26,K31)=0,"IE",SUM(K26,K31))</f>
        <v>2.0187253970823456</v>
      </c>
      <c r="L25" s="4360">
        <f>IF(SUM(L26,L31)=0,"IE",SUM(L26,L31))</f>
        <v>3.7318381993286139E-2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18381.076209186933</v>
      </c>
      <c r="G31" s="4365" t="str">
        <f t="shared" si="2"/>
        <v>NA</v>
      </c>
      <c r="H31" s="4366">
        <f t="shared" si="3"/>
        <v>0.10982628950057771</v>
      </c>
      <c r="I31" s="4367">
        <f t="shared" si="4"/>
        <v>2.0302609906287352E-3</v>
      </c>
      <c r="J31" s="4170" t="str">
        <f>IF(SUM(J32,J34)=0,"IE",SUM(J32,J34))</f>
        <v>IE</v>
      </c>
      <c r="K31" s="4170">
        <f t="shared" ref="K31:L31" si="6">IF(SUM(K32,K34)=0,"IE",SUM(K32,K34))</f>
        <v>2.0187253970823456</v>
      </c>
      <c r="L31" s="4372">
        <f t="shared" si="6"/>
        <v>3.7318381993286139E-2</v>
      </c>
    </row>
    <row r="32" spans="2:13" ht="18" customHeight="1" x14ac:dyDescent="0.2">
      <c r="B32" s="926" t="s">
        <v>1678</v>
      </c>
      <c r="C32" s="4361"/>
      <c r="D32" s="4362"/>
      <c r="E32" s="4382" t="s">
        <v>1661</v>
      </c>
      <c r="F32" s="4368">
        <f>F33</f>
        <v>18381.076209186933</v>
      </c>
      <c r="G32" s="4365" t="str">
        <f t="shared" si="2"/>
        <v>NA</v>
      </c>
      <c r="H32" s="4366">
        <f t="shared" si="3"/>
        <v>0.10982628950057771</v>
      </c>
      <c r="I32" s="4367">
        <f t="shared" si="4"/>
        <v>2.0302609906287352E-3</v>
      </c>
      <c r="J32" s="4170" t="str">
        <f>J33</f>
        <v>IE</v>
      </c>
      <c r="K32" s="4170">
        <f>K33</f>
        <v>2.0187253970823456</v>
      </c>
      <c r="L32" s="4372">
        <f>L33</f>
        <v>3.7318381993286139E-2</v>
      </c>
      <c r="M32" s="472"/>
    </row>
    <row r="33" spans="2:13" ht="18" customHeight="1" x14ac:dyDescent="0.2">
      <c r="B33" s="926"/>
      <c r="C33" s="2864" t="s">
        <v>1679</v>
      </c>
      <c r="D33" s="4373" t="s">
        <v>1219</v>
      </c>
      <c r="E33" s="4379" t="s">
        <v>1661</v>
      </c>
      <c r="F33" s="4375">
        <v>18381.076209186933</v>
      </c>
      <c r="G33" s="4369" t="str">
        <f t="shared" si="2"/>
        <v>NA</v>
      </c>
      <c r="H33" s="4370">
        <f t="shared" si="3"/>
        <v>0.10982628950057771</v>
      </c>
      <c r="I33" s="4371">
        <f t="shared" si="4"/>
        <v>2.0302609906287352E-3</v>
      </c>
      <c r="J33" s="4376" t="s">
        <v>274</v>
      </c>
      <c r="K33" s="4377">
        <v>2.0187253970823456</v>
      </c>
      <c r="L33" s="4378">
        <v>3.7318381993286139E-2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26674252.437566608</v>
      </c>
      <c r="G36" s="4355" t="str">
        <f t="shared" si="2"/>
        <v>NA</v>
      </c>
      <c r="H36" s="4356">
        <f t="shared" ref="H36" si="7">IF(SUM($F36)=0,"NA",K36*1000/$F36)</f>
        <v>1.2882143414288104E-2</v>
      </c>
      <c r="I36" s="4357">
        <f t="shared" ref="I36" si="8">IF(SUM($F36)=0,"NA",L36*1000/$F36)</f>
        <v>3.5508910714154694E-4</v>
      </c>
      <c r="J36" s="4358" t="str">
        <f>IF(SUM(J37,J42)=0,"IE",SUM(J37,J42))</f>
        <v>IE</v>
      </c>
      <c r="K36" s="4359">
        <f>IF(SUM(K37,K42)=0,"NO",SUM(K37,K42))</f>
        <v>343.6215453696571</v>
      </c>
      <c r="L36" s="4360">
        <f>IF(SUM(L37,L42)=0,"NO",SUM(L37,L42))</f>
        <v>9.4717364817237595</v>
      </c>
      <c r="M36" s="472"/>
    </row>
    <row r="37" spans="2:13" ht="18" customHeight="1" x14ac:dyDescent="0.2">
      <c r="B37" s="906" t="s">
        <v>1682</v>
      </c>
      <c r="C37" s="4361"/>
      <c r="D37" s="4362"/>
      <c r="E37" s="4382" t="s">
        <v>1661</v>
      </c>
      <c r="F37" s="4364">
        <f>IF(SUM(F38,F40)=0,"NO",SUM(F38,F40))</f>
        <v>26188082.880347315</v>
      </c>
      <c r="G37" s="4369" t="str">
        <f t="shared" si="2"/>
        <v>NA</v>
      </c>
      <c r="H37" s="4366">
        <f t="shared" si="3"/>
        <v>1.0613565371373788E-2</v>
      </c>
      <c r="I37" s="4367">
        <f t="shared" si="4"/>
        <v>3.1506744685363291E-4</v>
      </c>
      <c r="J37" s="4170" t="str">
        <f>IF(SUM(J38,J40)=0,"IE",SUM(J38,J40))</f>
        <v>IE</v>
      </c>
      <c r="K37" s="3057">
        <f>IF(SUM(K38,K40)=0,"NO",SUM(K38,K40))</f>
        <v>277.948929601521</v>
      </c>
      <c r="L37" s="3106">
        <f>IF(SUM(L38,L40)=0,"NO",SUM(L38,L40))</f>
        <v>8.2510124111023622</v>
      </c>
    </row>
    <row r="38" spans="2:13" ht="18" customHeight="1" x14ac:dyDescent="0.2">
      <c r="B38" s="926" t="s">
        <v>1683</v>
      </c>
      <c r="C38" s="4361"/>
      <c r="D38" s="4362"/>
      <c r="E38" s="4382" t="s">
        <v>1661</v>
      </c>
      <c r="F38" s="4368">
        <f>F39</f>
        <v>26188082.880347315</v>
      </c>
      <c r="G38" s="4369" t="str">
        <f t="shared" si="2"/>
        <v>NA</v>
      </c>
      <c r="H38" s="4370">
        <f t="shared" si="3"/>
        <v>1.0613565371373788E-2</v>
      </c>
      <c r="I38" s="4371">
        <f t="shared" si="4"/>
        <v>3.1506744685363291E-4</v>
      </c>
      <c r="J38" s="4170" t="str">
        <f>J39</f>
        <v>IE</v>
      </c>
      <c r="K38" s="4170">
        <f>K39</f>
        <v>277.948929601521</v>
      </c>
      <c r="L38" s="4372">
        <f>L39</f>
        <v>8.2510124111023622</v>
      </c>
      <c r="M38" s="472"/>
    </row>
    <row r="39" spans="2:13" ht="18" customHeight="1" x14ac:dyDescent="0.2">
      <c r="B39" s="926"/>
      <c r="C39" s="2864" t="s">
        <v>1342</v>
      </c>
      <c r="D39" s="4373" t="s">
        <v>1219</v>
      </c>
      <c r="E39" s="4379" t="s">
        <v>1661</v>
      </c>
      <c r="F39" s="4380">
        <v>26188082.880347315</v>
      </c>
      <c r="G39" s="4369" t="str">
        <f t="shared" si="2"/>
        <v>NA</v>
      </c>
      <c r="H39" s="4370">
        <f t="shared" ref="H39:H40" si="9">IF(SUM($F39)=0,"NA",K39*1000/$F39)</f>
        <v>1.0613565371373788E-2</v>
      </c>
      <c r="I39" s="4371">
        <f t="shared" ref="I39:I40" si="10">IF(SUM($F39)=0,"NA",L39*1000/$F39)</f>
        <v>3.1506744685363291E-4</v>
      </c>
      <c r="J39" s="4376" t="s">
        <v>274</v>
      </c>
      <c r="K39" s="4377">
        <v>277.948929601521</v>
      </c>
      <c r="L39" s="4381">
        <v>8.2510124111023622</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486169.55721929146</v>
      </c>
      <c r="G42" s="4365" t="str">
        <f t="shared" si="2"/>
        <v>NA</v>
      </c>
      <c r="H42" s="4366">
        <f t="shared" si="11"/>
        <v>0.13508171129381069</v>
      </c>
      <c r="I42" s="4367">
        <f t="shared" si="12"/>
        <v>2.5109019116776542E-3</v>
      </c>
      <c r="J42" s="4170" t="str">
        <f>IF(SUM(J43,J46)=0,"IE",SUM(J43,J46))</f>
        <v>IE</v>
      </c>
      <c r="K42" s="3057">
        <f>IF(SUM(K43,K46)=0,"NO",SUM(K43,K46))</f>
        <v>65.672615768136112</v>
      </c>
      <c r="L42" s="3106">
        <f>IF(SUM(L43,L46)=0,"NO",SUM(L43,L46))</f>
        <v>1.2207240706213978</v>
      </c>
    </row>
    <row r="43" spans="2:13" ht="18" customHeight="1" x14ac:dyDescent="0.2">
      <c r="B43" s="926" t="s">
        <v>1686</v>
      </c>
      <c r="C43" s="4361"/>
      <c r="D43" s="4362"/>
      <c r="E43" s="4382" t="s">
        <v>1661</v>
      </c>
      <c r="F43" s="4368">
        <f>IF(SUM(F44:F45)=0,"NO",SUM(F44:F45))</f>
        <v>486169.55721929146</v>
      </c>
      <c r="G43" s="4369" t="str">
        <f t="shared" si="2"/>
        <v>NA</v>
      </c>
      <c r="H43" s="4370">
        <f t="shared" ref="H43" si="13">IF(SUM($F43)=0,"NA",K43*1000/$F43)</f>
        <v>0.13508171129381069</v>
      </c>
      <c r="I43" s="4371">
        <f t="shared" ref="I43" si="14">IF(SUM($F43)=0,"NA",L43*1000/$F43)</f>
        <v>2.5109019116776542E-3</v>
      </c>
      <c r="J43" s="4170" t="str">
        <f>IF(SUM(J44:J45)=0,"IE",SUM(J44:J45))</f>
        <v>IE</v>
      </c>
      <c r="K43" s="4170">
        <f>IF(SUM(K44:K45)=0,"NO",SUM(K44:K45))</f>
        <v>65.672615768136112</v>
      </c>
      <c r="L43" s="4372">
        <f>IF(SUM(L44:L45)=0,"NO",SUM(L44:L45))</f>
        <v>1.2207240706213978</v>
      </c>
      <c r="M43" s="472"/>
    </row>
    <row r="44" spans="2:13" ht="18" customHeight="1" x14ac:dyDescent="0.2">
      <c r="B44" s="926"/>
      <c r="C44" s="2864" t="s">
        <v>1679</v>
      </c>
      <c r="D44" s="4373" t="s">
        <v>1219</v>
      </c>
      <c r="E44" s="4379" t="s">
        <v>1661</v>
      </c>
      <c r="F44" s="4380">
        <v>424221.21237347409</v>
      </c>
      <c r="G44" s="4369" t="str">
        <f t="shared" si="2"/>
        <v>NA</v>
      </c>
      <c r="H44" s="4370">
        <f t="shared" ref="H44:H46" si="15">IF(SUM($F44)=0,"NA",K44*1000/$F44)</f>
        <v>0.15201702874976986</v>
      </c>
      <c r="I44" s="4371">
        <f t="shared" ref="I44:I46" si="16">IF(SUM($F44)=0,"NA",L44*1000/$F44)</f>
        <v>2.8102036842492174E-3</v>
      </c>
      <c r="J44" s="4376" t="s">
        <v>274</v>
      </c>
      <c r="K44" s="4377">
        <v>64.488848237640639</v>
      </c>
      <c r="L44" s="4381">
        <v>1.1921480139486067</v>
      </c>
      <c r="M44" s="472"/>
    </row>
    <row r="45" spans="2:13" ht="18" customHeight="1" x14ac:dyDescent="0.2">
      <c r="B45" s="926"/>
      <c r="C45" s="2864" t="s">
        <v>1342</v>
      </c>
      <c r="D45" s="4373" t="s">
        <v>1219</v>
      </c>
      <c r="E45" s="4379" t="s">
        <v>1661</v>
      </c>
      <c r="F45" s="4380">
        <v>61948.344845817344</v>
      </c>
      <c r="G45" s="4369" t="str">
        <f t="shared" si="2"/>
        <v>NA</v>
      </c>
      <c r="H45" s="4370">
        <f t="shared" si="15"/>
        <v>1.9108945258210542E-2</v>
      </c>
      <c r="I45" s="4371">
        <f t="shared" si="16"/>
        <v>4.6128846128034272E-4</v>
      </c>
      <c r="J45" s="4376" t="s">
        <v>274</v>
      </c>
      <c r="K45" s="4377">
        <v>1.1837675304954729</v>
      </c>
      <c r="L45" s="4381">
        <v>2.8576056672791131E-2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767695.15024306474</v>
      </c>
      <c r="G48" s="4355" t="str">
        <f t="shared" si="2"/>
        <v>NA</v>
      </c>
      <c r="H48" s="4356">
        <f t="shared" si="17"/>
        <v>2.793315828974368E-2</v>
      </c>
      <c r="I48" s="4357">
        <f t="shared" si="18"/>
        <v>5.878670597638544E-4</v>
      </c>
      <c r="J48" s="4358" t="str">
        <f>IF(SUM(J49,J54)=0,"IE",SUM(J49,J54))</f>
        <v>IE</v>
      </c>
      <c r="K48" s="4359">
        <f>IF(SUM(K49,K54)=0,"NO",SUM(K49,K54))</f>
        <v>21.444150150008085</v>
      </c>
      <c r="L48" s="4360">
        <f>IF(SUM(L49,L54)=0,"NO",SUM(L49,L54))</f>
        <v>0.45130269076836094</v>
      </c>
      <c r="M48" s="472"/>
    </row>
    <row r="49" spans="2:13" ht="18" customHeight="1" x14ac:dyDescent="0.2">
      <c r="B49" s="906" t="s">
        <v>1689</v>
      </c>
      <c r="C49" s="4361"/>
      <c r="D49" s="4362"/>
      <c r="E49" s="4382" t="s">
        <v>1661</v>
      </c>
      <c r="F49" s="4364">
        <f>IF(SUM(F50,F52)=0,"NO",SUM(F50,F52))</f>
        <v>767695.15024306474</v>
      </c>
      <c r="G49" s="4365" t="str">
        <f t="shared" si="2"/>
        <v>NA</v>
      </c>
      <c r="H49" s="4366">
        <f t="shared" si="17"/>
        <v>2.793315828974368E-2</v>
      </c>
      <c r="I49" s="4367">
        <f t="shared" si="18"/>
        <v>5.878670597638544E-4</v>
      </c>
      <c r="J49" s="4170" t="str">
        <f>IF(SUM(J50,J52)=0,"IE",SUM(J50,J52))</f>
        <v>IE</v>
      </c>
      <c r="K49" s="3057">
        <f>IF(SUM(K50,K52)=0,"NO",SUM(K50,K52))</f>
        <v>21.444150150008085</v>
      </c>
      <c r="L49" s="3106">
        <f>IF(SUM(L50,L52)=0,"NO",SUM(L50,L52))</f>
        <v>0.45130269076836094</v>
      </c>
    </row>
    <row r="50" spans="2:13" ht="18" customHeight="1" x14ac:dyDescent="0.2">
      <c r="B50" s="926" t="s">
        <v>1690</v>
      </c>
      <c r="C50" s="4361"/>
      <c r="D50" s="4362"/>
      <c r="E50" s="4382" t="s">
        <v>1661</v>
      </c>
      <c r="F50" s="4368">
        <f>F51</f>
        <v>767695.15024306474</v>
      </c>
      <c r="G50" s="4369" t="str">
        <f t="shared" si="2"/>
        <v>NA</v>
      </c>
      <c r="H50" s="4370">
        <f t="shared" si="17"/>
        <v>2.793315828974368E-2</v>
      </c>
      <c r="I50" s="4371">
        <f t="shared" si="18"/>
        <v>5.878670597638544E-4</v>
      </c>
      <c r="J50" s="4170" t="str">
        <f>J51</f>
        <v>IE</v>
      </c>
      <c r="K50" s="4170">
        <f>K51</f>
        <v>21.444150150008085</v>
      </c>
      <c r="L50" s="4372">
        <f>L51</f>
        <v>0.45130269076836094</v>
      </c>
      <c r="M50" s="472"/>
    </row>
    <row r="51" spans="2:13" ht="18" customHeight="1" x14ac:dyDescent="0.2">
      <c r="B51" s="926"/>
      <c r="C51" s="2864" t="s">
        <v>1342</v>
      </c>
      <c r="D51" s="4373" t="s">
        <v>1219</v>
      </c>
      <c r="E51" s="4379" t="s">
        <v>1661</v>
      </c>
      <c r="F51" s="4380">
        <v>767695.15024306474</v>
      </c>
      <c r="G51" s="4369" t="str">
        <f t="shared" si="2"/>
        <v>NA</v>
      </c>
      <c r="H51" s="4370">
        <f t="shared" si="17"/>
        <v>2.793315828974368E-2</v>
      </c>
      <c r="I51" s="4371">
        <f t="shared" si="18"/>
        <v>5.878670597638544E-4</v>
      </c>
      <c r="J51" s="4376" t="s">
        <v>274</v>
      </c>
      <c r="K51" s="4377">
        <v>21.444150150008085</v>
      </c>
      <c r="L51" s="4381">
        <v>0.45130269076836094</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18156.4833821881</v>
      </c>
      <c r="G59" s="4355" t="str">
        <f t="shared" si="2"/>
        <v>NA</v>
      </c>
      <c r="H59" s="4356">
        <f t="shared" si="3"/>
        <v>0.16628411654274972</v>
      </c>
      <c r="I59" s="4357">
        <f t="shared" si="4"/>
        <v>3.0739466544222206E-3</v>
      </c>
      <c r="J59" s="4358" t="str">
        <f>IF(SUM(J60,J65)=0,"IE",SUM(J60,J65))</f>
        <v>IE</v>
      </c>
      <c r="K59" s="4359">
        <f>IF(SUM(K60,K65)=0,"NO",SUM(K60,K65))</f>
        <v>3.0191347987302648</v>
      </c>
      <c r="L59" s="4360">
        <f>IF(SUM(L60,L65)=0,"NO",SUM(L60,L65))</f>
        <v>5.5812061348749761E-2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18156.4833821881</v>
      </c>
      <c r="G65" s="4365" t="str">
        <f t="shared" si="2"/>
        <v>NA</v>
      </c>
      <c r="H65" s="4366">
        <f t="shared" si="3"/>
        <v>0.16628411654274972</v>
      </c>
      <c r="I65" s="4367">
        <f t="shared" si="4"/>
        <v>3.0739466544222206E-3</v>
      </c>
      <c r="J65" s="4170" t="str">
        <f>IF(SUM(J66,J68)=0,"IE",SUM(J66,J68))</f>
        <v>IE</v>
      </c>
      <c r="K65" s="3057">
        <f>IF(SUM(K66,K68)=0,"NO",SUM(K66,K68))</f>
        <v>3.0191347987302648</v>
      </c>
      <c r="L65" s="3106">
        <f>IF(SUM(L66,L68)=0,"NO",SUM(L66,L68))</f>
        <v>5.5812061348749761E-2</v>
      </c>
    </row>
    <row r="66" spans="2:13" ht="18" customHeight="1" x14ac:dyDescent="0.2">
      <c r="B66" s="926" t="s">
        <v>1700</v>
      </c>
      <c r="C66" s="4361"/>
      <c r="D66" s="4362"/>
      <c r="E66" s="4382" t="s">
        <v>1661</v>
      </c>
      <c r="F66" s="4368">
        <f>F67</f>
        <v>18156.4833821881</v>
      </c>
      <c r="G66" s="4369" t="str">
        <f t="shared" si="2"/>
        <v>NA</v>
      </c>
      <c r="H66" s="4370">
        <f t="shared" si="3"/>
        <v>0.16628411654274972</v>
      </c>
      <c r="I66" s="4371">
        <f t="shared" si="4"/>
        <v>3.0739466544222206E-3</v>
      </c>
      <c r="J66" s="4170" t="str">
        <f>J67</f>
        <v>IE</v>
      </c>
      <c r="K66" s="4170">
        <f>K67</f>
        <v>3.0191347987302648</v>
      </c>
      <c r="L66" s="4372">
        <f>L67</f>
        <v>5.5812061348749761E-2</v>
      </c>
      <c r="M66" s="472"/>
    </row>
    <row r="67" spans="2:13" ht="18" customHeight="1" x14ac:dyDescent="0.2">
      <c r="B67" s="926"/>
      <c r="C67" s="2864" t="s">
        <v>1679</v>
      </c>
      <c r="D67" s="4373" t="s">
        <v>1219</v>
      </c>
      <c r="E67" s="4379" t="s">
        <v>1661</v>
      </c>
      <c r="F67" s="4380">
        <v>18156.4833821881</v>
      </c>
      <c r="G67" s="4369" t="str">
        <f t="shared" si="2"/>
        <v>NA</v>
      </c>
      <c r="H67" s="4370">
        <f t="shared" ref="H67:H68" si="23">IF(SUM($F67)=0,"NA",K67*1000/$F67)</f>
        <v>0.16628411654274972</v>
      </c>
      <c r="I67" s="4371">
        <f t="shared" ref="I67:I68" si="24">IF(SUM($F67)=0,"NA",L67*1000/$F67)</f>
        <v>3.0739466544222206E-3</v>
      </c>
      <c r="J67" s="4376" t="s">
        <v>274</v>
      </c>
      <c r="K67" s="4377">
        <v>3.0191347987302648</v>
      </c>
      <c r="L67" s="4381">
        <v>5.5812061348749761E-2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4686.1312080018333</v>
      </c>
      <c r="D10" s="3463">
        <f>IF(SUM(D11,D16:D17)=0,"NO",SUM(D11,D16:D17))</f>
        <v>-3427.1433628391833</v>
      </c>
      <c r="E10" s="3464"/>
      <c r="F10" s="3465">
        <f>IF(SUM(F11,F16:F17)=0,"NO",SUM(F11,F16:F17))</f>
        <v>1258.98784516265</v>
      </c>
      <c r="G10" s="3466">
        <f>IF(SUM(G11,G16:G17)=0,"NO",SUM(G11,G16:G17))</f>
        <v>-4616.2887655963823</v>
      </c>
      <c r="H10" s="226"/>
      <c r="I10" s="2"/>
      <c r="J10" s="2"/>
    </row>
    <row r="11" spans="1:10" ht="18" customHeight="1" x14ac:dyDescent="0.2">
      <c r="B11" s="592" t="s">
        <v>1722</v>
      </c>
      <c r="C11" s="3467">
        <f>IF(SUM(C13:C15)=0,"NO",SUM(C13:C15))</f>
        <v>1429.6566773868558</v>
      </c>
      <c r="D11" s="3468">
        <f>IF(SUM(D13:D15)=0,"NO",SUM(D13:D15))</f>
        <v>-754.93471369391534</v>
      </c>
      <c r="E11" s="3469"/>
      <c r="F11" s="3470">
        <f>IF(SUM(F13:F15)=0,"NO",SUM(F13:F15))</f>
        <v>674.72196369294034</v>
      </c>
      <c r="G11" s="3471">
        <f>IF(SUM(G13:G15)=0,"NO",SUM(G13:G15))</f>
        <v>-2473.9805335407809</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979.39731145314067</v>
      </c>
      <c r="D13" s="3476">
        <f>F13-C13</f>
        <v>-462.51806086396459</v>
      </c>
      <c r="E13" s="3477" t="s">
        <v>205</v>
      </c>
      <c r="F13" s="3478">
        <f>G13/(-44/12)</f>
        <v>516.87925058917608</v>
      </c>
      <c r="G13" s="3479">
        <v>-1895.2239188269789</v>
      </c>
      <c r="H13" s="226"/>
      <c r="I13" s="2"/>
      <c r="J13" s="2"/>
    </row>
    <row r="14" spans="1:10" ht="18" customHeight="1" x14ac:dyDescent="0.2">
      <c r="B14" s="1192" t="s">
        <v>1724</v>
      </c>
      <c r="C14" s="3480">
        <v>450.259365933715</v>
      </c>
      <c r="D14" s="3481">
        <f>F14-C14</f>
        <v>-292.41665282995075</v>
      </c>
      <c r="E14" s="3202" t="s">
        <v>205</v>
      </c>
      <c r="F14" s="3482">
        <f>G14/(-44/12)</f>
        <v>157.84271310376425</v>
      </c>
      <c r="G14" s="3479">
        <v>-578.75661471380226</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2086.185320270909</v>
      </c>
      <c r="D16" s="3481">
        <f>F16-C16</f>
        <v>-2116.0084471926903</v>
      </c>
      <c r="E16" s="3202" t="s">
        <v>205</v>
      </c>
      <c r="F16" s="3482">
        <f>G16/(-44/12)</f>
        <v>-29.823126921781522</v>
      </c>
      <c r="G16" s="3479">
        <v>109.35146537986557</v>
      </c>
      <c r="H16" s="226"/>
      <c r="I16" s="2"/>
      <c r="J16" s="2"/>
    </row>
    <row r="17" spans="2:10" ht="18" customHeight="1" x14ac:dyDescent="0.2">
      <c r="B17" s="1196" t="s">
        <v>1727</v>
      </c>
      <c r="C17" s="3484">
        <f>C18</f>
        <v>1170.2892103440688</v>
      </c>
      <c r="D17" s="3485">
        <f t="shared" ref="D17:F17" si="0">D18</f>
        <v>-556.20020195257769</v>
      </c>
      <c r="E17" s="3486"/>
      <c r="F17" s="3193">
        <f t="shared" si="0"/>
        <v>614.08900839149112</v>
      </c>
      <c r="G17" s="3479">
        <f>-F17*44/12</f>
        <v>-2251.6596974354675</v>
      </c>
      <c r="H17" s="226"/>
      <c r="I17" s="2"/>
      <c r="J17" s="2"/>
    </row>
    <row r="18" spans="2:10" ht="18" customHeight="1" thickBot="1" x14ac:dyDescent="0.25">
      <c r="B18" s="547" t="s">
        <v>1728</v>
      </c>
      <c r="C18" s="3487">
        <v>1170.2892103440688</v>
      </c>
      <c r="D18" s="3488">
        <f>F18-C18</f>
        <v>-556.20020195257769</v>
      </c>
      <c r="E18" s="3205" t="s">
        <v>205</v>
      </c>
      <c r="F18" s="3489">
        <f>G18/(-44/12)</f>
        <v>614.08900839149112</v>
      </c>
      <c r="G18" s="3490">
        <v>-2251.6596974354675</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30.577141562580699</v>
      </c>
      <c r="D10" s="1882">
        <f t="shared" ref="D10:I10" si="0">IF(SUM(D11,D15,D18,D21)=0,"NO",SUM(D11,D15,D18,D21))</f>
        <v>565.2034030781474</v>
      </c>
      <c r="E10" s="1882">
        <f t="shared" si="0"/>
        <v>1.2616847310806687</v>
      </c>
      <c r="F10" s="1882" t="str">
        <f t="shared" si="0"/>
        <v>NO</v>
      </c>
      <c r="G10" s="1882" t="str">
        <f t="shared" si="0"/>
        <v>NO</v>
      </c>
      <c r="H10" s="1882">
        <f t="shared" si="0"/>
        <v>251.63739804304672</v>
      </c>
      <c r="I10" s="1883" t="str">
        <f t="shared" si="0"/>
        <v>NO</v>
      </c>
      <c r="J10" s="4487">
        <f>IF(SUM(C10:E10)=0,"NO",SUM(C10,IFERROR(28*D10,0),IFERROR(265*E10,0)))</f>
        <v>16190.618881487086</v>
      </c>
    </row>
    <row r="11" spans="1:10" ht="18" customHeight="1" x14ac:dyDescent="0.2">
      <c r="B11" s="1503" t="s">
        <v>1800</v>
      </c>
      <c r="C11" s="2893"/>
      <c r="D11" s="2894">
        <f>IF(SUM(D12:D14)=0,"NO",SUM(D12:D14))</f>
        <v>452.20044988009869</v>
      </c>
      <c r="E11" s="2893"/>
      <c r="F11" s="1886" t="str">
        <f>IF(SUM(F12:F14)=0,"NO",SUM(F12:F14))</f>
        <v>NO</v>
      </c>
      <c r="G11" s="1886" t="str">
        <f t="shared" ref="G11:H11" si="1">IF(SUM(G12:G14)=0,"NO",SUM(G12:G14))</f>
        <v>NO</v>
      </c>
      <c r="H11" s="1886">
        <f t="shared" si="1"/>
        <v>2.963309688786647</v>
      </c>
      <c r="I11" s="2994"/>
      <c r="J11" s="1886">
        <f t="shared" ref="J11:J18" si="2">IF(SUM(C11:E11)=0,"NO",SUM(C11,IFERROR(28*D11,0),IFERROR(265*E11,0)))</f>
        <v>12661.612596642763</v>
      </c>
    </row>
    <row r="12" spans="1:10" ht="18" customHeight="1" x14ac:dyDescent="0.2">
      <c r="B12" s="1269" t="s">
        <v>1801</v>
      </c>
      <c r="C12" s="1885"/>
      <c r="D12" s="1884">
        <f>IF(SUM(Table5.A!F10:H10)=0,"NO",SUM(Table5.A!F10))</f>
        <v>452.20044988009869</v>
      </c>
      <c r="E12" s="1885"/>
      <c r="F12" s="2916" t="s">
        <v>205</v>
      </c>
      <c r="G12" s="2916" t="s">
        <v>205</v>
      </c>
      <c r="H12" s="2916">
        <v>2.963309688786647</v>
      </c>
      <c r="I12" s="2940"/>
      <c r="J12" s="1887">
        <f t="shared" si="2"/>
        <v>12661.612596642763</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3.0080040074999994</v>
      </c>
      <c r="E15" s="2892">
        <f t="shared" ref="E15" si="3">IF(SUM(E16:E17)=0,"NO",SUM(E16:E17))</f>
        <v>0.38502451296000001</v>
      </c>
      <c r="F15" s="2892" t="s">
        <v>1805</v>
      </c>
      <c r="G15" s="2892" t="s">
        <v>1805</v>
      </c>
      <c r="H15" s="2892" t="s">
        <v>1805</v>
      </c>
      <c r="I15" s="2997"/>
      <c r="J15" s="2884">
        <f t="shared" si="2"/>
        <v>186.25560814439999</v>
      </c>
    </row>
    <row r="16" spans="1:10" ht="18" customHeight="1" x14ac:dyDescent="0.2">
      <c r="B16" s="1891" t="s">
        <v>1806</v>
      </c>
      <c r="C16" s="2998"/>
      <c r="D16" s="1884">
        <f>Table5.B!F10</f>
        <v>3.0080040074999994</v>
      </c>
      <c r="E16" s="1884">
        <f>Table5.B!G10</f>
        <v>0.38502451296000001</v>
      </c>
      <c r="F16" s="699" t="s">
        <v>205</v>
      </c>
      <c r="G16" s="699" t="s">
        <v>205</v>
      </c>
      <c r="H16" s="699" t="s">
        <v>205</v>
      </c>
      <c r="I16" s="2940"/>
      <c r="J16" s="1887">
        <f t="shared" si="2"/>
        <v>186.25560814439999</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30.577141562580699</v>
      </c>
      <c r="D18" s="2883" t="str">
        <f>IF(SUM(D19:D20)=0,"NO,NE",SUM(D19:D20))</f>
        <v>NO,NE</v>
      </c>
      <c r="E18" s="2883" t="str">
        <f>IF(SUM(E19:E20)=0,"NO,NE",SUM(E19:E20))</f>
        <v>NO,NE</v>
      </c>
      <c r="F18" s="2883" t="s">
        <v>205</v>
      </c>
      <c r="G18" s="2883" t="s">
        <v>205</v>
      </c>
      <c r="H18" s="2883" t="s">
        <v>205</v>
      </c>
      <c r="I18" s="2883" t="s">
        <v>205</v>
      </c>
      <c r="J18" s="2885">
        <f t="shared" si="2"/>
        <v>30.577141562580699</v>
      </c>
    </row>
    <row r="19" spans="2:12" ht="18" customHeight="1" x14ac:dyDescent="0.2">
      <c r="B19" s="1269" t="s">
        <v>1809</v>
      </c>
      <c r="C19" s="1884">
        <f>Table5.C!G10</f>
        <v>30.577141562580699</v>
      </c>
      <c r="D19" s="1884" t="str">
        <f>Table5.C!H10</f>
        <v>NO,NE</v>
      </c>
      <c r="E19" s="1884" t="str">
        <f>Table5.C!I10</f>
        <v>NO,NE</v>
      </c>
      <c r="F19" s="700" t="s">
        <v>205</v>
      </c>
      <c r="G19" s="700" t="s">
        <v>205</v>
      </c>
      <c r="H19" s="700" t="s">
        <v>205</v>
      </c>
      <c r="I19" s="700" t="s">
        <v>205</v>
      </c>
      <c r="J19" s="1887">
        <f>IF(SUM(C19:E19)=0,"NO",SUM(C19,IFERROR(28*D19,0),IFERROR(265*E19,0)))</f>
        <v>30.577141562580699</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109.99494919054874</v>
      </c>
      <c r="E21" s="2883">
        <f t="shared" ref="E21:H21" si="5">IF(SUM(E22:E24)=0,"NO",SUM(E22:E24))</f>
        <v>0.87666021812066863</v>
      </c>
      <c r="F21" s="2883" t="str">
        <f t="shared" si="5"/>
        <v>NO</v>
      </c>
      <c r="G21" s="2883" t="str">
        <f t="shared" si="5"/>
        <v>NO</v>
      </c>
      <c r="H21" s="2883">
        <f t="shared" si="5"/>
        <v>248.67408835426008</v>
      </c>
      <c r="I21" s="3000"/>
      <c r="J21" s="2885">
        <f t="shared" si="4"/>
        <v>3312.1735351373418</v>
      </c>
    </row>
    <row r="22" spans="2:12" ht="18" customHeight="1" x14ac:dyDescent="0.2">
      <c r="B22" s="1269" t="s">
        <v>1812</v>
      </c>
      <c r="C22" s="1894"/>
      <c r="D22" s="1884">
        <f>IF(SUM(Table5.D!H10)=0,"NO",SUM(Table5.D!H10))</f>
        <v>56.032276878060486</v>
      </c>
      <c r="E22" s="1884">
        <f>IF(SUM(Table5.D!I10:J10)=0,"NO",SUM(Table5.D!I10:J10))</f>
        <v>0.87666021812066863</v>
      </c>
      <c r="F22" s="2916" t="s">
        <v>205</v>
      </c>
      <c r="G22" s="2916" t="s">
        <v>205</v>
      </c>
      <c r="H22" s="2916">
        <v>7.2088662660692924</v>
      </c>
      <c r="I22" s="2940"/>
      <c r="J22" s="1887">
        <f t="shared" si="4"/>
        <v>1801.2187103876709</v>
      </c>
    </row>
    <row r="23" spans="2:12" ht="18" customHeight="1" x14ac:dyDescent="0.2">
      <c r="B23" s="1269" t="s">
        <v>1813</v>
      </c>
      <c r="C23" s="1894"/>
      <c r="D23" s="1884">
        <f>IF(SUM(Table5.D!H11)=0,"NO",SUM(Table5.D!H11))</f>
        <v>53.962672312488259</v>
      </c>
      <c r="E23" s="1884" t="str">
        <f>IF(SUM(Table5.D!I11:J11)=0,"IE",SUM(Table5.D!I11:J11))</f>
        <v>IE</v>
      </c>
      <c r="F23" s="2916" t="s">
        <v>205</v>
      </c>
      <c r="G23" s="2916" t="s">
        <v>205</v>
      </c>
      <c r="H23" s="2916">
        <v>241.46522208819079</v>
      </c>
      <c r="I23" s="2940"/>
      <c r="J23" s="1887">
        <f t="shared" si="4"/>
        <v>1510.9548247496712</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273785.94821395894</v>
      </c>
      <c r="D28" s="1903"/>
      <c r="E28" s="1903"/>
      <c r="F28" s="1903"/>
      <c r="G28" s="1903"/>
      <c r="H28" s="1903"/>
      <c r="I28" s="1904"/>
      <c r="J28" s="1907"/>
      <c r="K28"/>
      <c r="L28"/>
    </row>
    <row r="29" spans="2:12" ht="18" customHeight="1" x14ac:dyDescent="0.2">
      <c r="B29" s="4215" t="s">
        <v>1819</v>
      </c>
      <c r="C29" s="1905">
        <v>4993.8118608818359</v>
      </c>
      <c r="D29" s="1906"/>
      <c r="E29" s="1906"/>
      <c r="F29" s="1906"/>
      <c r="G29" s="1906"/>
      <c r="H29" s="1906"/>
      <c r="I29" s="1907"/>
      <c r="J29" s="1907"/>
      <c r="K29"/>
      <c r="L29"/>
    </row>
    <row r="30" spans="2:12" ht="18" customHeight="1" thickBot="1" x14ac:dyDescent="0.25">
      <c r="B30" s="4216" t="s">
        <v>1820</v>
      </c>
      <c r="C30" s="1899">
        <v>2931.4610318659593</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E11" sqref="E11"/>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20150.997445785579</v>
      </c>
      <c r="D10" s="3678"/>
      <c r="E10" s="4121">
        <f>IF(SUM(C10)=0,"NA",(F10-G10-H10)/C10)</f>
        <v>3.3087428141997006E-2</v>
      </c>
      <c r="F10" s="3679">
        <f>F11</f>
        <v>452.20044988009869</v>
      </c>
      <c r="G10" s="3679">
        <f>G11</f>
        <v>-13.143602242521602</v>
      </c>
      <c r="H10" s="3680">
        <f>H11</f>
        <v>-201.40062785437536</v>
      </c>
      <c r="I10" s="44"/>
    </row>
    <row r="11" spans="1:13" ht="18" customHeight="1" x14ac:dyDescent="0.2">
      <c r="B11" s="1753" t="s">
        <v>1834</v>
      </c>
      <c r="C11" s="3681">
        <f>IF(SUM(C13:C16)=0,"NO",SUM(C13:C16))</f>
        <v>20150.997445785579</v>
      </c>
      <c r="D11" s="3681">
        <v>1</v>
      </c>
      <c r="E11" s="4121">
        <f>IF(SUM(C11)=0,"NA",(F11-G11-H11)/C11)</f>
        <v>3.3087428141997006E-2</v>
      </c>
      <c r="F11" s="4227">
        <f>IF(SUM(F13:F16)=0,"NO",SUM(F13:F16))</f>
        <v>452.20044988009869</v>
      </c>
      <c r="G11" s="3682">
        <v>-13.143602242521602</v>
      </c>
      <c r="H11" s="3683">
        <v>-201.40062785437536</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11827.030059702398</v>
      </c>
      <c r="D13" s="3688">
        <v>1</v>
      </c>
      <c r="E13" s="4218" t="s">
        <v>274</v>
      </c>
      <c r="F13" s="3688">
        <v>16.857366907690341</v>
      </c>
      <c r="G13" s="3689"/>
      <c r="H13" s="3690"/>
      <c r="I13" s="44"/>
    </row>
    <row r="14" spans="1:13" ht="18" customHeight="1" x14ac:dyDescent="0.2">
      <c r="B14" s="1754" t="s">
        <v>1837</v>
      </c>
      <c r="C14" s="3688">
        <v>2596.041860936265</v>
      </c>
      <c r="D14" s="3688">
        <v>1</v>
      </c>
      <c r="E14" s="3681" t="s">
        <v>274</v>
      </c>
      <c r="F14" s="3688">
        <v>192.03935988739741</v>
      </c>
      <c r="G14" s="3689"/>
      <c r="H14" s="3690"/>
      <c r="I14" s="44"/>
    </row>
    <row r="15" spans="1:13" ht="18" customHeight="1" x14ac:dyDescent="0.2">
      <c r="B15" s="1754" t="s">
        <v>1838</v>
      </c>
      <c r="C15" s="3688">
        <v>5727.9255251469149</v>
      </c>
      <c r="D15" s="3688">
        <v>1</v>
      </c>
      <c r="E15" s="4121" t="s">
        <v>274</v>
      </c>
      <c r="F15" s="3688">
        <v>243.30372308501094</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4010.672</v>
      </c>
      <c r="D10" s="1938">
        <f>IF(SUM($C10)=0,"NA",F10*1000/$C10)</f>
        <v>0.75000000187001059</v>
      </c>
      <c r="E10" s="1938">
        <f>IF(SUM($C10)=0,"NA",G10*1000/$C10)</f>
        <v>9.600000023936138E-2</v>
      </c>
      <c r="F10" s="1934">
        <f>IF(SUM(F11:F12)=0,"NO",SUM(F11:F12))</f>
        <v>3.0080040074999994</v>
      </c>
      <c r="G10" s="1934">
        <f>IF(SUM(G11:G12)=0,"NO",SUM(G11:G12))</f>
        <v>0.38502451296000001</v>
      </c>
      <c r="H10" s="1935"/>
      <c r="I10" s="1936"/>
    </row>
    <row r="11" spans="1:9" ht="18" customHeight="1" x14ac:dyDescent="0.2">
      <c r="B11" s="1525" t="s">
        <v>1851</v>
      </c>
      <c r="C11" s="1937">
        <v>4010.672</v>
      </c>
      <c r="D11" s="1938">
        <f>IF(SUM($C11)=0,"NA",F11*1000/$C11)</f>
        <v>0.75000000187001059</v>
      </c>
      <c r="E11" s="1938">
        <f>IF(SUM($C11)=0,"NA",G11*1000/$C11)</f>
        <v>9.600000023936138E-2</v>
      </c>
      <c r="F11" s="1937">
        <v>3.0080040074999994</v>
      </c>
      <c r="G11" s="1937">
        <v>0.38502451296000001</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20.79516512007385</v>
      </c>
      <c r="D10" s="2898">
        <f t="shared" ref="D10:D20" si="0">IF(SUM(G10)=0,"NA",G10*1000/$C10)</f>
        <v>1470.3966708619291</v>
      </c>
      <c r="E10" s="2898" t="str">
        <f t="shared" ref="E10:E20" si="1">IF(SUM(H10)=0,"NA",H10*1000/$C10)</f>
        <v>NA</v>
      </c>
      <c r="F10" s="2898" t="str">
        <f t="shared" ref="F10:F20" si="2">IF(SUM(I10)=0,"NA",I10*1000/$C10)</f>
        <v>NA</v>
      </c>
      <c r="G10" s="2898">
        <f>IF(SUM(G11,G21)=0,"NO",SUM(G11,G21))</f>
        <v>30.577141562580699</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20.79516512007385</v>
      </c>
      <c r="D21" s="116">
        <f>IF(SUM(G21)=0,"NA",G21*1000/$C21)</f>
        <v>1470.3966708619291</v>
      </c>
      <c r="E21" s="116" t="str">
        <f t="shared" ref="E21:F21" si="3">IF(SUM(H21)=0,"NA",H21*1000/$C21)</f>
        <v>NA</v>
      </c>
      <c r="F21" s="116" t="str">
        <f t="shared" si="3"/>
        <v>NA</v>
      </c>
      <c r="G21" s="2900">
        <f>IF(SUM(G22:G23)=0,"NO",SUM(G22:G23))</f>
        <v>30.577141562580699</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20.79516512007385</v>
      </c>
      <c r="D23" s="116">
        <f t="shared" si="4"/>
        <v>1470.3966708619291</v>
      </c>
      <c r="E23" s="151" t="str">
        <f t="shared" si="5"/>
        <v>NA</v>
      </c>
      <c r="F23" s="151" t="str">
        <f t="shared" si="6"/>
        <v>NA</v>
      </c>
      <c r="G23" s="151">
        <f>IF(SUM(G25:G30)=0,"NO",SUM(G25:G30))</f>
        <v>30.577141562580699</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15.180844534231701</v>
      </c>
      <c r="D27" s="116">
        <f t="shared" si="4"/>
        <v>879.99999998656881</v>
      </c>
      <c r="E27" s="116" t="str">
        <f t="shared" si="5"/>
        <v>NA</v>
      </c>
      <c r="F27" s="116" t="str">
        <f t="shared" si="6"/>
        <v>NA</v>
      </c>
      <c r="G27" s="2908">
        <v>13.359143189919999</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L10" sqref="L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21692.686000000002</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35.884479508344185</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2812.3672233343245</v>
      </c>
      <c r="D10" s="3399">
        <v>2096.0208247090227</v>
      </c>
      <c r="E10" s="3399">
        <v>148.36583322829998</v>
      </c>
      <c r="F10" s="3400">
        <f>(SUM(H10)-SUM(K10:L10))/C10</f>
        <v>3.9620512328198867E-2</v>
      </c>
      <c r="G10" s="3400">
        <f>SUM(I10:J10)/E10/(44/28)</f>
        <v>3.7601290817419531E-3</v>
      </c>
      <c r="H10" s="3398">
        <v>56.032276878060486</v>
      </c>
      <c r="I10" s="3190">
        <v>0.87666021812066863</v>
      </c>
      <c r="J10" s="3190" t="s">
        <v>274</v>
      </c>
      <c r="K10" s="3401">
        <v>-17.001608711541355</v>
      </c>
      <c r="L10" s="2921">
        <v>-38.393544653938186</v>
      </c>
      <c r="M10"/>
      <c r="N10" s="1773" t="s">
        <v>1910</v>
      </c>
      <c r="O10" s="3403">
        <v>1</v>
      </c>
    </row>
    <row r="11" spans="1:15" ht="18" customHeight="1" x14ac:dyDescent="0.2">
      <c r="A11"/>
      <c r="B11" s="1752" t="s">
        <v>1813</v>
      </c>
      <c r="C11" s="3399">
        <v>804.88407362730266</v>
      </c>
      <c r="D11" s="3399">
        <v>119.75613342107933</v>
      </c>
      <c r="E11" s="699" t="s">
        <v>274</v>
      </c>
      <c r="F11" s="3134">
        <f>(SUM(H11)-SUM(K11:L11))/C11</f>
        <v>7.1347063046902012E-2</v>
      </c>
      <c r="G11" s="3134" t="s">
        <v>205</v>
      </c>
      <c r="H11" s="699">
        <v>53.962672312488259</v>
      </c>
      <c r="I11" s="699" t="s">
        <v>274</v>
      </c>
      <c r="J11" s="699" t="s">
        <v>274</v>
      </c>
      <c r="K11" s="3125" t="s">
        <v>274</v>
      </c>
      <c r="L11" s="2921">
        <v>-3.4634424340462302</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438633.92943645903</v>
      </c>
      <c r="D10" s="3798">
        <f t="shared" si="0"/>
        <v>5068.1760577333735</v>
      </c>
      <c r="E10" s="3798">
        <f t="shared" si="0"/>
        <v>78.150236008621832</v>
      </c>
      <c r="F10" s="3798">
        <f t="shared" si="0"/>
        <v>6141.5462216641909</v>
      </c>
      <c r="G10" s="3798">
        <f t="shared" si="0"/>
        <v>322.43408328130437</v>
      </c>
      <c r="H10" s="3798" t="str">
        <f>IF(SUM(H11,H22,H31,H42,H51)=0,"NO",SUM(H11,H22,H31,H42,H51))</f>
        <v>NO</v>
      </c>
      <c r="I10" s="3798">
        <f t="shared" ref="I10:N10" si="1">IF(SUM(I11,I22,I31,I42,I51)=0,"NO",SUM(I11,I22,I31,I42,I51))</f>
        <v>6.4470614816006036E-3</v>
      </c>
      <c r="J10" s="3826" t="str">
        <f t="shared" si="1"/>
        <v>NO</v>
      </c>
      <c r="K10" s="3798">
        <f t="shared" si="1"/>
        <v>3219.1137444457454</v>
      </c>
      <c r="L10" s="3798">
        <f t="shared" si="1"/>
        <v>28534.876241907627</v>
      </c>
      <c r="M10" s="3798">
        <f t="shared" si="1"/>
        <v>1877.2294945849512</v>
      </c>
      <c r="N10" s="3799">
        <f t="shared" si="1"/>
        <v>2597.3507461057843</v>
      </c>
      <c r="O10" s="3800">
        <f>IF(SUM(C10:J10)=0,"NO",SUM(C10,F10:H10)+28*SUM(D10)+265*SUM(E10)+23500*SUM(I10)+16100*SUM(J10))</f>
        <v>607868.15784504137</v>
      </c>
    </row>
    <row r="11" spans="1:15" ht="18" customHeight="1" x14ac:dyDescent="0.25">
      <c r="B11" s="1116" t="s">
        <v>1921</v>
      </c>
      <c r="C11" s="2572">
        <f>Table1!C10</f>
        <v>383999.21672986215</v>
      </c>
      <c r="D11" s="3766">
        <f>Table1!D10</f>
        <v>1434.1486231471808</v>
      </c>
      <c r="E11" s="3766">
        <f>Table1!E10</f>
        <v>12.379652668129575</v>
      </c>
      <c r="F11" s="1553"/>
      <c r="G11" s="1553"/>
      <c r="H11" s="3714"/>
      <c r="I11" s="1553"/>
      <c r="J11" s="98"/>
      <c r="K11" s="3766">
        <f>Table1!F10</f>
        <v>2198.8216710677962</v>
      </c>
      <c r="L11" s="3713">
        <f>Table1!G10</f>
        <v>2839.8881840769018</v>
      </c>
      <c r="M11" s="3713">
        <f>Table1!H10</f>
        <v>703.05047611030432</v>
      </c>
      <c r="N11" s="960">
        <f>Table1!I10</f>
        <v>777.15388997591572</v>
      </c>
      <c r="O11" s="3715">
        <f t="shared" ref="O11:O58" si="2">IF(SUM(C11:J11)=0,"NO",SUM(C11,F11:H11)+28*SUM(D11)+265*SUM(E11)+23500*SUM(I11)+16100*SUM(J11))</f>
        <v>427435.98613503756</v>
      </c>
    </row>
    <row r="12" spans="1:15" ht="18" customHeight="1" x14ac:dyDescent="0.25">
      <c r="B12" s="1369" t="s">
        <v>1922</v>
      </c>
      <c r="C12" s="3794">
        <f>Table1!C11</f>
        <v>376029.89863237902</v>
      </c>
      <c r="D12" s="617">
        <f>Table1!D11</f>
        <v>85.804505046706396</v>
      </c>
      <c r="E12" s="617">
        <f>Table1!E11</f>
        <v>12.282073749605305</v>
      </c>
      <c r="F12" s="69"/>
      <c r="G12" s="69"/>
      <c r="H12" s="69"/>
      <c r="I12" s="69"/>
      <c r="J12" s="69"/>
      <c r="K12" s="617">
        <f>Table1!F11</f>
        <v>2197.1994209460213</v>
      </c>
      <c r="L12" s="617">
        <f>Table1!G11</f>
        <v>2830.4791333706071</v>
      </c>
      <c r="M12" s="617">
        <f>Table1!H11</f>
        <v>483.79325047510866</v>
      </c>
      <c r="N12" s="619">
        <f>Table1!I11</f>
        <v>777.15388997591572</v>
      </c>
      <c r="O12" s="3716">
        <f t="shared" si="2"/>
        <v>381687.17431733222</v>
      </c>
    </row>
    <row r="13" spans="1:15" ht="18" customHeight="1" x14ac:dyDescent="0.25">
      <c r="B13" s="1370" t="s">
        <v>1923</v>
      </c>
      <c r="C13" s="3794">
        <f>Table1!C12</f>
        <v>230787.71621986476</v>
      </c>
      <c r="D13" s="617">
        <f>Table1!D12</f>
        <v>22.703087244854057</v>
      </c>
      <c r="E13" s="617">
        <f>Table1!E12</f>
        <v>3.9344495955182457</v>
      </c>
      <c r="F13" s="69"/>
      <c r="G13" s="69"/>
      <c r="H13" s="69"/>
      <c r="I13" s="69"/>
      <c r="J13" s="69"/>
      <c r="K13" s="617">
        <f>Table1!F12</f>
        <v>965.31436134336809</v>
      </c>
      <c r="L13" s="617">
        <f>Table1!G12</f>
        <v>190.07742910163435</v>
      </c>
      <c r="M13" s="617">
        <f>Table1!H12</f>
        <v>43.270424742277662</v>
      </c>
      <c r="N13" s="619">
        <f>Table1!I12</f>
        <v>651.57239677060602</v>
      </c>
      <c r="O13" s="3717">
        <f t="shared" si="2"/>
        <v>232466.03180553301</v>
      </c>
    </row>
    <row r="14" spans="1:15" ht="18" customHeight="1" x14ac:dyDescent="0.25">
      <c r="B14" s="1370" t="s">
        <v>1924</v>
      </c>
      <c r="C14" s="3794">
        <f>Table1!C16</f>
        <v>40172.086958314503</v>
      </c>
      <c r="D14" s="3718">
        <f>Table1!D16</f>
        <v>1.9433927180238111</v>
      </c>
      <c r="E14" s="3718">
        <f>Table1!E16</f>
        <v>1.09254204541986</v>
      </c>
      <c r="F14" s="3719"/>
      <c r="G14" s="3719"/>
      <c r="H14" s="3719"/>
      <c r="I14" s="3719"/>
      <c r="J14" s="69"/>
      <c r="K14" s="3718">
        <f>Table1!F16</f>
        <v>571.68468143535017</v>
      </c>
      <c r="L14" s="3718">
        <f>Table1!G16</f>
        <v>176.54295137617439</v>
      </c>
      <c r="M14" s="3718">
        <f>Table1!H16</f>
        <v>75.239114976277136</v>
      </c>
      <c r="N14" s="3720">
        <f>Table1!I16</f>
        <v>90.665465774169817</v>
      </c>
      <c r="O14" s="3721">
        <f t="shared" si="2"/>
        <v>40516.025596455431</v>
      </c>
    </row>
    <row r="15" spans="1:15" ht="18" customHeight="1" x14ac:dyDescent="0.25">
      <c r="B15" s="1370" t="s">
        <v>1925</v>
      </c>
      <c r="C15" s="3794">
        <f>Table1!C24</f>
        <v>84904.621577574857</v>
      </c>
      <c r="D15" s="617">
        <f>Table1!D24</f>
        <v>18.098797715783046</v>
      </c>
      <c r="E15" s="617">
        <f>Table1!E24</f>
        <v>6.5857366162518964</v>
      </c>
      <c r="F15" s="69"/>
      <c r="G15" s="69"/>
      <c r="H15" s="69"/>
      <c r="I15" s="69"/>
      <c r="J15" s="69"/>
      <c r="K15" s="617">
        <f>Table1!F24</f>
        <v>311.56016129228021</v>
      </c>
      <c r="L15" s="617">
        <f>Table1!G24</f>
        <v>1749.6304521052361</v>
      </c>
      <c r="M15" s="617">
        <f>Table1!H24</f>
        <v>247.89419809711848</v>
      </c>
      <c r="N15" s="619">
        <f>Table1!I24</f>
        <v>27.306306046599197</v>
      </c>
      <c r="O15" s="3717">
        <f t="shared" si="2"/>
        <v>87156.60811692354</v>
      </c>
    </row>
    <row r="16" spans="1:15" ht="18" customHeight="1" x14ac:dyDescent="0.25">
      <c r="B16" s="1370" t="s">
        <v>1926</v>
      </c>
      <c r="C16" s="3794">
        <f>Table1!C30</f>
        <v>19338.074952012557</v>
      </c>
      <c r="D16" s="617">
        <f>Table1!D30</f>
        <v>43.030722902667712</v>
      </c>
      <c r="E16" s="617">
        <f>Table1!E30</f>
        <v>0.64613034760809573</v>
      </c>
      <c r="F16" s="69"/>
      <c r="G16" s="69"/>
      <c r="H16" s="69"/>
      <c r="I16" s="69"/>
      <c r="J16" s="69"/>
      <c r="K16" s="617">
        <f>Table1!F30</f>
        <v>342.28113220793455</v>
      </c>
      <c r="L16" s="617">
        <f>Table1!G30</f>
        <v>710.12431005476526</v>
      </c>
      <c r="M16" s="617">
        <f>Table1!H30</f>
        <v>116.90592625819532</v>
      </c>
      <c r="N16" s="619">
        <f>Table1!I30</f>
        <v>7.3696349985678591</v>
      </c>
      <c r="O16" s="3717">
        <f t="shared" si="2"/>
        <v>20714.159735403398</v>
      </c>
    </row>
    <row r="17" spans="2:15" ht="18" customHeight="1" x14ac:dyDescent="0.25">
      <c r="B17" s="1370" t="s">
        <v>1927</v>
      </c>
      <c r="C17" s="3794">
        <f>Table1!C34</f>
        <v>827.39892461234956</v>
      </c>
      <c r="D17" s="617">
        <f>Table1!D34</f>
        <v>2.8504465377779512E-2</v>
      </c>
      <c r="E17" s="617">
        <f>Table1!E34</f>
        <v>2.3215144807204369E-2</v>
      </c>
      <c r="F17" s="69"/>
      <c r="G17" s="69"/>
      <c r="H17" s="69"/>
      <c r="I17" s="69"/>
      <c r="J17" s="69"/>
      <c r="K17" s="617">
        <f>Table1!F34</f>
        <v>6.3590846670879833</v>
      </c>
      <c r="L17" s="617">
        <f>Table1!G34</f>
        <v>4.1039907327967819</v>
      </c>
      <c r="M17" s="617">
        <f>Table1!H34</f>
        <v>0.48358640124006502</v>
      </c>
      <c r="N17" s="619">
        <f>Table1!I34</f>
        <v>0.24008638597291185</v>
      </c>
      <c r="O17" s="3717">
        <f t="shared" si="2"/>
        <v>834.34906301683657</v>
      </c>
    </row>
    <row r="18" spans="2:15" ht="18" customHeight="1" x14ac:dyDescent="0.25">
      <c r="B18" s="1369" t="s">
        <v>201</v>
      </c>
      <c r="C18" s="3711">
        <f>Table1!C37</f>
        <v>7969.3180974831548</v>
      </c>
      <c r="D18" s="3795">
        <f>Table1!D37</f>
        <v>1348.3441181004744</v>
      </c>
      <c r="E18" s="3795">
        <f>Table1!E37</f>
        <v>9.7578918524269656E-2</v>
      </c>
      <c r="F18" s="69"/>
      <c r="G18" s="69"/>
      <c r="H18" s="69"/>
      <c r="I18" s="69"/>
      <c r="J18" s="69"/>
      <c r="K18" s="3795">
        <f>Table1!F37</f>
        <v>1.6222501217749361</v>
      </c>
      <c r="L18" s="617">
        <f>Table1!G37</f>
        <v>9.4090507062946305</v>
      </c>
      <c r="M18" s="617">
        <f>Table1!H37</f>
        <v>219.25722563519568</v>
      </c>
      <c r="N18" s="619" t="str">
        <f>Table1!I37</f>
        <v>NO</v>
      </c>
      <c r="O18" s="3717">
        <f t="shared" si="2"/>
        <v>45748.811817705369</v>
      </c>
    </row>
    <row r="19" spans="2:15" ht="18" customHeight="1" x14ac:dyDescent="0.25">
      <c r="B19" s="1370" t="s">
        <v>1928</v>
      </c>
      <c r="C19" s="3712">
        <f>Table1!C38</f>
        <v>1308.4125121797349</v>
      </c>
      <c r="D19" s="3722">
        <f>Table1!D38</f>
        <v>1139.2162164153622</v>
      </c>
      <c r="E19" s="3795">
        <f>Table1!E38</f>
        <v>3.4002767032537785E-4</v>
      </c>
      <c r="F19" s="69"/>
      <c r="G19" s="69"/>
      <c r="H19" s="69"/>
      <c r="I19" s="69"/>
      <c r="J19" s="69"/>
      <c r="K19" s="3795" t="str">
        <f>Table1!F38</f>
        <v>NO</v>
      </c>
      <c r="L19" s="617" t="str">
        <f>Table1!G38</f>
        <v>NO</v>
      </c>
      <c r="M19" s="617" t="str">
        <f>Table1!H38</f>
        <v>NO</v>
      </c>
      <c r="N19" s="619" t="str">
        <f>Table1!I38</f>
        <v>NO</v>
      </c>
      <c r="O19" s="3717">
        <f t="shared" si="2"/>
        <v>33206.556679142515</v>
      </c>
    </row>
    <row r="20" spans="2:15" ht="18" customHeight="1" x14ac:dyDescent="0.25">
      <c r="B20" s="1371" t="s">
        <v>1929</v>
      </c>
      <c r="C20" s="3712">
        <f>Table1!C42</f>
        <v>6660.9055853034197</v>
      </c>
      <c r="D20" s="3796">
        <f>Table1!D42</f>
        <v>209.12790168511211</v>
      </c>
      <c r="E20" s="3795">
        <f>Table1!E42</f>
        <v>9.7238890853944285E-2</v>
      </c>
      <c r="F20" s="3719"/>
      <c r="G20" s="3719"/>
      <c r="H20" s="3719"/>
      <c r="I20" s="3719"/>
      <c r="J20" s="69"/>
      <c r="K20" s="3795">
        <f>Table1!F42</f>
        <v>1.6222501217749361</v>
      </c>
      <c r="L20" s="3718">
        <f>Table1!G42</f>
        <v>9.4090507062946305</v>
      </c>
      <c r="M20" s="3718">
        <f>Table1!H42</f>
        <v>219.25722563519568</v>
      </c>
      <c r="N20" s="3720" t="str">
        <f>Table1!I42</f>
        <v>NO</v>
      </c>
      <c r="O20" s="3721">
        <f t="shared" si="2"/>
        <v>12542.255138562854</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21120.996965749539</v>
      </c>
      <c r="D22" s="3727">
        <f>'Table2(I)'!D10</f>
        <v>3.0859087494495152</v>
      </c>
      <c r="E22" s="3728">
        <f>'Table2(I)'!E10</f>
        <v>10.119455349594617</v>
      </c>
      <c r="F22" s="3713">
        <f>'Table2(I)'!F10</f>
        <v>6141.5462216641909</v>
      </c>
      <c r="G22" s="3713">
        <f>'Table2(I)'!G10</f>
        <v>322.43408328130437</v>
      </c>
      <c r="H22" s="3713" t="str">
        <f>'Table2(I)'!H10</f>
        <v>NO</v>
      </c>
      <c r="I22" s="3713">
        <f>'Table2(I)'!I10</f>
        <v>6.4470614816006036E-3</v>
      </c>
      <c r="J22" s="3713" t="str">
        <f>'Table2(I)'!J10</f>
        <v>NO</v>
      </c>
      <c r="K22" s="3713">
        <f>'Table2(I)'!K10</f>
        <v>31.904864230377278</v>
      </c>
      <c r="L22" s="3713">
        <f>'Table2(I)'!L10</f>
        <v>8.5449682393755637</v>
      </c>
      <c r="M22" s="3713">
        <f>'Table2(I)'!M10</f>
        <v>236.79912401404209</v>
      </c>
      <c r="N22" s="960">
        <f>'Table2(I)'!N10</f>
        <v>1820.1968561298688</v>
      </c>
      <c r="O22" s="3715">
        <f t="shared" si="2"/>
        <v>30504.544328139807</v>
      </c>
    </row>
    <row r="23" spans="2:15" ht="18" customHeight="1" x14ac:dyDescent="0.25">
      <c r="B23" s="1129" t="s">
        <v>1932</v>
      </c>
      <c r="C23" s="3729">
        <f>'Table2(I)'!C11</f>
        <v>6408.1365207979152</v>
      </c>
      <c r="D23" s="3730"/>
      <c r="E23" s="98"/>
      <c r="F23" s="98"/>
      <c r="G23" s="98"/>
      <c r="H23" s="98"/>
      <c r="I23" s="98"/>
      <c r="J23" s="69"/>
      <c r="K23" s="620" t="str">
        <f>'Table2(I)'!K11</f>
        <v>NO</v>
      </c>
      <c r="L23" s="620" t="str">
        <f>'Table2(I)'!L11</f>
        <v>NO</v>
      </c>
      <c r="M23" s="620" t="str">
        <f>'Table2(I)'!M11</f>
        <v>NO</v>
      </c>
      <c r="N23" s="622" t="str">
        <f>'Table2(I)'!N11</f>
        <v>NO</v>
      </c>
      <c r="O23" s="3716">
        <f t="shared" si="2"/>
        <v>6408.1365207979152</v>
      </c>
    </row>
    <row r="24" spans="2:15" ht="18" customHeight="1" x14ac:dyDescent="0.25">
      <c r="B24" s="1129" t="s">
        <v>846</v>
      </c>
      <c r="C24" s="3729">
        <f>'Table2(I)'!C16</f>
        <v>3186.7659698427392</v>
      </c>
      <c r="D24" s="3731">
        <f>'Table2(I)'!D16</f>
        <v>0.57776359999999993</v>
      </c>
      <c r="E24" s="3732">
        <f>'Table2(I)'!E16</f>
        <v>10.056942740141992</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5868.0331767803673</v>
      </c>
    </row>
    <row r="25" spans="2:15" ht="18" customHeight="1" x14ac:dyDescent="0.25">
      <c r="B25" s="1129" t="s">
        <v>637</v>
      </c>
      <c r="C25" s="3729">
        <f>'Table2(I)'!C27</f>
        <v>11125.923167063165</v>
      </c>
      <c r="D25" s="3731">
        <f>'Table2(I)'!D27</f>
        <v>2.5081451494495153</v>
      </c>
      <c r="E25" s="3732">
        <f>'Table2(I)'!E27</f>
        <v>6.2512609452625476E-2</v>
      </c>
      <c r="F25" s="617" t="str">
        <f>'Table2(I)'!F27</f>
        <v>NO</v>
      </c>
      <c r="G25" s="617">
        <f>'Table2(I)'!G27</f>
        <v>322.43408328130437</v>
      </c>
      <c r="H25" s="617" t="str">
        <f>'Table2(I)'!H27</f>
        <v>NO</v>
      </c>
      <c r="I25" s="617" t="str">
        <f>'Table2(I)'!I27</f>
        <v>NO</v>
      </c>
      <c r="J25" s="617" t="str">
        <f>'Table2(I)'!J27</f>
        <v>NO</v>
      </c>
      <c r="K25" s="617">
        <f>'Table2(I)'!K27</f>
        <v>31.904864230377278</v>
      </c>
      <c r="L25" s="617">
        <f>'Table2(I)'!L27</f>
        <v>8.5449682393755637</v>
      </c>
      <c r="M25" s="617">
        <f>'Table2(I)'!M27</f>
        <v>7.787612484880499E-2</v>
      </c>
      <c r="N25" s="619">
        <f>'Table2(I)'!N27</f>
        <v>1820.1968561298688</v>
      </c>
      <c r="O25" s="3717">
        <f t="shared" si="2"/>
        <v>11535.151156034002</v>
      </c>
    </row>
    <row r="26" spans="2:15" ht="18" customHeight="1" x14ac:dyDescent="0.25">
      <c r="B26" s="1129" t="s">
        <v>1933</v>
      </c>
      <c r="C26" s="3729">
        <f>'Table2(I)'!C35</f>
        <v>238.76239894999998</v>
      </c>
      <c r="D26" s="3733" t="str">
        <f>'Table2(I)'!D35</f>
        <v>NO</v>
      </c>
      <c r="E26" s="602" t="str">
        <f>'Table2(I)'!E35</f>
        <v>NO</v>
      </c>
      <c r="F26" s="69"/>
      <c r="G26" s="69"/>
      <c r="H26" s="69"/>
      <c r="I26" s="69"/>
      <c r="J26" s="69"/>
      <c r="K26" s="602" t="str">
        <f>'Table2(I)'!K35</f>
        <v>NO</v>
      </c>
      <c r="L26" s="3732" t="str">
        <f>'Table2(I)'!L35</f>
        <v>NO</v>
      </c>
      <c r="M26" s="3732">
        <f>'Table2(I)'!M35</f>
        <v>183.17059779694659</v>
      </c>
      <c r="N26" s="3734" t="str">
        <f>'Table2(I)'!N35</f>
        <v>NO</v>
      </c>
      <c r="O26" s="3717">
        <f t="shared" si="2"/>
        <v>238.76239894999998</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6141.5462216641909</v>
      </c>
      <c r="G28" s="3718" t="str">
        <f>'Table2(I)'!G45</f>
        <v>NO</v>
      </c>
      <c r="H28" s="3718" t="str">
        <f>'Table2(I)'!H45</f>
        <v>NO</v>
      </c>
      <c r="I28" s="3718" t="str">
        <f>'Table2(I)'!I45</f>
        <v>NO</v>
      </c>
      <c r="J28" s="3718" t="str">
        <f>'Table2(I)'!J45</f>
        <v>NO</v>
      </c>
      <c r="K28" s="3719"/>
      <c r="L28" s="3719"/>
      <c r="M28" s="3719"/>
      <c r="N28" s="3738"/>
      <c r="O28" s="3721">
        <f t="shared" si="2"/>
        <v>6141.5462216641909</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6.4470614816006036E-3</v>
      </c>
      <c r="J29" s="602" t="str">
        <f>'Table2(I)'!J52</f>
        <v>NO</v>
      </c>
      <c r="K29" s="3741" t="str">
        <f>'Table2(I)'!K52</f>
        <v>NO</v>
      </c>
      <c r="L29" s="3741" t="str">
        <f>'Table2(I)'!L52</f>
        <v>NO</v>
      </c>
      <c r="M29" s="3741" t="str">
        <f>'Table2(I)'!M52</f>
        <v>NO</v>
      </c>
      <c r="N29" s="3742" t="str">
        <f>'Table2(I)'!N52</f>
        <v>NO</v>
      </c>
      <c r="O29" s="3721">
        <f t="shared" si="2"/>
        <v>151.50594481761419</v>
      </c>
    </row>
    <row r="30" spans="2:15" ht="18" customHeight="1" thickBot="1" x14ac:dyDescent="0.3">
      <c r="B30" s="1374" t="s">
        <v>1936</v>
      </c>
      <c r="C30" s="3743">
        <f>'Table2(I)'!C57</f>
        <v>161.40890909572053</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50.708089411546709</v>
      </c>
      <c r="N30" s="3746" t="str">
        <f>'Table2(I)'!N57</f>
        <v>NA</v>
      </c>
      <c r="O30" s="3747">
        <f t="shared" si="2"/>
        <v>161.40890909572053</v>
      </c>
    </row>
    <row r="31" spans="2:15" ht="18" customHeight="1" x14ac:dyDescent="0.25">
      <c r="B31" s="1130" t="s">
        <v>1937</v>
      </c>
      <c r="C31" s="3789">
        <f>Table3!C10</f>
        <v>1943.1837325816937</v>
      </c>
      <c r="D31" s="3748">
        <f>Table3!D10</f>
        <v>2315.3852512387875</v>
      </c>
      <c r="E31" s="3749">
        <f>Table3!E10</f>
        <v>36.694517195846174</v>
      </c>
      <c r="F31" s="3750"/>
      <c r="G31" s="3750"/>
      <c r="H31" s="3750"/>
      <c r="I31" s="3750"/>
      <c r="J31" s="3750"/>
      <c r="K31" s="3751">
        <f>Table3!F10</f>
        <v>18.72469865665936</v>
      </c>
      <c r="L31" s="3751">
        <f>Table3!G10</f>
        <v>306.84471968401829</v>
      </c>
      <c r="M31" s="3751">
        <f>Table3!H10</f>
        <v>17.899275314901068</v>
      </c>
      <c r="N31" s="3752" t="str">
        <f>Table3!I10</f>
        <v>NO</v>
      </c>
      <c r="O31" s="3716">
        <f t="shared" si="2"/>
        <v>76498.017824166978</v>
      </c>
    </row>
    <row r="32" spans="2:15" ht="18" customHeight="1" x14ac:dyDescent="0.25">
      <c r="B32" s="1131" t="s">
        <v>1938</v>
      </c>
      <c r="C32" s="3735"/>
      <c r="D32" s="3753">
        <f>Table3!D11</f>
        <v>2070.6619163518048</v>
      </c>
      <c r="E32" s="98"/>
      <c r="F32" s="3754"/>
      <c r="G32" s="3754"/>
      <c r="H32" s="3730"/>
      <c r="I32" s="3754"/>
      <c r="J32" s="3730"/>
      <c r="K32" s="98"/>
      <c r="L32" s="98"/>
      <c r="M32" s="98"/>
      <c r="N32" s="3755"/>
      <c r="O32" s="3716">
        <f t="shared" si="2"/>
        <v>57978.533657850538</v>
      </c>
    </row>
    <row r="33" spans="2:15" ht="18" customHeight="1" x14ac:dyDescent="0.25">
      <c r="B33" s="1131" t="s">
        <v>1939</v>
      </c>
      <c r="C33" s="3735"/>
      <c r="D33" s="3722">
        <f>Table3!D21</f>
        <v>235.71239496175161</v>
      </c>
      <c r="E33" s="3722">
        <f>Table3!E21</f>
        <v>1.7439196949091933</v>
      </c>
      <c r="F33" s="3754"/>
      <c r="G33" s="3754"/>
      <c r="H33" s="3754"/>
      <c r="I33" s="3754"/>
      <c r="J33" s="3754"/>
      <c r="K33" s="69"/>
      <c r="L33" s="69"/>
      <c r="M33" s="3756" t="str">
        <f>Table3!H21</f>
        <v>NE</v>
      </c>
      <c r="N33" s="3757"/>
      <c r="O33" s="3717">
        <f t="shared" si="2"/>
        <v>7062.0857780799815</v>
      </c>
    </row>
    <row r="34" spans="2:15" ht="18" customHeight="1" x14ac:dyDescent="0.25">
      <c r="B34" s="1131" t="s">
        <v>1940</v>
      </c>
      <c r="C34" s="3735"/>
      <c r="D34" s="3722">
        <f>Table3!D32</f>
        <v>1.1431266</v>
      </c>
      <c r="E34" s="69"/>
      <c r="F34" s="3754"/>
      <c r="G34" s="3754"/>
      <c r="H34" s="3754"/>
      <c r="I34" s="3754"/>
      <c r="J34" s="3754"/>
      <c r="K34" s="69"/>
      <c r="L34" s="69"/>
      <c r="M34" s="3756" t="str">
        <f>Table3!H32</f>
        <v>NE</v>
      </c>
      <c r="N34" s="3757"/>
      <c r="O34" s="3717">
        <f t="shared" si="2"/>
        <v>32.007544799999998</v>
      </c>
    </row>
    <row r="35" spans="2:15" ht="18" customHeight="1" x14ac:dyDescent="0.25">
      <c r="B35" s="1131" t="s">
        <v>1941</v>
      </c>
      <c r="C35" s="3758"/>
      <c r="D35" s="3722" t="str">
        <f>Table3!D33</f>
        <v>NE</v>
      </c>
      <c r="E35" s="3722">
        <f>Table3!E33</f>
        <v>34.626501267459396</v>
      </c>
      <c r="F35" s="3754"/>
      <c r="G35" s="3754"/>
      <c r="H35" s="3754"/>
      <c r="I35" s="3754"/>
      <c r="J35" s="3754"/>
      <c r="K35" s="3756" t="str">
        <f>Table3!F33</f>
        <v>NO</v>
      </c>
      <c r="L35" s="3756" t="str">
        <f>Table3!G33</f>
        <v>NO</v>
      </c>
      <c r="M35" s="3756" t="str">
        <f>Table3!H33</f>
        <v>NO</v>
      </c>
      <c r="N35" s="3757"/>
      <c r="O35" s="3717">
        <f t="shared" si="2"/>
        <v>9176.0228358767399</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7.8678133252312366</v>
      </c>
      <c r="E37" s="3722">
        <f>Table3!E44</f>
        <v>0.32409623347758237</v>
      </c>
      <c r="F37" s="3754"/>
      <c r="G37" s="3754"/>
      <c r="H37" s="3754"/>
      <c r="I37" s="3754"/>
      <c r="J37" s="3754"/>
      <c r="K37" s="3756">
        <f>Table3!F44</f>
        <v>18.72469865665936</v>
      </c>
      <c r="L37" s="3756">
        <f>Table3!G44</f>
        <v>306.84471968401829</v>
      </c>
      <c r="M37" s="3756">
        <f>Table3!H44</f>
        <v>17.899275314901068</v>
      </c>
      <c r="N37" s="3756" t="str">
        <f>Table3!I44</f>
        <v>NO</v>
      </c>
      <c r="O37" s="3717">
        <f t="shared" si="2"/>
        <v>306.18427497803395</v>
      </c>
    </row>
    <row r="38" spans="2:15" ht="18" customHeight="1" x14ac:dyDescent="0.25">
      <c r="B38" s="1132" t="s">
        <v>955</v>
      </c>
      <c r="C38" s="3739">
        <f>Table3!C45</f>
        <v>1159.4904844523769</v>
      </c>
      <c r="D38" s="3759"/>
      <c r="E38" s="3759"/>
      <c r="F38" s="3736"/>
      <c r="G38" s="3736"/>
      <c r="H38" s="3736"/>
      <c r="I38" s="3736"/>
      <c r="J38" s="3736"/>
      <c r="K38" s="3760"/>
      <c r="L38" s="3760"/>
      <c r="M38" s="3760"/>
      <c r="N38" s="3738"/>
      <c r="O38" s="3721">
        <f t="shared" si="2"/>
        <v>1159.4904844523769</v>
      </c>
    </row>
    <row r="39" spans="2:15" ht="18" customHeight="1" x14ac:dyDescent="0.25">
      <c r="B39" s="1132" t="s">
        <v>956</v>
      </c>
      <c r="C39" s="3761">
        <f>Table3!C46</f>
        <v>783.69324812931677</v>
      </c>
      <c r="D39" s="3759"/>
      <c r="E39" s="3759"/>
      <c r="F39" s="3736"/>
      <c r="G39" s="3736"/>
      <c r="H39" s="3736"/>
      <c r="I39" s="3736"/>
      <c r="J39" s="3736"/>
      <c r="K39" s="3760"/>
      <c r="L39" s="3760"/>
      <c r="M39" s="3760"/>
      <c r="N39" s="3738"/>
      <c r="O39" s="3721">
        <f t="shared" si="2"/>
        <v>783.69324812931677</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31539.95486670305</v>
      </c>
      <c r="D42" s="3765">
        <f>Table4!D10</f>
        <v>750.35287151980731</v>
      </c>
      <c r="E42" s="3766">
        <f>Table4!E10</f>
        <v>17.694926063970804</v>
      </c>
      <c r="F42" s="3750"/>
      <c r="G42" s="3750"/>
      <c r="H42" s="3750"/>
      <c r="I42" s="3750"/>
      <c r="J42" s="3750"/>
      <c r="K42" s="3767">
        <f>Table4!F10</f>
        <v>969.66251049091284</v>
      </c>
      <c r="L42" s="3767">
        <f>Table4!G10</f>
        <v>25379.598369907329</v>
      </c>
      <c r="M42" s="3767">
        <f>Table4!H10</f>
        <v>667.84322110265725</v>
      </c>
      <c r="N42" s="3768" t="str">
        <f>N50</f>
        <v>NO</v>
      </c>
      <c r="O42" s="3715">
        <f t="shared" si="2"/>
        <v>57238.99067620992</v>
      </c>
    </row>
    <row r="43" spans="2:15" ht="18" customHeight="1" x14ac:dyDescent="0.25">
      <c r="B43" s="1131" t="s">
        <v>1947</v>
      </c>
      <c r="C43" s="3769">
        <f>Table4!C11</f>
        <v>-22199.76670946696</v>
      </c>
      <c r="D43" s="3770">
        <f>Table4!D11</f>
        <v>319.57178063650588</v>
      </c>
      <c r="E43" s="3771">
        <f>Table4!E11</f>
        <v>6.5679889582306252</v>
      </c>
      <c r="F43" s="3736"/>
      <c r="G43" s="3736"/>
      <c r="H43" s="3736"/>
      <c r="I43" s="3736"/>
      <c r="J43" s="3736"/>
      <c r="K43" s="3756">
        <f>Table4!F11</f>
        <v>321.3089752179207</v>
      </c>
      <c r="L43" s="3756">
        <f>Table4!G11</f>
        <v>8694.5518463205062</v>
      </c>
      <c r="M43" s="3756">
        <f>Table4!H11</f>
        <v>312.53622517424782</v>
      </c>
      <c r="N43" s="3772"/>
      <c r="O43" s="3773">
        <f t="shared" si="2"/>
        <v>-11511.239777713679</v>
      </c>
    </row>
    <row r="44" spans="2:15" ht="18" customHeight="1" x14ac:dyDescent="0.25">
      <c r="B44" s="1131" t="s">
        <v>1948</v>
      </c>
      <c r="C44" s="3769">
        <f>Table4!C14</f>
        <v>6392.9286160119609</v>
      </c>
      <c r="D44" s="3774">
        <f>Table4!D14</f>
        <v>2.0187253970823456</v>
      </c>
      <c r="E44" s="3774">
        <f>Table4!E14</f>
        <v>0.13435901649287132</v>
      </c>
      <c r="F44" s="3754"/>
      <c r="G44" s="3754"/>
      <c r="H44" s="3754"/>
      <c r="I44" s="3754"/>
      <c r="J44" s="3754"/>
      <c r="K44" s="3756">
        <f>Table4!F14</f>
        <v>1.5200521591125995</v>
      </c>
      <c r="L44" s="3756">
        <f>Table4!G14</f>
        <v>59.533707312104362</v>
      </c>
      <c r="M44" s="3756">
        <f>Table4!H14</f>
        <v>7.1963822025620638</v>
      </c>
      <c r="N44" s="3775"/>
      <c r="O44" s="3717">
        <f t="shared" si="2"/>
        <v>6485.0580665008774</v>
      </c>
    </row>
    <row r="45" spans="2:15" ht="18" customHeight="1" x14ac:dyDescent="0.25">
      <c r="B45" s="1131" t="s">
        <v>1949</v>
      </c>
      <c r="C45" s="3769">
        <f>Table4!C17</f>
        <v>46286.304300373326</v>
      </c>
      <c r="D45" s="3774">
        <f>Table4!D17</f>
        <v>343.6215453696571</v>
      </c>
      <c r="E45" s="3774">
        <f>Table4!E17</f>
        <v>10.340070107449293</v>
      </c>
      <c r="F45" s="3754"/>
      <c r="G45" s="3754"/>
      <c r="H45" s="3754"/>
      <c r="I45" s="3754"/>
      <c r="J45" s="3754"/>
      <c r="K45" s="3756">
        <f>Table4!F17</f>
        <v>611.6732702937411</v>
      </c>
      <c r="L45" s="3756">
        <f>Table4!G17</f>
        <v>15747.884533325956</v>
      </c>
      <c r="M45" s="3756">
        <f>Table4!H17</f>
        <v>336.84194422055219</v>
      </c>
      <c r="N45" s="3775"/>
      <c r="O45" s="3717">
        <f t="shared" si="2"/>
        <v>58647.82614919779</v>
      </c>
    </row>
    <row r="46" spans="2:15" ht="18" customHeight="1" x14ac:dyDescent="0.25">
      <c r="B46" s="1131" t="s">
        <v>1950</v>
      </c>
      <c r="C46" s="3769">
        <f>Table4!C20</f>
        <v>1407.7458687701276</v>
      </c>
      <c r="D46" s="3774">
        <f>Table4!D20</f>
        <v>82.121685317831677</v>
      </c>
      <c r="E46" s="3774">
        <f>Table4!E20</f>
        <v>0.45130269076836094</v>
      </c>
      <c r="F46" s="3754"/>
      <c r="G46" s="3754"/>
      <c r="H46" s="3754"/>
      <c r="I46" s="3754"/>
      <c r="J46" s="3754"/>
      <c r="K46" s="3756">
        <f>Table4!F20</f>
        <v>32.886876200856527</v>
      </c>
      <c r="L46" s="3756">
        <f>Table4!G20</f>
        <v>788.59176133806181</v>
      </c>
      <c r="M46" s="3756">
        <f>Table4!H20</f>
        <v>0.50601304685858972</v>
      </c>
      <c r="N46" s="3775"/>
      <c r="O46" s="3717">
        <f t="shared" si="2"/>
        <v>3826.7482707230306</v>
      </c>
    </row>
    <row r="47" spans="2:15" ht="18" customHeight="1" x14ac:dyDescent="0.25">
      <c r="B47" s="1131" t="s">
        <v>1951</v>
      </c>
      <c r="C47" s="3769">
        <f>Table4!C23</f>
        <v>4268.6248650799134</v>
      </c>
      <c r="D47" s="3774">
        <f>Table4!D23</f>
        <v>3.0191347987302648</v>
      </c>
      <c r="E47" s="3776">
        <f>Table4!E23</f>
        <v>7.961557231560136E-2</v>
      </c>
      <c r="F47" s="3754"/>
      <c r="G47" s="3754"/>
      <c r="H47" s="3754"/>
      <c r="I47" s="3754"/>
      <c r="J47" s="3754"/>
      <c r="K47" s="3756">
        <f>Table4!F23</f>
        <v>2.2733366192820155</v>
      </c>
      <c r="L47" s="3756">
        <f>Table4!G23</f>
        <v>89.036521610702749</v>
      </c>
      <c r="M47" s="3756">
        <f>Table4!H23</f>
        <v>10.762656458436593</v>
      </c>
      <c r="N47" s="1842"/>
      <c r="O47" s="3717">
        <f t="shared" si="2"/>
        <v>4374.2587661079951</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-4616.2887655963823</v>
      </c>
      <c r="D49" s="3736"/>
      <c r="E49" s="3736"/>
      <c r="F49" s="3736"/>
      <c r="G49" s="3736"/>
      <c r="H49" s="3736"/>
      <c r="I49" s="3736"/>
      <c r="J49" s="3736"/>
      <c r="K49" s="3736"/>
      <c r="L49" s="3736"/>
      <c r="M49" s="3736"/>
      <c r="N49" s="3781"/>
      <c r="O49" s="3721">
        <f t="shared" si="2"/>
        <v>-4616.2887655963823</v>
      </c>
    </row>
    <row r="50" spans="2:15" ht="18" customHeight="1" thickBot="1" x14ac:dyDescent="0.3">
      <c r="B50" s="1375" t="s">
        <v>1954</v>
      </c>
      <c r="C50" s="3782">
        <f>Table4!C30</f>
        <v>0.40669153106816663</v>
      </c>
      <c r="D50" s="3783" t="str">
        <f>Table4!D30</f>
        <v>NO</v>
      </c>
      <c r="E50" s="3783">
        <f>Table4!E30</f>
        <v>0.12158971871405545</v>
      </c>
      <c r="F50" s="3762"/>
      <c r="G50" s="3762"/>
      <c r="H50" s="3762"/>
      <c r="I50" s="3762"/>
      <c r="J50" s="3762"/>
      <c r="K50" s="3784" t="str">
        <f>Table4!F30</f>
        <v>NO</v>
      </c>
      <c r="L50" s="3784" t="str">
        <f>Table4!G30</f>
        <v>NO</v>
      </c>
      <c r="M50" s="3784" t="str">
        <f>Table4!H30</f>
        <v>NO</v>
      </c>
      <c r="N50" s="3785" t="s">
        <v>199</v>
      </c>
      <c r="O50" s="3747">
        <f t="shared" si="2"/>
        <v>32.627966990292862</v>
      </c>
    </row>
    <row r="51" spans="2:15" ht="18" customHeight="1" x14ac:dyDescent="0.25">
      <c r="B51" s="1376" t="s">
        <v>1955</v>
      </c>
      <c r="C51" s="3786">
        <f>Table5!C10</f>
        <v>30.577141562580699</v>
      </c>
      <c r="D51" s="3748">
        <f>Table5!D10</f>
        <v>565.2034030781474</v>
      </c>
      <c r="E51" s="3749">
        <f>Table5!E10</f>
        <v>1.2616847310806687</v>
      </c>
      <c r="F51" s="3750"/>
      <c r="G51" s="3750"/>
      <c r="H51" s="3750"/>
      <c r="I51" s="3750"/>
      <c r="J51" s="3750"/>
      <c r="K51" s="3751" t="str">
        <f>Table5!F10</f>
        <v>NO</v>
      </c>
      <c r="L51" s="3751" t="str">
        <f>Table5!G10</f>
        <v>NO</v>
      </c>
      <c r="M51" s="3751">
        <f>Table5!H10</f>
        <v>251.63739804304672</v>
      </c>
      <c r="N51" s="3752" t="str">
        <f>Table5!I10</f>
        <v>NO</v>
      </c>
      <c r="O51" s="3787">
        <f t="shared" si="2"/>
        <v>16190.618881487086</v>
      </c>
    </row>
    <row r="52" spans="2:15" ht="18" customHeight="1" x14ac:dyDescent="0.25">
      <c r="B52" s="1131" t="s">
        <v>1956</v>
      </c>
      <c r="C52" s="3758"/>
      <c r="D52" s="3753">
        <f>Table5!D11</f>
        <v>452.20044988009869</v>
      </c>
      <c r="E52" s="3788"/>
      <c r="F52" s="3750"/>
      <c r="G52" s="3750"/>
      <c r="H52" s="3750"/>
      <c r="I52" s="3750"/>
      <c r="J52" s="3750"/>
      <c r="K52" s="3756" t="str">
        <f>Table5!F11</f>
        <v>NO</v>
      </c>
      <c r="L52" s="3756" t="str">
        <f>Table5!G11</f>
        <v>NO</v>
      </c>
      <c r="M52" s="3756">
        <f>Table5!H11</f>
        <v>2.963309688786647</v>
      </c>
      <c r="N52" s="3755"/>
      <c r="O52" s="3787">
        <f t="shared" si="2"/>
        <v>12661.612596642763</v>
      </c>
    </row>
    <row r="53" spans="2:15" ht="18" customHeight="1" x14ac:dyDescent="0.25">
      <c r="B53" s="1131" t="s">
        <v>1957</v>
      </c>
      <c r="C53" s="3758"/>
      <c r="D53" s="3753">
        <f>Table5!D15</f>
        <v>3.0080040074999994</v>
      </c>
      <c r="E53" s="3753">
        <f>Table5!E15</f>
        <v>0.38502451296000001</v>
      </c>
      <c r="F53" s="3754"/>
      <c r="G53" s="3754"/>
      <c r="H53" s="3754"/>
      <c r="I53" s="3754"/>
      <c r="J53" s="3754"/>
      <c r="K53" s="3756" t="str">
        <f>Table5!F15</f>
        <v>NA,NE</v>
      </c>
      <c r="L53" s="3756" t="str">
        <f>Table5!G15</f>
        <v>NA,NE</v>
      </c>
      <c r="M53" s="3756" t="str">
        <f>Table5!H15</f>
        <v>NA,NE</v>
      </c>
      <c r="N53" s="3755"/>
      <c r="O53" s="3716">
        <f t="shared" si="2"/>
        <v>186.25560814439999</v>
      </c>
    </row>
    <row r="54" spans="2:15" ht="18" customHeight="1" x14ac:dyDescent="0.25">
      <c r="B54" s="1131" t="s">
        <v>1958</v>
      </c>
      <c r="C54" s="3817">
        <f>Table5!C18</f>
        <v>30.577141562580699</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30.577141562580699</v>
      </c>
    </row>
    <row r="55" spans="2:15" ht="18" customHeight="1" x14ac:dyDescent="0.25">
      <c r="B55" s="1131" t="s">
        <v>1959</v>
      </c>
      <c r="C55" s="3735"/>
      <c r="D55" s="3722">
        <f>Table5!D21</f>
        <v>109.99494919054874</v>
      </c>
      <c r="E55" s="3722">
        <f>Table5!E21</f>
        <v>0.87666021812066863</v>
      </c>
      <c r="F55" s="3754"/>
      <c r="G55" s="3754"/>
      <c r="H55" s="3754"/>
      <c r="I55" s="3754"/>
      <c r="J55" s="3754"/>
      <c r="K55" s="3756" t="str">
        <f>Table5!F21</f>
        <v>NO</v>
      </c>
      <c r="L55" s="3756" t="str">
        <f>Table5!G21</f>
        <v>NO</v>
      </c>
      <c r="M55" s="3756">
        <f>Table5!H21</f>
        <v>248.67408835426008</v>
      </c>
      <c r="N55" s="3755"/>
      <c r="O55" s="3791">
        <f t="shared" si="2"/>
        <v>3312.1735351373418</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12141.913604479998</v>
      </c>
      <c r="D61" s="3802">
        <f>Table1!D52</f>
        <v>0.27101272536585364</v>
      </c>
      <c r="E61" s="3802">
        <f>Table1!E52</f>
        <v>0.12149481179620025</v>
      </c>
      <c r="F61" s="615"/>
      <c r="G61" s="615"/>
      <c r="H61" s="615"/>
      <c r="I61" s="615"/>
      <c r="J61" s="615"/>
      <c r="K61" s="3802">
        <f>Table1!F52</f>
        <v>120.07747496280872</v>
      </c>
      <c r="L61" s="3802">
        <f>Table1!G52</f>
        <v>16.769255716636714</v>
      </c>
      <c r="M61" s="3802">
        <f>Table1!H52</f>
        <v>9.4879739781448009</v>
      </c>
      <c r="N61" s="3803">
        <f>Table1!I52</f>
        <v>45.476374622394815</v>
      </c>
      <c r="O61" s="3787">
        <f t="shared" ref="O61:O67" si="4">IF(SUM(C61:J61)=0,"NO",SUM(C61,F61:H61)+28*SUM(D61)+265*SUM(E61)+23500*SUM(I61)+16100*SUM(J61))</f>
        <v>12181.698085916234</v>
      </c>
    </row>
    <row r="62" spans="2:15" ht="18" customHeight="1" x14ac:dyDescent="0.25">
      <c r="B62" s="1370" t="s">
        <v>218</v>
      </c>
      <c r="C62" s="3804">
        <f>Table1!C53</f>
        <v>9474.0236044799985</v>
      </c>
      <c r="D62" s="620">
        <f>Table1!D53</f>
        <v>1.6632725365853661E-2</v>
      </c>
      <c r="E62" s="620">
        <f>Table1!E53</f>
        <v>4.8814811796200265E-2</v>
      </c>
      <c r="F62" s="615"/>
      <c r="G62" s="615"/>
      <c r="H62" s="615"/>
      <c r="I62" s="615"/>
      <c r="J62" s="2161"/>
      <c r="K62" s="620">
        <f>Table1!F53</f>
        <v>48.161874962808724</v>
      </c>
      <c r="L62" s="620">
        <f>Table1!G53</f>
        <v>14.953715716636713</v>
      </c>
      <c r="M62" s="620">
        <f>Table1!H53</f>
        <v>7.2294939781448004</v>
      </c>
      <c r="N62" s="622">
        <f>Table1!I53</f>
        <v>1.11619243616</v>
      </c>
      <c r="O62" s="3716">
        <f t="shared" si="4"/>
        <v>9487.4252459162362</v>
      </c>
    </row>
    <row r="63" spans="2:15" ht="18" customHeight="1" x14ac:dyDescent="0.25">
      <c r="B63" s="1379" t="s">
        <v>1963</v>
      </c>
      <c r="C63" s="3804">
        <f>Table1!C54</f>
        <v>2667.8899999999994</v>
      </c>
      <c r="D63" s="617">
        <f>Table1!D54</f>
        <v>0.25438</v>
      </c>
      <c r="E63" s="617">
        <f>Table1!E54</f>
        <v>7.2679999999999995E-2</v>
      </c>
      <c r="F63" s="615"/>
      <c r="G63" s="615"/>
      <c r="H63" s="615"/>
      <c r="I63" s="615"/>
      <c r="J63" s="615"/>
      <c r="K63" s="617">
        <f>Table1!F54</f>
        <v>71.915599999999998</v>
      </c>
      <c r="L63" s="617">
        <f>Table1!G54</f>
        <v>1.8155399999999999</v>
      </c>
      <c r="M63" s="617">
        <f>Table1!H54</f>
        <v>2.25848</v>
      </c>
      <c r="N63" s="619">
        <f>Table1!I54</f>
        <v>44.360182186234816</v>
      </c>
      <c r="O63" s="3717">
        <f t="shared" si="4"/>
        <v>2694.2728399999996</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14682.810440562396</v>
      </c>
      <c r="D65" s="3806"/>
      <c r="E65" s="3806"/>
      <c r="F65" s="3807"/>
      <c r="G65" s="3807"/>
      <c r="H65" s="3807"/>
      <c r="I65" s="3807"/>
      <c r="J65" s="3806"/>
      <c r="K65" s="3806"/>
      <c r="L65" s="3806"/>
      <c r="M65" s="3806"/>
      <c r="N65" s="3808"/>
      <c r="O65" s="3773">
        <f t="shared" si="4"/>
        <v>14682.810440562396</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273785.94821395894</v>
      </c>
      <c r="D67" s="3807"/>
      <c r="E67" s="3807"/>
      <c r="F67" s="3811"/>
      <c r="G67" s="3807"/>
      <c r="H67" s="3807"/>
      <c r="I67" s="3807"/>
      <c r="J67" s="3807"/>
      <c r="K67" s="3807"/>
      <c r="L67" s="3807"/>
      <c r="M67" s="3807"/>
      <c r="N67" s="3812"/>
      <c r="O67" s="3721">
        <f t="shared" si="4"/>
        <v>273785.94821395894</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438633.92943645903</v>
      </c>
      <c r="D10" s="3798">
        <f>IFERROR(Summary1!D10*28,Summary1!D10)</f>
        <v>141908.92961653444</v>
      </c>
      <c r="E10" s="3798">
        <f>IFERROR(Summary1!E10*265,Summary1!E10)</f>
        <v>20709.812542284784</v>
      </c>
      <c r="F10" s="3798">
        <f>Summary1!F10</f>
        <v>6141.5462216641909</v>
      </c>
      <c r="G10" s="3798">
        <f>Summary1!G10</f>
        <v>322.43408328130437</v>
      </c>
      <c r="H10" s="3798" t="str">
        <f>Summary1!H10</f>
        <v>NO</v>
      </c>
      <c r="I10" s="3827">
        <f>IFERROR(Summary1!I10*23500,Summary1!I10)</f>
        <v>151.50594481761419</v>
      </c>
      <c r="J10" s="4181" t="str">
        <f>IFERROR(Summary1!J10*16100,Summary1!J10)</f>
        <v>NO</v>
      </c>
      <c r="K10" s="3799">
        <f>IF(SUM(C10:J10)=0,"NO",SUM(C10:J10))</f>
        <v>607868.15784504137</v>
      </c>
    </row>
    <row r="11" spans="2:12" ht="18" customHeight="1" x14ac:dyDescent="0.2">
      <c r="B11" s="1549" t="s">
        <v>1921</v>
      </c>
      <c r="C11" s="3767">
        <f>Summary1!C11</f>
        <v>383999.21672986215</v>
      </c>
      <c r="D11" s="3767">
        <f>IFERROR(Summary1!D11*28,Summary1!D11)</f>
        <v>40156.161448121064</v>
      </c>
      <c r="E11" s="3767">
        <f>IFERROR(Summary1!E11*265,Summary1!E11)</f>
        <v>3280.6079570543375</v>
      </c>
      <c r="F11" s="1550"/>
      <c r="G11" s="1550"/>
      <c r="H11" s="1551"/>
      <c r="I11" s="1551"/>
      <c r="J11" s="613"/>
      <c r="K11" s="3828">
        <f t="shared" ref="K11:K55" si="0">IF(SUM(C11:J11)=0,"NO",SUM(C11:J11))</f>
        <v>427435.98613503756</v>
      </c>
      <c r="L11" s="19"/>
    </row>
    <row r="12" spans="2:12" ht="18" customHeight="1" x14ac:dyDescent="0.2">
      <c r="B12" s="606" t="s">
        <v>242</v>
      </c>
      <c r="C12" s="3756">
        <f>Summary1!C12</f>
        <v>376029.89863237902</v>
      </c>
      <c r="D12" s="3756">
        <f>IFERROR(Summary1!D12*28,Summary1!D12)</f>
        <v>2402.5261413077792</v>
      </c>
      <c r="E12" s="3756">
        <f>IFERROR(Summary1!E12*265,Summary1!E12)</f>
        <v>3254.7495436454055</v>
      </c>
      <c r="F12" s="615"/>
      <c r="G12" s="615"/>
      <c r="H12" s="615"/>
      <c r="I12" s="69"/>
      <c r="J12" s="69"/>
      <c r="K12" s="3829">
        <f t="shared" si="0"/>
        <v>381687.17431733222</v>
      </c>
      <c r="L12" s="19"/>
    </row>
    <row r="13" spans="2:12" ht="18" customHeight="1" x14ac:dyDescent="0.2">
      <c r="B13" s="1391" t="s">
        <v>1923</v>
      </c>
      <c r="C13" s="3756">
        <f>Summary1!C13</f>
        <v>230787.71621986476</v>
      </c>
      <c r="D13" s="3756">
        <f>IFERROR(Summary1!D13*28,Summary1!D13)</f>
        <v>635.68644285591358</v>
      </c>
      <c r="E13" s="3756">
        <f>IFERROR(Summary1!E13*265,Summary1!E13)</f>
        <v>1042.6291428123352</v>
      </c>
      <c r="F13" s="615"/>
      <c r="G13" s="615"/>
      <c r="H13" s="615"/>
      <c r="I13" s="69"/>
      <c r="J13" s="69"/>
      <c r="K13" s="3829">
        <f t="shared" si="0"/>
        <v>232466.03180553301</v>
      </c>
      <c r="L13" s="19"/>
    </row>
    <row r="14" spans="2:12" ht="18" customHeight="1" x14ac:dyDescent="0.2">
      <c r="B14" s="1391" t="s">
        <v>1976</v>
      </c>
      <c r="C14" s="3756">
        <f>Summary1!C14</f>
        <v>40172.086958314503</v>
      </c>
      <c r="D14" s="3756">
        <f>IFERROR(Summary1!D14*28,Summary1!D14)</f>
        <v>54.414996104666713</v>
      </c>
      <c r="E14" s="3756">
        <f>IFERROR(Summary1!E14*265,Summary1!E14)</f>
        <v>289.52364203626291</v>
      </c>
      <c r="F14" s="615"/>
      <c r="G14" s="615"/>
      <c r="H14" s="615"/>
      <c r="I14" s="69"/>
      <c r="J14" s="69"/>
      <c r="K14" s="3829">
        <f t="shared" si="0"/>
        <v>40516.025596455431</v>
      </c>
      <c r="L14" s="19"/>
    </row>
    <row r="15" spans="2:12" ht="18" customHeight="1" x14ac:dyDescent="0.2">
      <c r="B15" s="1391" t="s">
        <v>1925</v>
      </c>
      <c r="C15" s="3756">
        <f>Summary1!C15</f>
        <v>84904.621577574857</v>
      </c>
      <c r="D15" s="3756">
        <f>IFERROR(Summary1!D15*28,Summary1!D15)</f>
        <v>506.76633604192529</v>
      </c>
      <c r="E15" s="3756">
        <f>IFERROR(Summary1!E15*265,Summary1!E15)</f>
        <v>1745.2202033067526</v>
      </c>
      <c r="F15" s="615"/>
      <c r="G15" s="615"/>
      <c r="H15" s="615"/>
      <c r="I15" s="69"/>
      <c r="J15" s="69"/>
      <c r="K15" s="3829">
        <f t="shared" si="0"/>
        <v>87156.60811692354</v>
      </c>
      <c r="L15" s="19"/>
    </row>
    <row r="16" spans="2:12" ht="18" customHeight="1" x14ac:dyDescent="0.2">
      <c r="B16" s="1391" t="s">
        <v>1926</v>
      </c>
      <c r="C16" s="3756">
        <f>Summary1!C16</f>
        <v>19338.074952012557</v>
      </c>
      <c r="D16" s="3756">
        <f>IFERROR(Summary1!D16*28,Summary1!D16)</f>
        <v>1204.8602412746959</v>
      </c>
      <c r="E16" s="3756">
        <f>IFERROR(Summary1!E16*265,Summary1!E16)</f>
        <v>171.22454211614536</v>
      </c>
      <c r="F16" s="615"/>
      <c r="G16" s="615"/>
      <c r="H16" s="615"/>
      <c r="I16" s="69"/>
      <c r="J16" s="69"/>
      <c r="K16" s="3829">
        <f t="shared" si="0"/>
        <v>20714.159735403398</v>
      </c>
      <c r="L16" s="19"/>
    </row>
    <row r="17" spans="2:12" ht="18" customHeight="1" x14ac:dyDescent="0.2">
      <c r="B17" s="1391" t="s">
        <v>1927</v>
      </c>
      <c r="C17" s="3756">
        <f>Summary1!C17</f>
        <v>827.39892461234956</v>
      </c>
      <c r="D17" s="3756">
        <f>IFERROR(Summary1!D17*28,Summary1!D17)</f>
        <v>0.79812503057782636</v>
      </c>
      <c r="E17" s="3756">
        <f>IFERROR(Summary1!E17*265,Summary1!E17)</f>
        <v>6.152013373909158</v>
      </c>
      <c r="F17" s="615"/>
      <c r="G17" s="615"/>
      <c r="H17" s="615"/>
      <c r="I17" s="69"/>
      <c r="J17" s="69"/>
      <c r="K17" s="3829">
        <f t="shared" si="0"/>
        <v>834.34906301683657</v>
      </c>
      <c r="L17" s="19"/>
    </row>
    <row r="18" spans="2:12" ht="18" customHeight="1" x14ac:dyDescent="0.2">
      <c r="B18" s="606" t="s">
        <v>201</v>
      </c>
      <c r="C18" s="3756">
        <f>Summary1!C18</f>
        <v>7969.3180974831548</v>
      </c>
      <c r="D18" s="3756">
        <f>IFERROR(Summary1!D18*28,Summary1!D18)</f>
        <v>37753.635306813281</v>
      </c>
      <c r="E18" s="3756">
        <f>IFERROR(Summary1!E18*265,Summary1!E18)</f>
        <v>25.858413408931458</v>
      </c>
      <c r="F18" s="615"/>
      <c r="G18" s="615"/>
      <c r="H18" s="615"/>
      <c r="I18" s="69"/>
      <c r="J18" s="69"/>
      <c r="K18" s="3829">
        <f t="shared" si="0"/>
        <v>45748.811817705369</v>
      </c>
      <c r="L18" s="19"/>
    </row>
    <row r="19" spans="2:12" ht="18" customHeight="1" x14ac:dyDescent="0.2">
      <c r="B19" s="1391" t="s">
        <v>1928</v>
      </c>
      <c r="C19" s="3756">
        <f>Summary1!C19</f>
        <v>1308.4125121797349</v>
      </c>
      <c r="D19" s="3756">
        <f>IFERROR(Summary1!D19*28,Summary1!D19)</f>
        <v>31898.05405963014</v>
      </c>
      <c r="E19" s="3756">
        <f>IFERROR(Summary1!E19*265,Summary1!E19)</f>
        <v>9.0107332636225126E-2</v>
      </c>
      <c r="F19" s="615"/>
      <c r="G19" s="615"/>
      <c r="H19" s="615"/>
      <c r="I19" s="69"/>
      <c r="J19" s="69"/>
      <c r="K19" s="3829">
        <f t="shared" si="0"/>
        <v>33206.556679142515</v>
      </c>
      <c r="L19" s="19"/>
    </row>
    <row r="20" spans="2:12" ht="18" customHeight="1" x14ac:dyDescent="0.2">
      <c r="B20" s="1392" t="s">
        <v>1929</v>
      </c>
      <c r="C20" s="3756">
        <f>Summary1!C20</f>
        <v>6660.9055853034197</v>
      </c>
      <c r="D20" s="3756">
        <f>IFERROR(Summary1!D20*28,Summary1!D20)</f>
        <v>5855.5812471831387</v>
      </c>
      <c r="E20" s="3756">
        <f>IFERROR(Summary1!E20*265,Summary1!E20)</f>
        <v>25.768306076295236</v>
      </c>
      <c r="F20" s="615"/>
      <c r="G20" s="615"/>
      <c r="H20" s="615"/>
      <c r="I20" s="69"/>
      <c r="J20" s="69"/>
      <c r="K20" s="3829">
        <f t="shared" si="0"/>
        <v>12542.255138562854</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21120.996965749539</v>
      </c>
      <c r="D22" s="3767">
        <f>IFERROR(Summary1!D22*28,Summary1!D22)</f>
        <v>86.405444984586424</v>
      </c>
      <c r="E22" s="3767">
        <f>IFERROR(Summary1!E22*265,Summary1!E22)</f>
        <v>2681.6556676425735</v>
      </c>
      <c r="F22" s="3767">
        <f>Summary1!F22</f>
        <v>6141.5462216641909</v>
      </c>
      <c r="G22" s="3767">
        <f>Summary1!G22</f>
        <v>322.43408328130437</v>
      </c>
      <c r="H22" s="3767" t="str">
        <f>Summary1!H22</f>
        <v>NO</v>
      </c>
      <c r="I22" s="3767">
        <f>IFERROR(Summary1!I22*23500,Summary1!I22)</f>
        <v>151.50594481761419</v>
      </c>
      <c r="J22" s="3831" t="str">
        <f>IFERROR(Summary1!J22*16100,Summary1!J22)</f>
        <v>NO</v>
      </c>
      <c r="K22" s="3828">
        <f t="shared" si="0"/>
        <v>30504.544328139807</v>
      </c>
      <c r="L22" s="19"/>
    </row>
    <row r="23" spans="2:12" ht="18" customHeight="1" x14ac:dyDescent="0.2">
      <c r="B23" s="1393" t="s">
        <v>1932</v>
      </c>
      <c r="C23" s="3756">
        <f>Summary1!C23</f>
        <v>6408.1365207979152</v>
      </c>
      <c r="D23" s="615"/>
      <c r="E23" s="615"/>
      <c r="F23" s="615"/>
      <c r="G23" s="615"/>
      <c r="H23" s="615"/>
      <c r="I23" s="69"/>
      <c r="J23" s="69"/>
      <c r="K23" s="3829">
        <f t="shared" si="0"/>
        <v>6408.1365207979152</v>
      </c>
      <c r="L23" s="19"/>
    </row>
    <row r="24" spans="2:12" ht="18" customHeight="1" x14ac:dyDescent="0.2">
      <c r="B24" s="1393" t="s">
        <v>846</v>
      </c>
      <c r="C24" s="3756">
        <f>Summary1!C24</f>
        <v>3186.7659698427392</v>
      </c>
      <c r="D24" s="3756">
        <f>IFERROR(Summary1!D24*28,Summary1!D24)</f>
        <v>16.177380799999998</v>
      </c>
      <c r="E24" s="3756">
        <f>IFERROR(Summary1!E24*265,Summary1!E24)</f>
        <v>2665.0898261376278</v>
      </c>
      <c r="F24" s="1949" t="str">
        <f>Summary1!F24</f>
        <v>NO</v>
      </c>
      <c r="G24" s="1949" t="str">
        <f>Summary1!G24</f>
        <v>NO</v>
      </c>
      <c r="H24" s="1949" t="str">
        <f>Summary1!H24</f>
        <v>NO</v>
      </c>
      <c r="I24" s="602" t="str">
        <f>IFERROR(Summary1!I24*23500,Summary1!I24)</f>
        <v>NO</v>
      </c>
      <c r="J24" s="602" t="str">
        <f>IFERROR(Summary1!J24*16100,Summary1!J24)</f>
        <v>NO</v>
      </c>
      <c r="K24" s="3829">
        <f t="shared" si="0"/>
        <v>5868.0331767803673</v>
      </c>
      <c r="L24" s="19"/>
    </row>
    <row r="25" spans="2:12" ht="18" customHeight="1" x14ac:dyDescent="0.2">
      <c r="B25" s="1393" t="s">
        <v>637</v>
      </c>
      <c r="C25" s="3756">
        <f>Summary1!C25</f>
        <v>11125.923167063165</v>
      </c>
      <c r="D25" s="3756">
        <f>IFERROR(Summary1!D25*28,Summary1!D25)</f>
        <v>70.22806418458643</v>
      </c>
      <c r="E25" s="3756">
        <f>IFERROR(Summary1!E25*265,Summary1!E25)</f>
        <v>16.565841504945752</v>
      </c>
      <c r="F25" s="1949" t="str">
        <f>Summary1!F25</f>
        <v>NO</v>
      </c>
      <c r="G25" s="3756">
        <f>Summary1!G25</f>
        <v>322.43408328130437</v>
      </c>
      <c r="H25" s="3756" t="str">
        <f>Summary1!H25</f>
        <v>NO</v>
      </c>
      <c r="I25" s="3756" t="str">
        <f>IFERROR(Summary1!I25*23500,Summary1!I25)</f>
        <v>NO</v>
      </c>
      <c r="J25" s="3756" t="str">
        <f>IFERROR(Summary1!J25*16100,Summary1!J25)</f>
        <v>NO</v>
      </c>
      <c r="K25" s="3829">
        <f t="shared" si="0"/>
        <v>11535.151156034002</v>
      </c>
      <c r="L25" s="19"/>
    </row>
    <row r="26" spans="2:12" ht="18" customHeight="1" x14ac:dyDescent="0.2">
      <c r="B26" s="1394" t="s">
        <v>1978</v>
      </c>
      <c r="C26" s="3756">
        <f>Summary1!C26</f>
        <v>238.76239894999998</v>
      </c>
      <c r="D26" s="3756" t="str">
        <f>IFERROR(Summary1!D26*28,Summary1!D26)</f>
        <v>NO</v>
      </c>
      <c r="E26" s="3756" t="str">
        <f>IFERROR(Summary1!E26*265,Summary1!E26)</f>
        <v>NO</v>
      </c>
      <c r="F26" s="615"/>
      <c r="G26" s="615"/>
      <c r="H26" s="615"/>
      <c r="I26" s="69"/>
      <c r="J26" s="69"/>
      <c r="K26" s="3829">
        <f t="shared" si="0"/>
        <v>238.76239894999998</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6141.5462216641909</v>
      </c>
      <c r="G28" s="3756" t="str">
        <f>Summary1!G28</f>
        <v>NO</v>
      </c>
      <c r="H28" s="3756" t="str">
        <f>Summary1!H28</f>
        <v>NO</v>
      </c>
      <c r="I28" s="3756" t="str">
        <f>IFERROR(Summary1!I28*23500,Summary1!I28)</f>
        <v>NO</v>
      </c>
      <c r="J28" s="3756" t="str">
        <f>IFERROR(Summary1!J28*16100,Summary1!J28)</f>
        <v>NO</v>
      </c>
      <c r="K28" s="3829">
        <f t="shared" si="0"/>
        <v>6141.5462216641909</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151.50594481761419</v>
      </c>
      <c r="J29" s="3756" t="str">
        <f>IFERROR(Summary1!J29*16100,Summary1!J29)</f>
        <v>NO</v>
      </c>
      <c r="K29" s="3829">
        <f t="shared" si="0"/>
        <v>151.50594481761419</v>
      </c>
      <c r="L29" s="19"/>
    </row>
    <row r="30" spans="2:12" ht="18" customHeight="1" thickBot="1" x14ac:dyDescent="0.25">
      <c r="B30" s="1406" t="s">
        <v>1982</v>
      </c>
      <c r="C30" s="3784">
        <f>Summary1!C30</f>
        <v>161.40890909572053</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161.40890909572053</v>
      </c>
      <c r="L30" s="19"/>
    </row>
    <row r="31" spans="2:12" ht="18" customHeight="1" x14ac:dyDescent="0.2">
      <c r="B31" s="780" t="s">
        <v>1937</v>
      </c>
      <c r="C31" s="3767">
        <f>Summary1!C31</f>
        <v>1943.1837325816937</v>
      </c>
      <c r="D31" s="3767">
        <f>IFERROR(Summary1!D31*28,Summary1!D31)</f>
        <v>64830.787034686051</v>
      </c>
      <c r="E31" s="3767">
        <f>IFERROR(Summary1!E31*265,Summary1!E31)</f>
        <v>9724.0470568992368</v>
      </c>
      <c r="F31" s="1550"/>
      <c r="G31" s="1550"/>
      <c r="H31" s="1550"/>
      <c r="I31" s="1553"/>
      <c r="J31" s="613"/>
      <c r="K31" s="3828">
        <f t="shared" si="0"/>
        <v>76498.017824166978</v>
      </c>
      <c r="L31" s="19"/>
    </row>
    <row r="32" spans="2:12" ht="18" customHeight="1" x14ac:dyDescent="0.2">
      <c r="B32" s="606" t="s">
        <v>1938</v>
      </c>
      <c r="C32" s="615"/>
      <c r="D32" s="3756">
        <f>IFERROR(Summary1!D32*28,Summary1!D32)</f>
        <v>57978.533657850538</v>
      </c>
      <c r="E32" s="615"/>
      <c r="F32" s="615"/>
      <c r="G32" s="615"/>
      <c r="H32" s="615"/>
      <c r="I32" s="69"/>
      <c r="J32" s="69"/>
      <c r="K32" s="3829">
        <f t="shared" si="0"/>
        <v>57978.533657850538</v>
      </c>
      <c r="L32" s="19"/>
    </row>
    <row r="33" spans="2:12" ht="18" customHeight="1" x14ac:dyDescent="0.2">
      <c r="B33" s="606" t="s">
        <v>1939</v>
      </c>
      <c r="C33" s="615"/>
      <c r="D33" s="3756">
        <f>IFERROR(Summary1!D33*28,Summary1!D33)</f>
        <v>6599.9470589290449</v>
      </c>
      <c r="E33" s="3756">
        <f>IFERROR(Summary1!E33*265,Summary1!E33)</f>
        <v>462.1387191509362</v>
      </c>
      <c r="F33" s="615"/>
      <c r="G33" s="615"/>
      <c r="H33" s="615"/>
      <c r="I33" s="69"/>
      <c r="J33" s="69"/>
      <c r="K33" s="3829">
        <f t="shared" si="0"/>
        <v>7062.0857780799815</v>
      </c>
      <c r="L33" s="19"/>
    </row>
    <row r="34" spans="2:12" ht="18" customHeight="1" x14ac:dyDescent="0.2">
      <c r="B34" s="606" t="s">
        <v>1940</v>
      </c>
      <c r="C34" s="615"/>
      <c r="D34" s="3756">
        <f>IFERROR(Summary1!D34*28,Summary1!D34)</f>
        <v>32.007544799999998</v>
      </c>
      <c r="E34" s="615"/>
      <c r="F34" s="615"/>
      <c r="G34" s="615"/>
      <c r="H34" s="615"/>
      <c r="I34" s="69"/>
      <c r="J34" s="69"/>
      <c r="K34" s="3829">
        <f t="shared" si="0"/>
        <v>32.007544799999998</v>
      </c>
      <c r="L34" s="19"/>
    </row>
    <row r="35" spans="2:12" ht="18" customHeight="1" x14ac:dyDescent="0.2">
      <c r="B35" s="606" t="s">
        <v>1941</v>
      </c>
      <c r="C35" s="1950"/>
      <c r="D35" s="3756" t="str">
        <f>IFERROR(Summary1!D35*28,Summary1!D35)</f>
        <v>NE</v>
      </c>
      <c r="E35" s="3756">
        <f>IFERROR(Summary1!E35*265,Summary1!E35)</f>
        <v>9176.0228358767399</v>
      </c>
      <c r="F35" s="615"/>
      <c r="G35" s="615"/>
      <c r="H35" s="615"/>
      <c r="I35" s="69"/>
      <c r="J35" s="69"/>
      <c r="K35" s="3829">
        <f t="shared" si="0"/>
        <v>9176.0228358767399</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220.29877310647461</v>
      </c>
      <c r="E37" s="3756">
        <f>IFERROR(Summary1!E37*265,Summary1!E37)</f>
        <v>85.885501871559327</v>
      </c>
      <c r="F37" s="615"/>
      <c r="G37" s="615"/>
      <c r="H37" s="615"/>
      <c r="I37" s="69"/>
      <c r="J37" s="69"/>
      <c r="K37" s="3829">
        <f t="shared" si="0"/>
        <v>306.18427497803395</v>
      </c>
      <c r="L37" s="19"/>
    </row>
    <row r="38" spans="2:12" ht="18" customHeight="1" x14ac:dyDescent="0.2">
      <c r="B38" s="606" t="s">
        <v>955</v>
      </c>
      <c r="C38" s="1949">
        <f>Summary1!C38</f>
        <v>1159.4904844523769</v>
      </c>
      <c r="D38" s="3832"/>
      <c r="E38" s="3832"/>
      <c r="F38" s="615"/>
      <c r="G38" s="615"/>
      <c r="H38" s="615"/>
      <c r="I38" s="69"/>
      <c r="J38" s="69"/>
      <c r="K38" s="3829">
        <f t="shared" si="0"/>
        <v>1159.4904844523769</v>
      </c>
      <c r="L38" s="19"/>
    </row>
    <row r="39" spans="2:12" ht="18" customHeight="1" x14ac:dyDescent="0.2">
      <c r="B39" s="606" t="s">
        <v>956</v>
      </c>
      <c r="C39" s="1949">
        <f>Summary1!C39</f>
        <v>783.69324812931677</v>
      </c>
      <c r="D39" s="3832"/>
      <c r="E39" s="3832"/>
      <c r="F39" s="615"/>
      <c r="G39" s="615"/>
      <c r="H39" s="615"/>
      <c r="I39" s="69"/>
      <c r="J39" s="69"/>
      <c r="K39" s="3829">
        <f t="shared" si="0"/>
        <v>783.69324812931677</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31539.95486670305</v>
      </c>
      <c r="D42" s="1952">
        <f>IFERROR(Summary1!D42*28,Summary1!D42)</f>
        <v>21009.880402554605</v>
      </c>
      <c r="E42" s="1952">
        <f>IFERROR(Summary1!E42*265,Summary1!E42)</f>
        <v>4689.1554069522635</v>
      </c>
      <c r="F42" s="1550"/>
      <c r="G42" s="1550"/>
      <c r="H42" s="1550"/>
      <c r="I42" s="1553"/>
      <c r="J42" s="613"/>
      <c r="K42" s="3828">
        <f t="shared" si="0"/>
        <v>57238.99067620992</v>
      </c>
      <c r="L42" s="19"/>
    </row>
    <row r="43" spans="2:12" ht="18" customHeight="1" x14ac:dyDescent="0.2">
      <c r="B43" s="606" t="s">
        <v>1252</v>
      </c>
      <c r="C43" s="1949">
        <f>Summary1!C43</f>
        <v>-22199.76670946696</v>
      </c>
      <c r="D43" s="1949">
        <f>IFERROR(Summary1!D43*28,Summary1!D43)</f>
        <v>8948.0098578221641</v>
      </c>
      <c r="E43" s="1949">
        <f>IFERROR(Summary1!E43*265,Summary1!E43)</f>
        <v>1740.5170739311156</v>
      </c>
      <c r="F43" s="627"/>
      <c r="G43" s="627"/>
      <c r="H43" s="627"/>
      <c r="I43" s="614"/>
      <c r="J43" s="69"/>
      <c r="K43" s="3829">
        <f t="shared" si="0"/>
        <v>-11511.239777713679</v>
      </c>
      <c r="L43" s="19"/>
    </row>
    <row r="44" spans="2:12" ht="18" customHeight="1" x14ac:dyDescent="0.2">
      <c r="B44" s="606" t="s">
        <v>1255</v>
      </c>
      <c r="C44" s="1949">
        <f>Summary1!C44</f>
        <v>6392.9286160119609</v>
      </c>
      <c r="D44" s="1949">
        <f>IFERROR(Summary1!D44*28,Summary1!D44)</f>
        <v>56.524311118305675</v>
      </c>
      <c r="E44" s="1949">
        <f>IFERROR(Summary1!E44*265,Summary1!E44)</f>
        <v>35.6051393706109</v>
      </c>
      <c r="F44" s="627"/>
      <c r="G44" s="627"/>
      <c r="H44" s="627"/>
      <c r="I44" s="614"/>
      <c r="J44" s="69"/>
      <c r="K44" s="3829">
        <f t="shared" si="0"/>
        <v>6485.0580665008774</v>
      </c>
      <c r="L44" s="19"/>
    </row>
    <row r="45" spans="2:12" ht="18" customHeight="1" x14ac:dyDescent="0.2">
      <c r="B45" s="606" t="s">
        <v>1258</v>
      </c>
      <c r="C45" s="1949">
        <f>Summary1!C45</f>
        <v>46286.304300373326</v>
      </c>
      <c r="D45" s="1949">
        <f>IFERROR(Summary1!D45*28,Summary1!D45)</f>
        <v>9621.4032703503981</v>
      </c>
      <c r="E45" s="1949">
        <f>IFERROR(Summary1!E45*265,Summary1!E45)</f>
        <v>2740.1185784740628</v>
      </c>
      <c r="F45" s="627"/>
      <c r="G45" s="627"/>
      <c r="H45" s="627"/>
      <c r="I45" s="614"/>
      <c r="J45" s="69"/>
      <c r="K45" s="3829">
        <f t="shared" si="0"/>
        <v>58647.82614919779</v>
      </c>
      <c r="L45" s="19"/>
    </row>
    <row r="46" spans="2:12" ht="18" customHeight="1" x14ac:dyDescent="0.2">
      <c r="B46" s="606" t="s">
        <v>1984</v>
      </c>
      <c r="C46" s="1949">
        <f>Summary1!C46</f>
        <v>1407.7458687701276</v>
      </c>
      <c r="D46" s="1949">
        <f>IFERROR(Summary1!D46*28,Summary1!D46)</f>
        <v>2299.4071888992871</v>
      </c>
      <c r="E46" s="1949">
        <f>IFERROR(Summary1!E46*265,Summary1!E46)</f>
        <v>119.59521305361565</v>
      </c>
      <c r="F46" s="627"/>
      <c r="G46" s="627"/>
      <c r="H46" s="627"/>
      <c r="I46" s="614"/>
      <c r="J46" s="69"/>
      <c r="K46" s="3829">
        <f t="shared" si="0"/>
        <v>3826.7482707230306</v>
      </c>
      <c r="L46" s="19"/>
    </row>
    <row r="47" spans="2:12" ht="18" customHeight="1" x14ac:dyDescent="0.2">
      <c r="B47" s="606" t="s">
        <v>1985</v>
      </c>
      <c r="C47" s="1949">
        <f>Summary1!C47</f>
        <v>4268.6248650799134</v>
      </c>
      <c r="D47" s="1949">
        <f>IFERROR(Summary1!D47*28,Summary1!D47)</f>
        <v>84.53577436444742</v>
      </c>
      <c r="E47" s="1949">
        <f>IFERROR(Summary1!E47*265,Summary1!E47)</f>
        <v>21.098126663634361</v>
      </c>
      <c r="F47" s="627"/>
      <c r="G47" s="627"/>
      <c r="H47" s="627"/>
      <c r="I47" s="614"/>
      <c r="J47" s="69"/>
      <c r="K47" s="3829">
        <f t="shared" si="0"/>
        <v>4374.2587661079951</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-4616.2887655963823</v>
      </c>
      <c r="D49" s="3833"/>
      <c r="E49" s="3833"/>
      <c r="F49" s="627"/>
      <c r="G49" s="627"/>
      <c r="H49" s="627"/>
      <c r="I49" s="614"/>
      <c r="J49" s="69"/>
      <c r="K49" s="3829">
        <f t="shared" si="0"/>
        <v>-4616.2887655963823</v>
      </c>
      <c r="L49" s="19"/>
    </row>
    <row r="50" spans="2:12" ht="18" customHeight="1" thickBot="1" x14ac:dyDescent="0.25">
      <c r="B50" s="1554" t="s">
        <v>1988</v>
      </c>
      <c r="C50" s="1951">
        <f>Summary1!C50</f>
        <v>0.40669153106816663</v>
      </c>
      <c r="D50" s="1951" t="str">
        <f>IFERROR(Summary1!D50*28,Summary1!D50)</f>
        <v>NO</v>
      </c>
      <c r="E50" s="1951">
        <f>IFERROR(Summary1!E50*265,Summary1!E50)</f>
        <v>32.221275459224692</v>
      </c>
      <c r="F50" s="1953"/>
      <c r="G50" s="1953"/>
      <c r="H50" s="1953"/>
      <c r="I50" s="1555"/>
      <c r="J50" s="87"/>
      <c r="K50" s="3830">
        <f t="shared" si="0"/>
        <v>32.627966990292862</v>
      </c>
      <c r="L50" s="19"/>
    </row>
    <row r="51" spans="2:12" ht="18" customHeight="1" x14ac:dyDescent="0.2">
      <c r="B51" s="1549" t="s">
        <v>1955</v>
      </c>
      <c r="C51" s="1952">
        <f>Summary1!C51</f>
        <v>30.577141562580699</v>
      </c>
      <c r="D51" s="1952">
        <f>IFERROR(Summary1!D51*28,Summary1!D51)</f>
        <v>15825.695286188127</v>
      </c>
      <c r="E51" s="1952">
        <f>IFERROR(Summary1!E51*265,Summary1!E51)</f>
        <v>334.34645373637721</v>
      </c>
      <c r="F51" s="1550"/>
      <c r="G51" s="1550"/>
      <c r="H51" s="1550"/>
      <c r="I51" s="1553"/>
      <c r="J51" s="613"/>
      <c r="K51" s="3828">
        <f t="shared" si="0"/>
        <v>16190.618881487086</v>
      </c>
      <c r="L51" s="19"/>
    </row>
    <row r="52" spans="2:12" ht="18" customHeight="1" x14ac:dyDescent="0.2">
      <c r="B52" s="606" t="s">
        <v>1989</v>
      </c>
      <c r="C52" s="615"/>
      <c r="D52" s="1949">
        <f>IFERROR(Summary1!D52*28,Summary1!D52)</f>
        <v>12661.612596642763</v>
      </c>
      <c r="E52" s="627"/>
      <c r="F52" s="615"/>
      <c r="G52" s="615"/>
      <c r="H52" s="615"/>
      <c r="I52" s="69"/>
      <c r="J52" s="69"/>
      <c r="K52" s="3829">
        <f t="shared" si="0"/>
        <v>12661.612596642763</v>
      </c>
      <c r="L52" s="19"/>
    </row>
    <row r="53" spans="2:12" ht="18" customHeight="1" x14ac:dyDescent="0.2">
      <c r="B53" s="1395" t="s">
        <v>1990</v>
      </c>
      <c r="C53" s="615"/>
      <c r="D53" s="1949">
        <f>IFERROR(Summary1!D53*28,Summary1!D53)</f>
        <v>84.224112209999987</v>
      </c>
      <c r="E53" s="1949">
        <f>IFERROR(Summary1!E53*265,Summary1!E53)</f>
        <v>102.0314959344</v>
      </c>
      <c r="F53" s="615"/>
      <c r="G53" s="615"/>
      <c r="H53" s="615"/>
      <c r="I53" s="69"/>
      <c r="J53" s="69"/>
      <c r="K53" s="3829">
        <f t="shared" si="0"/>
        <v>186.25560814439999</v>
      </c>
      <c r="L53" s="19"/>
    </row>
    <row r="54" spans="2:12" ht="18" customHeight="1" x14ac:dyDescent="0.2">
      <c r="B54" s="1396" t="s">
        <v>1991</v>
      </c>
      <c r="C54" s="1949">
        <f>Summary1!C54</f>
        <v>30.577141562580699</v>
      </c>
      <c r="D54" s="1949" t="str">
        <f>IFERROR(Summary1!D54*28,Summary1!D54)</f>
        <v>NO,NE</v>
      </c>
      <c r="E54" s="1949" t="str">
        <f>IFERROR(Summary1!E54*265,Summary1!E54)</f>
        <v>NO,NE</v>
      </c>
      <c r="F54" s="615"/>
      <c r="G54" s="615"/>
      <c r="H54" s="615"/>
      <c r="I54" s="69"/>
      <c r="J54" s="69"/>
      <c r="K54" s="3829">
        <f t="shared" si="0"/>
        <v>30.577141562580699</v>
      </c>
      <c r="L54" s="19"/>
    </row>
    <row r="55" spans="2:12" ht="18" customHeight="1" x14ac:dyDescent="0.2">
      <c r="B55" s="606" t="s">
        <v>1992</v>
      </c>
      <c r="C55" s="615"/>
      <c r="D55" s="1949">
        <f>IFERROR(Summary1!D55*28,Summary1!D55)</f>
        <v>3079.8585773353648</v>
      </c>
      <c r="E55" s="1949">
        <f>IFERROR(Summary1!E55*265,Summary1!E55)</f>
        <v>232.31495780197719</v>
      </c>
      <c r="F55" s="615"/>
      <c r="G55" s="615"/>
      <c r="H55" s="615"/>
      <c r="I55" s="69"/>
      <c r="J55" s="69"/>
      <c r="K55" s="3829">
        <f t="shared" si="0"/>
        <v>3312.1735351373418</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12141.913604479998</v>
      </c>
      <c r="D60" s="617">
        <f>IFERROR(Summary1!D61*28,Summary1!D61)</f>
        <v>7.5883563102439018</v>
      </c>
      <c r="E60" s="617">
        <f>IFERROR(Summary1!E61*265,Summary1!E61)</f>
        <v>32.196125125993063</v>
      </c>
      <c r="F60" s="1957"/>
      <c r="G60" s="1957"/>
      <c r="H60" s="1958"/>
      <c r="I60" s="618"/>
      <c r="J60" s="618"/>
      <c r="K60" s="619">
        <f t="shared" ref="K60:K66" si="2">IF(SUM(C60:J60)=0,"NO",SUM(C60:J60))</f>
        <v>12181.698085916234</v>
      </c>
    </row>
    <row r="61" spans="2:12" ht="18" customHeight="1" x14ac:dyDescent="0.2">
      <c r="B61" s="1385" t="s">
        <v>218</v>
      </c>
      <c r="C61" s="617">
        <f>Summary1!C62</f>
        <v>9474.0236044799985</v>
      </c>
      <c r="D61" s="617">
        <f>IFERROR(Summary1!D62*28,Summary1!D62)</f>
        <v>0.46571631024390248</v>
      </c>
      <c r="E61" s="617">
        <f>IFERROR(Summary1!E62*265,Summary1!E62)</f>
        <v>12.935925125993069</v>
      </c>
      <c r="F61" s="615"/>
      <c r="G61" s="615"/>
      <c r="H61" s="615"/>
      <c r="I61" s="621"/>
      <c r="J61" s="621"/>
      <c r="K61" s="622">
        <f t="shared" si="2"/>
        <v>9487.4252459162362</v>
      </c>
    </row>
    <row r="62" spans="2:12" ht="18" customHeight="1" x14ac:dyDescent="0.2">
      <c r="B62" s="1386" t="s">
        <v>1963</v>
      </c>
      <c r="C62" s="617">
        <f>Summary1!C63</f>
        <v>2667.8899999999994</v>
      </c>
      <c r="D62" s="617">
        <f>IFERROR(Summary1!D63*28,Summary1!D63)</f>
        <v>7.1226399999999996</v>
      </c>
      <c r="E62" s="617">
        <f>IFERROR(Summary1!E63*265,Summary1!E63)</f>
        <v>19.260199999999998</v>
      </c>
      <c r="F62" s="615"/>
      <c r="G62" s="615"/>
      <c r="H62" s="615"/>
      <c r="I62" s="623"/>
      <c r="J62" s="623"/>
      <c r="K62" s="619">
        <f t="shared" si="2"/>
        <v>2694.2728399999996</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14682.810440562396</v>
      </c>
      <c r="D64" s="627"/>
      <c r="E64" s="627"/>
      <c r="F64" s="627"/>
      <c r="G64" s="627"/>
      <c r="H64" s="627"/>
      <c r="I64" s="614"/>
      <c r="J64" s="614"/>
      <c r="K64" s="628">
        <f t="shared" si="2"/>
        <v>14682.810440562396</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273785.94821395894</v>
      </c>
      <c r="D66" s="631"/>
      <c r="E66" s="631"/>
      <c r="F66" s="631"/>
      <c r="G66" s="631"/>
      <c r="H66" s="631"/>
      <c r="I66" s="630"/>
      <c r="J66" s="630"/>
      <c r="K66" s="632">
        <f t="shared" si="2"/>
        <v>273785.94821395894</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550629.16716883145</v>
      </c>
      <c r="N71" s="1122"/>
    </row>
    <row r="72" spans="2:14" s="636" customFormat="1" ht="18" customHeight="1" x14ac:dyDescent="0.25">
      <c r="B72" s="640"/>
      <c r="C72" s="641"/>
      <c r="D72" s="641"/>
      <c r="E72" s="641"/>
      <c r="F72" s="641"/>
      <c r="G72" s="641"/>
      <c r="H72" s="641"/>
      <c r="I72" s="641"/>
      <c r="J72" s="2573" t="s">
        <v>1999</v>
      </c>
      <c r="K72" s="628">
        <f>K10</f>
        <v>607868.15784504137</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715273.79792718869</v>
      </c>
      <c r="D10" s="3055" t="s">
        <v>97</v>
      </c>
      <c r="E10" s="615"/>
      <c r="F10" s="615"/>
      <c r="G10" s="615"/>
      <c r="H10" s="4219">
        <f>IF(SUM(H11:H15)=0,"NO",SUM(H11:H15))</f>
        <v>40172.08695831451</v>
      </c>
      <c r="I10" s="4219">
        <f t="shared" ref="I10:K10" si="0">IF(SUM(I11:I16)=0,"NO",SUM(I11:I16))</f>
        <v>1.9433927180238111</v>
      </c>
      <c r="J10" s="4226">
        <f t="shared" si="0"/>
        <v>1.09254204541986</v>
      </c>
      <c r="K10" s="3044" t="str">
        <f t="shared" si="0"/>
        <v>NO</v>
      </c>
    </row>
    <row r="11" spans="2:11" ht="18" customHeight="1" x14ac:dyDescent="0.2">
      <c r="B11" s="282" t="s">
        <v>243</v>
      </c>
      <c r="C11" s="1938">
        <f>IF(SUM(C18,C25,C32,C39,C46,C53,C68,C75,C82,C89,C96,C103,C120,C110:C113)=0,"NO",SUM(C18,C25,C32,C39,C46,C53,C68,C75,C82,C89,C96,C103,C120,C110:C113))</f>
        <v>182496.19156724136</v>
      </c>
      <c r="D11" s="3056" t="s">
        <v>97</v>
      </c>
      <c r="E11" s="1938">
        <f>IFERROR(H11*1000/$C11,"NA")</f>
        <v>69.283281558084326</v>
      </c>
      <c r="F11" s="1938">
        <f t="shared" ref="F11:G16" si="1">IFERROR(I11*1000000/$C11,"NA")</f>
        <v>4.4646853876659387</v>
      </c>
      <c r="G11" s="1938">
        <f t="shared" si="1"/>
        <v>2.1115643794920311</v>
      </c>
      <c r="H11" s="1938">
        <f>IF(SUM(H18,H25,H32,H39,H46,H53,H68,H75,H82,H89,H96,H103,H120,H110:H113)=0,"NO",SUM(H18,H25,H32,H39,H46,H53,H68,H75,H82,H89,H96,H103,H120,H110:H113))</f>
        <v>12643.935023631278</v>
      </c>
      <c r="I11" s="1938">
        <f>IF(SUM(I18,I25,I32,I39,I46,I53,I68,I75,I82,I89,I96,I103,I120,I110:I113)=0,"NO",SUM(I18,I25,I32,I39,I46,I53,I68,I75,I82,I89,I96,I103,I120,I110:I113))</f>
        <v>0.8147880797949465</v>
      </c>
      <c r="J11" s="1938">
        <f>IF(SUM(J18,J25,J32,J39,J46,J53,J68,J75,J82,J89,J96,J103,J120,J110:J113)=0,"NO",SUM(J18,J25,J32,J39,J46,J53,J68,J75,J82,J89,J96,J103,J120,J110:J113))</f>
        <v>0.38535245750634078</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125816.83151274298</v>
      </c>
      <c r="D12" s="3056" t="s">
        <v>97</v>
      </c>
      <c r="E12" s="1938">
        <f t="shared" ref="E12:E16" si="2">IFERROR(H12*1000/$C12,"NA")</f>
        <v>83.665040174523426</v>
      </c>
      <c r="F12" s="1938">
        <f t="shared" si="1"/>
        <v>0.9530042435428876</v>
      </c>
      <c r="G12" s="1938">
        <f t="shared" si="1"/>
        <v>0.71255672732054931</v>
      </c>
      <c r="H12" s="1938">
        <f>IF(SUM(H19,H26,H33,H40,H47,H54,H69,H76,H83,H90,H97,H104,H121)=0,"NO",SUM(H19,H26,H33,H40,H47,H54,H69,H76,H83,H90,H97,H104,H121))</f>
        <v>10526.470263144885</v>
      </c>
      <c r="I12" s="1938">
        <f>IF(SUM(I19,I26,I33,I40,I47,I54,I69,I76,I83,I90,I97,I104,I121)=0,"NO",SUM(I19,I26,I33,I40,I47,I54,I69,I76,I83,I90,I97,I104,I121))</f>
        <v>0.11990397434076457</v>
      </c>
      <c r="J12" s="1938">
        <f>IF(SUM(J19,J26,J33,J40,J47,J54,J69,J76,J83,J90,J97,J104,J121)=0,"NO",SUM(J19,J26,J33,J40,J47,J54,J69,J76,J83,J90,J97,J104,J121))</f>
        <v>8.96516297045611E-2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330587.76333838707</v>
      </c>
      <c r="D13" s="3056" t="s">
        <v>97</v>
      </c>
      <c r="E13" s="1938">
        <f t="shared" si="2"/>
        <v>51.428647872049496</v>
      </c>
      <c r="F13" s="1938">
        <f t="shared" si="1"/>
        <v>0.96373251999840681</v>
      </c>
      <c r="G13" s="1938">
        <f t="shared" si="1"/>
        <v>0.5346472052275244</v>
      </c>
      <c r="H13" s="1938">
        <f t="shared" ref="H13:K14" si="3">IF(SUM(H20,H27,H34,H41,H48,H55,H70,H77,H84,H91,H98,H105,H122,H115)=0,"NO",SUM(H20,H27,H34,H41,H48,H55,H70,H77,H84,H91,H98,H105,H122,H115))</f>
        <v>17001.681671538343</v>
      </c>
      <c r="I13" s="1938">
        <f t="shared" si="3"/>
        <v>0.31859817824274067</v>
      </c>
      <c r="J13" s="1938">
        <f t="shared" si="3"/>
        <v>0.17674782375128689</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76373.011508817261</v>
      </c>
      <c r="D16" s="3071" t="s">
        <v>97</v>
      </c>
      <c r="E16" s="1938">
        <f t="shared" si="2"/>
        <v>94.18265965688083</v>
      </c>
      <c r="F16" s="1938">
        <f t="shared" si="1"/>
        <v>9.0359470186099315</v>
      </c>
      <c r="G16" s="1938">
        <f t="shared" si="1"/>
        <v>5.7715431897926672</v>
      </c>
      <c r="H16" s="1938">
        <f>IF(SUM(H23,H30,H37,H44,H51,H58,H73,H80,H87,H94,H101,H108,H125,H117)=0,"NO",SUM(H23,H30,H37,H44,H51,H58,H73,H80,H87,H94,H101,H108,H125,H117))</f>
        <v>7193.0133499059793</v>
      </c>
      <c r="I16" s="1938">
        <f>IF(SUM(I23,I30,I37,I44,I51,I58,I73,I80,I87,I94,I101,I108,I125,I117)=0,"NO",SUM(I23,I30,I37,I44,I51,I58,I73,I80,I87,I94,I101,I108,I125,I117))</f>
        <v>0.69010248564535925</v>
      </c>
      <c r="J16" s="1938">
        <f>IF(SUM(J23,J30,J37,J44,J51,J58,J73,J80,J87,J94,J101,J108,J125,J117)=0,"NO",SUM(J23,J30,J37,J44,J51,J58,J73,J80,J87,J94,J101,J108,J125,J117))</f>
        <v>0.44079013445767123</v>
      </c>
      <c r="K16" s="3044" t="str">
        <f>IF(SUM(K23,K30,K37,K44,K51,K58,K73,K80,K87,K94,K101,K108,K125,K117)=0,"NO",SUM(K23,K30,K37,K44,K51,K58,K73,K80,K87,K94,K101,K108,K125,K117))</f>
        <v>NO</v>
      </c>
    </row>
    <row r="17" spans="2:11" ht="18" customHeight="1" x14ac:dyDescent="0.2">
      <c r="B17" s="1240" t="s">
        <v>264</v>
      </c>
      <c r="C17" s="1938">
        <f>IF(SUM(C18:C23)=0,"NO",SUM(C18:C23))</f>
        <v>40483.769105890737</v>
      </c>
      <c r="D17" s="3055" t="s">
        <v>97</v>
      </c>
      <c r="E17" s="615"/>
      <c r="F17" s="615"/>
      <c r="G17" s="615"/>
      <c r="H17" s="1938">
        <f>IF(SUM(H18:H22)=0,"NO",SUM(H18:H22))</f>
        <v>2005.4708286980169</v>
      </c>
      <c r="I17" s="1938">
        <f t="shared" ref="I17:K17" si="4">IF(SUM(I18:I23)=0,"NO",SUM(I18:I23))</f>
        <v>4.2297152717200553E-2</v>
      </c>
      <c r="J17" s="1938">
        <f t="shared" si="4"/>
        <v>2.3881137993757094E-2</v>
      </c>
      <c r="K17" s="3044" t="str">
        <f t="shared" si="4"/>
        <v>NO</v>
      </c>
    </row>
    <row r="18" spans="2:11" ht="18" customHeight="1" x14ac:dyDescent="0.2">
      <c r="B18" s="282" t="s">
        <v>243</v>
      </c>
      <c r="C18" s="699">
        <v>900.68091630000004</v>
      </c>
      <c r="D18" s="3056" t="s">
        <v>97</v>
      </c>
      <c r="E18" s="1938">
        <f>IFERROR(H18*1000/$C18,"NA")</f>
        <v>70.506075273508046</v>
      </c>
      <c r="F18" s="1938">
        <f t="shared" ref="F18:G23" si="5">IFERROR(I18*1000000/$C18,"NA")</f>
        <v>4.9847466386243999</v>
      </c>
      <c r="G18" s="1938">
        <f t="shared" si="5"/>
        <v>1.1978634767759695</v>
      </c>
      <c r="H18" s="699">
        <v>63.503476482059995</v>
      </c>
      <c r="I18" s="699">
        <v>4.4896661699995689E-3</v>
      </c>
      <c r="J18" s="699">
        <v>1.078892773864884E-3</v>
      </c>
      <c r="K18" s="3072" t="s">
        <v>199</v>
      </c>
    </row>
    <row r="19" spans="2:11" ht="18" customHeight="1" x14ac:dyDescent="0.2">
      <c r="B19" s="282" t="s">
        <v>245</v>
      </c>
      <c r="C19" s="699">
        <v>19816.317268990733</v>
      </c>
      <c r="D19" s="3056" t="s">
        <v>97</v>
      </c>
      <c r="E19" s="1938">
        <f t="shared" ref="E19:E23" si="6">IFERROR(H19*1000/$C19,"NA")</f>
        <v>46.715024151521341</v>
      </c>
      <c r="F19" s="1938">
        <f t="shared" si="5"/>
        <v>0.95565152435247513</v>
      </c>
      <c r="G19" s="1938">
        <f t="shared" si="5"/>
        <v>0.59486996733903053</v>
      </c>
      <c r="H19" s="699">
        <v>925.71973981511155</v>
      </c>
      <c r="I19" s="699">
        <v>1.8937493805163269E-2</v>
      </c>
      <c r="J19" s="699">
        <v>1.1788132006584386E-2</v>
      </c>
      <c r="K19" s="3072" t="s">
        <v>199</v>
      </c>
    </row>
    <row r="20" spans="2:11" ht="18" customHeight="1" x14ac:dyDescent="0.2">
      <c r="B20" s="282" t="s">
        <v>246</v>
      </c>
      <c r="C20" s="699">
        <v>19766.7709206</v>
      </c>
      <c r="D20" s="3056" t="s">
        <v>97</v>
      </c>
      <c r="E20" s="1938">
        <f t="shared" si="6"/>
        <v>51.411918339265007</v>
      </c>
      <c r="F20" s="1938">
        <f t="shared" si="5"/>
        <v>0.95463203463203461</v>
      </c>
      <c r="G20" s="1938">
        <f t="shared" si="5"/>
        <v>0.55720346320346315</v>
      </c>
      <c r="H20" s="699">
        <v>1016.2476124008454</v>
      </c>
      <c r="I20" s="699">
        <v>1.8869992742037715E-2</v>
      </c>
      <c r="J20" s="699">
        <v>1.1014113213307827E-2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212454.43817374454</v>
      </c>
      <c r="D24" s="3056" t="s">
        <v>97</v>
      </c>
      <c r="E24" s="615"/>
      <c r="F24" s="615"/>
      <c r="G24" s="615"/>
      <c r="H24" s="1938">
        <f>IF(SUM(H25:H29)=0,"NO",SUM(H25:H29))</f>
        <v>13379.420453521227</v>
      </c>
      <c r="I24" s="1938">
        <f t="shared" ref="I24:K24" si="7">IF(SUM(I25:I30)=0,"NO",SUM(I25:I30))</f>
        <v>0.25511838545221605</v>
      </c>
      <c r="J24" s="1938">
        <f t="shared" si="7"/>
        <v>0.15360732574741109</v>
      </c>
      <c r="K24" s="3044" t="str">
        <f t="shared" si="7"/>
        <v>NO</v>
      </c>
    </row>
    <row r="25" spans="2:11" ht="18" customHeight="1" x14ac:dyDescent="0.2">
      <c r="B25" s="282" t="s">
        <v>243</v>
      </c>
      <c r="C25" s="699">
        <v>31871.682604988324</v>
      </c>
      <c r="D25" s="3056" t="s">
        <v>97</v>
      </c>
      <c r="E25" s="1938">
        <f>IFERROR(H25*1000/$C25,"NA")</f>
        <v>72.928963739133266</v>
      </c>
      <c r="F25" s="1938">
        <f t="shared" ref="F25:G30" si="8">IFERROR(I25*1000000/$C25,"NA")</f>
        <v>2.0135389208544057</v>
      </c>
      <c r="G25" s="1938">
        <f t="shared" si="8"/>
        <v>1.0172039359371643</v>
      </c>
      <c r="H25" s="699">
        <v>2324.368785004358</v>
      </c>
      <c r="I25" s="699">
        <v>6.4174873398262319E-2</v>
      </c>
      <c r="J25" s="699">
        <v>3.2420000990734173E-2</v>
      </c>
      <c r="K25" s="3072" t="s">
        <v>199</v>
      </c>
    </row>
    <row r="26" spans="2:11" ht="18" customHeight="1" x14ac:dyDescent="0.2">
      <c r="B26" s="282" t="s">
        <v>245</v>
      </c>
      <c r="C26" s="699">
        <v>47615.965658399982</v>
      </c>
      <c r="D26" s="3056" t="s">
        <v>97</v>
      </c>
      <c r="E26" s="1938">
        <f t="shared" ref="E26:E30" si="9">IFERROR(H26*1000/$C26,"NA")</f>
        <v>91.012508063075558</v>
      </c>
      <c r="F26" s="1938">
        <f t="shared" si="8"/>
        <v>0.95238095238095233</v>
      </c>
      <c r="G26" s="1938">
        <f t="shared" si="8"/>
        <v>0.70609523809523822</v>
      </c>
      <c r="H26" s="699">
        <v>4333.6484584162572</v>
      </c>
      <c r="I26" s="699">
        <v>4.5348538722285697E-2</v>
      </c>
      <c r="J26" s="699">
        <v>3.3621406608702623E-2</v>
      </c>
      <c r="K26" s="3072" t="s">
        <v>199</v>
      </c>
    </row>
    <row r="27" spans="2:11" ht="18" customHeight="1" x14ac:dyDescent="0.2">
      <c r="B27" s="282" t="s">
        <v>246</v>
      </c>
      <c r="C27" s="699">
        <v>130736.28503310002</v>
      </c>
      <c r="D27" s="3056" t="s">
        <v>97</v>
      </c>
      <c r="E27" s="1938">
        <f t="shared" si="9"/>
        <v>51.411918339265007</v>
      </c>
      <c r="F27" s="1938">
        <f t="shared" si="8"/>
        <v>0.9572727272727275</v>
      </c>
      <c r="G27" s="1938">
        <f t="shared" si="8"/>
        <v>0.57027272727272726</v>
      </c>
      <c r="H27" s="699">
        <v>6721.4032101006123</v>
      </c>
      <c r="I27" s="699">
        <v>0.12515028012714033</v>
      </c>
      <c r="J27" s="699">
        <v>7.4555337819330589E-2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2230.5048772562027</v>
      </c>
      <c r="D30" s="3056" t="s">
        <v>97</v>
      </c>
      <c r="E30" s="1938">
        <f t="shared" si="9"/>
        <v>93.996839285479126</v>
      </c>
      <c r="F30" s="1938">
        <f t="shared" si="8"/>
        <v>9.1659486661500562</v>
      </c>
      <c r="G30" s="1938">
        <f t="shared" si="8"/>
        <v>5.8330203449939679</v>
      </c>
      <c r="H30" s="699">
        <v>209.66040847292862</v>
      </c>
      <c r="I30" s="699">
        <v>2.0444693204527683E-2</v>
      </c>
      <c r="J30" s="699">
        <v>1.3010580328643703E-2</v>
      </c>
      <c r="K30" s="3072" t="s">
        <v>199</v>
      </c>
    </row>
    <row r="31" spans="2:11" ht="18" customHeight="1" x14ac:dyDescent="0.2">
      <c r="B31" s="1240" t="s">
        <v>266</v>
      </c>
      <c r="C31" s="1938">
        <f>IF(SUM(C32:C37)=0,"NO",SUM(C32:C37))</f>
        <v>111678.68933127812</v>
      </c>
      <c r="D31" s="3056" t="s">
        <v>97</v>
      </c>
      <c r="E31" s="615"/>
      <c r="F31" s="615"/>
      <c r="G31" s="615"/>
      <c r="H31" s="1938">
        <f>IF(SUM(H32:H36)=0,"NO",SUM(H32:H36))</f>
        <v>6765.7724917991673</v>
      </c>
      <c r="I31" s="1938">
        <f t="shared" ref="I31:K31" si="10">IF(SUM(I32:I37)=0,"NO",SUM(I32:I37))</f>
        <v>0.24370673157552558</v>
      </c>
      <c r="J31" s="1938">
        <f t="shared" si="10"/>
        <v>8.1202751168407999E-2</v>
      </c>
      <c r="K31" s="3044" t="str">
        <f t="shared" si="10"/>
        <v>NO</v>
      </c>
    </row>
    <row r="32" spans="2:11" ht="18" customHeight="1" x14ac:dyDescent="0.2">
      <c r="B32" s="282" t="s">
        <v>243</v>
      </c>
      <c r="C32" s="699">
        <v>57377.305926235102</v>
      </c>
      <c r="D32" s="3056" t="s">
        <v>97</v>
      </c>
      <c r="E32" s="1938">
        <f>IFERROR(H32*1000/$C32,"NA")</f>
        <v>67.659385890223234</v>
      </c>
      <c r="F32" s="1938">
        <f t="shared" ref="F32:G37" si="11">IFERROR(I32*1000000/$C32,"NA")</f>
        <v>3.3104968883943848</v>
      </c>
      <c r="G32" s="1938">
        <f t="shared" si="11"/>
        <v>0.89251370139458308</v>
      </c>
      <c r="H32" s="699">
        <v>3882.1132830045335</v>
      </c>
      <c r="I32" s="699">
        <v>0.18994739273325401</v>
      </c>
      <c r="J32" s="699">
        <v>5.1210031688273441E-2</v>
      </c>
      <c r="K32" s="3072" t="s">
        <v>199</v>
      </c>
    </row>
    <row r="33" spans="2:11" ht="18" customHeight="1" x14ac:dyDescent="0.2">
      <c r="B33" s="282" t="s">
        <v>245</v>
      </c>
      <c r="C33" s="699">
        <v>2882.5545316780967</v>
      </c>
      <c r="D33" s="3056" t="s">
        <v>97</v>
      </c>
      <c r="E33" s="1938">
        <f t="shared" ref="E33:E37" si="12">IFERROR(H33*1000/$C33,"NA")</f>
        <v>90.554113095244617</v>
      </c>
      <c r="F33" s="1938">
        <f t="shared" si="11"/>
        <v>0.95238095238095233</v>
      </c>
      <c r="G33" s="1938">
        <f t="shared" si="11"/>
        <v>0.66666666666666663</v>
      </c>
      <c r="H33" s="699">
        <v>261.02716906478827</v>
      </c>
      <c r="I33" s="699">
        <v>2.745290030169616E-3</v>
      </c>
      <c r="J33" s="699">
        <v>1.9217030211187312E-3</v>
      </c>
      <c r="K33" s="3072" t="s">
        <v>199</v>
      </c>
    </row>
    <row r="34" spans="2:11" ht="18" customHeight="1" x14ac:dyDescent="0.2">
      <c r="B34" s="282" t="s">
        <v>246</v>
      </c>
      <c r="C34" s="699">
        <v>51012.141239764911</v>
      </c>
      <c r="D34" s="3056" t="s">
        <v>97</v>
      </c>
      <c r="E34" s="1938">
        <f t="shared" si="12"/>
        <v>51.411918339265</v>
      </c>
      <c r="F34" s="1938">
        <f t="shared" si="11"/>
        <v>0.95318293970951984</v>
      </c>
      <c r="G34" s="1938">
        <f t="shared" si="11"/>
        <v>0.51667183658527371</v>
      </c>
      <c r="H34" s="699">
        <v>2622.6320397298464</v>
      </c>
      <c r="I34" s="699">
        <v>4.8623902747796349E-2</v>
      </c>
      <c r="J34" s="699">
        <v>2.635653670249672E-2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406.68763359999997</v>
      </c>
      <c r="D37" s="3056" t="s">
        <v>97</v>
      </c>
      <c r="E37" s="1938">
        <f t="shared" si="12"/>
        <v>84.110109390980085</v>
      </c>
      <c r="F37" s="1938">
        <f t="shared" si="11"/>
        <v>5.8771053428598421</v>
      </c>
      <c r="G37" s="1938">
        <f t="shared" si="11"/>
        <v>4.2157164734578512</v>
      </c>
      <c r="H37" s="699">
        <v>34.206541350054827</v>
      </c>
      <c r="I37" s="699">
        <v>2.3901460643055857E-3</v>
      </c>
      <c r="J37" s="699">
        <v>1.7144797565191105E-3</v>
      </c>
      <c r="K37" s="3072" t="s">
        <v>199</v>
      </c>
    </row>
    <row r="38" spans="2:11" ht="18" customHeight="1" x14ac:dyDescent="0.2">
      <c r="B38" s="1240" t="s">
        <v>267</v>
      </c>
      <c r="C38" s="1938">
        <f>IF(SUM(C39:C44)=0,"NO",SUM(C39:C44))</f>
        <v>42897.608071979383</v>
      </c>
      <c r="D38" s="3056" t="s">
        <v>97</v>
      </c>
      <c r="E38" s="615"/>
      <c r="F38" s="615"/>
      <c r="G38" s="615"/>
      <c r="H38" s="1938">
        <f>IF(SUM(H39:H43)=0,"NO",SUM(H39:H43))</f>
        <v>1323.431797843321</v>
      </c>
      <c r="I38" s="1938">
        <f t="shared" ref="I38:K38" si="13">IF(SUM(I39:I44)=0,"NO",SUM(I39:I44))</f>
        <v>0.2115268618284743</v>
      </c>
      <c r="J38" s="1938">
        <f t="shared" si="13"/>
        <v>0.13987905289017249</v>
      </c>
      <c r="K38" s="3044" t="str">
        <f t="shared" si="13"/>
        <v>NO</v>
      </c>
    </row>
    <row r="39" spans="2:11" ht="18" customHeight="1" x14ac:dyDescent="0.2">
      <c r="B39" s="282" t="s">
        <v>243</v>
      </c>
      <c r="C39" s="699">
        <v>443.72617535999996</v>
      </c>
      <c r="D39" s="3056" t="s">
        <v>97</v>
      </c>
      <c r="E39" s="1938">
        <f>IFERROR(H39*1000/$C39,"NA")</f>
        <v>68.385558361742355</v>
      </c>
      <c r="F39" s="1938">
        <f t="shared" ref="F39:G44" si="14">IFERROR(I39*1000000/$C39,"NA")</f>
        <v>1.001800078717336</v>
      </c>
      <c r="G39" s="1938">
        <f t="shared" si="14"/>
        <v>0.9752866388977619</v>
      </c>
      <c r="H39" s="699">
        <v>30.344462261714</v>
      </c>
      <c r="I39" s="699">
        <v>4.4452491740459041E-4</v>
      </c>
      <c r="J39" s="699">
        <v>4.3276021015781327E-4</v>
      </c>
      <c r="K39" s="3072" t="s">
        <v>199</v>
      </c>
    </row>
    <row r="40" spans="2:11" ht="18" customHeight="1" x14ac:dyDescent="0.2">
      <c r="B40" s="282" t="s">
        <v>245</v>
      </c>
      <c r="C40" s="699">
        <v>4778.6244299999998</v>
      </c>
      <c r="D40" s="3056" t="s">
        <v>97</v>
      </c>
      <c r="E40" s="1938">
        <f t="shared" ref="E40:E44" si="15">IFERROR(H40*1000/$C40,"NA")</f>
        <v>90</v>
      </c>
      <c r="F40" s="1938">
        <f t="shared" si="14"/>
        <v>0.95238095238095233</v>
      </c>
      <c r="G40" s="1938">
        <f t="shared" si="14"/>
        <v>0.66666666666666652</v>
      </c>
      <c r="H40" s="699">
        <v>430.07619870000002</v>
      </c>
      <c r="I40" s="699">
        <v>4.5510708857142857E-3</v>
      </c>
      <c r="J40" s="699">
        <v>3.1857496199999991E-3</v>
      </c>
      <c r="K40" s="3072" t="s">
        <v>199</v>
      </c>
    </row>
    <row r="41" spans="2:11" ht="18" customHeight="1" x14ac:dyDescent="0.2">
      <c r="B41" s="282" t="s">
        <v>246</v>
      </c>
      <c r="C41" s="699">
        <v>16779.013861579388</v>
      </c>
      <c r="D41" s="3056" t="s">
        <v>97</v>
      </c>
      <c r="E41" s="1938">
        <f t="shared" si="15"/>
        <v>51.433960541491125</v>
      </c>
      <c r="F41" s="1938">
        <f t="shared" si="14"/>
        <v>0.91363636363636347</v>
      </c>
      <c r="G41" s="1938">
        <f t="shared" si="14"/>
        <v>0.86863636363636343</v>
      </c>
      <c r="H41" s="699">
        <v>863.01113688160683</v>
      </c>
      <c r="I41" s="699">
        <v>1.5329917209897528E-2</v>
      </c>
      <c r="J41" s="699">
        <v>1.4574861586126454E-2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20896.243605039996</v>
      </c>
      <c r="D44" s="3055" t="s">
        <v>97</v>
      </c>
      <c r="E44" s="1938">
        <f t="shared" si="15"/>
        <v>93.911097242314071</v>
      </c>
      <c r="F44" s="1938">
        <f t="shared" si="14"/>
        <v>9.1500344477866715</v>
      </c>
      <c r="G44" s="1938">
        <f t="shared" si="14"/>
        <v>5.8233280475606</v>
      </c>
      <c r="H44" s="699">
        <v>1962.3891651919946</v>
      </c>
      <c r="I44" s="699">
        <v>0.19120134881545789</v>
      </c>
      <c r="J44" s="699">
        <v>0.12168568147388824</v>
      </c>
      <c r="K44" s="3072" t="s">
        <v>199</v>
      </c>
    </row>
    <row r="45" spans="2:11" ht="18" customHeight="1" x14ac:dyDescent="0.2">
      <c r="B45" s="1240" t="s">
        <v>268</v>
      </c>
      <c r="C45" s="1938">
        <f>IF(SUM(C46:C51)=0,"NO",SUM(C46:C51))</f>
        <v>98007.390567163617</v>
      </c>
      <c r="D45" s="3055" t="s">
        <v>97</v>
      </c>
      <c r="E45" s="615"/>
      <c r="F45" s="615"/>
      <c r="G45" s="615"/>
      <c r="H45" s="1938">
        <f>IF(SUM(H46:H50)=0,"NO",SUM(H46:H50))</f>
        <v>3085.2563482307519</v>
      </c>
      <c r="I45" s="1938">
        <f t="shared" ref="I45:K45" si="16">IF(SUM(I46:I51)=0,"NO",SUM(I46:I51))</f>
        <v>0.51274512493844271</v>
      </c>
      <c r="J45" s="1938">
        <f t="shared" si="16"/>
        <v>0.33346826833305143</v>
      </c>
      <c r="K45" s="3044" t="str">
        <f t="shared" si="16"/>
        <v>NO</v>
      </c>
    </row>
    <row r="46" spans="2:11" ht="18" customHeight="1" x14ac:dyDescent="0.2">
      <c r="B46" s="282" t="s">
        <v>243</v>
      </c>
      <c r="C46" s="699">
        <v>3180.3302464108401</v>
      </c>
      <c r="D46" s="3055" t="s">
        <v>97</v>
      </c>
      <c r="E46" s="1938">
        <f>IFERROR(H46*1000/$C46,"NA")</f>
        <v>67.617023096069374</v>
      </c>
      <c r="F46" s="1938">
        <f t="shared" ref="F46:G51" si="17">IFERROR(I46*1000000/$C46,"NA")</f>
        <v>4.9852565354038516</v>
      </c>
      <c r="G46" s="1938">
        <f t="shared" si="17"/>
        <v>2.3546990493030395</v>
      </c>
      <c r="H46" s="699">
        <v>215.04446372468976</v>
      </c>
      <c r="I46" s="699">
        <v>1.5854762145662182E-2</v>
      </c>
      <c r="J46" s="699">
        <v>7.4887206076933062E-3</v>
      </c>
      <c r="K46" s="3072" t="s">
        <v>199</v>
      </c>
    </row>
    <row r="47" spans="2:11" ht="18" customHeight="1" x14ac:dyDescent="0.2">
      <c r="B47" s="282" t="s">
        <v>245</v>
      </c>
      <c r="C47" s="699">
        <v>14051.592690707897</v>
      </c>
      <c r="D47" s="3055" t="s">
        <v>97</v>
      </c>
      <c r="E47" s="1938">
        <f t="shared" ref="E47:E51" si="18">IFERROR(H47*1000/$C47,"NA")</f>
        <v>90.785153073289521</v>
      </c>
      <c r="F47" s="1938">
        <f t="shared" si="17"/>
        <v>0.95238095238095222</v>
      </c>
      <c r="G47" s="1938">
        <f t="shared" si="17"/>
        <v>0.67523809523809508</v>
      </c>
      <c r="H47" s="699">
        <v>1275.6759933494327</v>
      </c>
      <c r="I47" s="699">
        <v>1.3382469229245615E-2</v>
      </c>
      <c r="J47" s="699">
        <v>9.4881706835351406E-3</v>
      </c>
      <c r="K47" s="3072" t="s">
        <v>199</v>
      </c>
    </row>
    <row r="48" spans="2:11" ht="18" customHeight="1" x14ac:dyDescent="0.2">
      <c r="B48" s="282" t="s">
        <v>246</v>
      </c>
      <c r="C48" s="699">
        <v>31014.907489628316</v>
      </c>
      <c r="D48" s="3055" t="s">
        <v>97</v>
      </c>
      <c r="E48" s="1938">
        <f t="shared" si="18"/>
        <v>51.411918339265</v>
      </c>
      <c r="F48" s="1938">
        <f t="shared" si="17"/>
        <v>0.9140909090909094</v>
      </c>
      <c r="G48" s="1938">
        <f t="shared" si="17"/>
        <v>0.8645909090909093</v>
      </c>
      <c r="H48" s="699">
        <v>1594.5358911566295</v>
      </c>
      <c r="I48" s="699">
        <v>2.8350444982564799E-2</v>
      </c>
      <c r="J48" s="699">
        <v>2.6815207061828196E-2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49760.560140416565</v>
      </c>
      <c r="D51" s="3055" t="s">
        <v>97</v>
      </c>
      <c r="E51" s="1938">
        <f t="shared" si="18"/>
        <v>94.845752282618292</v>
      </c>
      <c r="F51" s="1938">
        <f t="shared" si="17"/>
        <v>9.1469518690421996</v>
      </c>
      <c r="G51" s="1938">
        <f t="shared" si="17"/>
        <v>5.8214009079193172</v>
      </c>
      <c r="H51" s="699">
        <v>4719.5777605222793</v>
      </c>
      <c r="I51" s="699">
        <v>0.45515744858097007</v>
      </c>
      <c r="J51" s="699">
        <v>0.28967616997999479</v>
      </c>
      <c r="K51" s="3072" t="s">
        <v>199</v>
      </c>
    </row>
    <row r="52" spans="2:11" ht="18" customHeight="1" x14ac:dyDescent="0.2">
      <c r="B52" s="1240" t="s">
        <v>269</v>
      </c>
      <c r="C52" s="3073">
        <f>IF(SUM(C53:C58)=0,"NO",SUM(C53:C58))</f>
        <v>100376.36074880004</v>
      </c>
      <c r="D52" s="3055" t="s">
        <v>97</v>
      </c>
      <c r="E52" s="615"/>
      <c r="F52" s="615"/>
      <c r="G52" s="615"/>
      <c r="H52" s="1938">
        <f>IF(SUM(H53:H57)=0,"NO",SUM(H53:H57))</f>
        <v>6149.549290756715</v>
      </c>
      <c r="I52" s="1938">
        <f t="shared" ref="I52:K52" si="19">IF(SUM(I53:I58)=0,"NO",SUM(I53:I58))</f>
        <v>0.30908418505810742</v>
      </c>
      <c r="J52" s="1938">
        <f t="shared" si="19"/>
        <v>5.7170486810388957E-2</v>
      </c>
      <c r="K52" s="3044" t="str">
        <f t="shared" si="19"/>
        <v>NO</v>
      </c>
    </row>
    <row r="53" spans="2:11" ht="18" customHeight="1" x14ac:dyDescent="0.2">
      <c r="B53" s="282" t="s">
        <v>243</v>
      </c>
      <c r="C53" s="2173">
        <v>7800.952518996718</v>
      </c>
      <c r="D53" s="3055" t="s">
        <v>97</v>
      </c>
      <c r="E53" s="1938">
        <f>IFERROR(H53*1000/$C53,"NA")</f>
        <v>64.194566776911913</v>
      </c>
      <c r="F53" s="1938">
        <f t="shared" ref="F53:G58" si="20">IFERROR(I53*1000000/$C53,"NA")</f>
        <v>25.647177949879357</v>
      </c>
      <c r="G53" s="1938">
        <f t="shared" si="20"/>
        <v>1.6404886208754585</v>
      </c>
      <c r="H53" s="699">
        <v>500.77876740425404</v>
      </c>
      <c r="I53" s="699">
        <v>0.20007241743326845</v>
      </c>
      <c r="J53" s="699">
        <v>1.2797373839403861E-2</v>
      </c>
      <c r="K53" s="3072" t="s">
        <v>199</v>
      </c>
    </row>
    <row r="54" spans="2:11" ht="18" customHeight="1" x14ac:dyDescent="0.2">
      <c r="B54" s="282" t="s">
        <v>245</v>
      </c>
      <c r="C54" s="699">
        <v>27345.951246681645</v>
      </c>
      <c r="D54" s="3055" t="s">
        <v>97</v>
      </c>
      <c r="E54" s="1938">
        <f t="shared" ref="E54:E58" si="21">IFERROR(H54*1000/$C54,"NA")</f>
        <v>89.718025457289812</v>
      </c>
      <c r="F54" s="1938">
        <f t="shared" si="20"/>
        <v>0.95287864314120585</v>
      </c>
      <c r="G54" s="1938">
        <f t="shared" si="20"/>
        <v>0.8273353613190908</v>
      </c>
      <c r="H54" s="699">
        <v>2453.4247501035902</v>
      </c>
      <c r="I54" s="699">
        <v>2.6057372919343572E-2</v>
      </c>
      <c r="J54" s="699">
        <v>2.26242724552876E-2</v>
      </c>
      <c r="K54" s="3072" t="s">
        <v>199</v>
      </c>
    </row>
    <row r="55" spans="2:11" ht="18" customHeight="1" x14ac:dyDescent="0.2">
      <c r="B55" s="282" t="s">
        <v>246</v>
      </c>
      <c r="C55" s="699">
        <v>62151.848763217182</v>
      </c>
      <c r="D55" s="3055" t="s">
        <v>97</v>
      </c>
      <c r="E55" s="1938">
        <f t="shared" si="21"/>
        <v>51.411918339265007</v>
      </c>
      <c r="F55" s="1938">
        <f t="shared" si="20"/>
        <v>0.99848445279991027</v>
      </c>
      <c r="G55" s="1938">
        <f t="shared" si="20"/>
        <v>0.11348837008079905</v>
      </c>
      <c r="H55" s="699">
        <v>3195.3457732488705</v>
      </c>
      <c r="I55" s="699">
        <v>6.205765470284369E-2</v>
      </c>
      <c r="J55" s="699">
        <v>7.0535120136458445E-3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3077.6082199045118</v>
      </c>
      <c r="D58" s="3055" t="s">
        <v>97</v>
      </c>
      <c r="E58" s="3074">
        <f t="shared" si="21"/>
        <v>86.772225020004171</v>
      </c>
      <c r="F58" s="3074">
        <f t="shared" si="20"/>
        <v>6.7899285774912972</v>
      </c>
      <c r="G58" s="3074">
        <f t="shared" si="20"/>
        <v>4.7749185250446198</v>
      </c>
      <c r="H58" s="2215">
        <v>267.05091298096875</v>
      </c>
      <c r="I58" s="699">
        <v>2.0896740002651765E-2</v>
      </c>
      <c r="J58" s="699">
        <v>1.4695328502051651E-2</v>
      </c>
      <c r="K58" s="3072" t="s">
        <v>199</v>
      </c>
    </row>
    <row r="59" spans="2:11" ht="18" customHeight="1" x14ac:dyDescent="0.2">
      <c r="B59" s="1240" t="s">
        <v>270</v>
      </c>
      <c r="C59" s="3073">
        <f>IF(SUM(C60:C65)=0,"NO",SUM(C60:C65))</f>
        <v>109375.54192833218</v>
      </c>
      <c r="D59" s="4224" t="s">
        <v>97</v>
      </c>
      <c r="E59" s="4225"/>
      <c r="F59" s="4225"/>
      <c r="G59" s="4225"/>
      <c r="H59" s="1938">
        <f>IF(SUM(H60:H64)=0,"NO",SUM(H60:H64))</f>
        <v>7463.185747465307</v>
      </c>
      <c r="I59" s="1938">
        <f t="shared" ref="I59:K59" si="22">IF(SUM(I60:I65)=0,"NO",SUM(I60:I65))</f>
        <v>0.36891427645384445</v>
      </c>
      <c r="J59" s="1938">
        <f t="shared" si="22"/>
        <v>0.30333302247667093</v>
      </c>
      <c r="K59" s="3044" t="str">
        <f t="shared" si="22"/>
        <v>NO</v>
      </c>
    </row>
    <row r="60" spans="2:11" ht="18" customHeight="1" x14ac:dyDescent="0.2">
      <c r="B60" s="282" t="s">
        <v>243</v>
      </c>
      <c r="C60" s="4223">
        <f>IF(SUM(C68,C75,C82,C89,C96,C103,C110,C111,C111,C112,C113,C120)=0,"NO",SUM(C68,C75,C82,C89,C96,C103,C110,C111,C111,C112,C113,C120))</f>
        <v>80921.51317895035</v>
      </c>
      <c r="D60" s="4224" t="s">
        <v>97</v>
      </c>
      <c r="E60" s="3074">
        <f t="shared" ref="E60:E65" si="23">IFERROR(H60*1000/$C60,"NA")</f>
        <v>69.546175851956178</v>
      </c>
      <c r="F60" s="3074">
        <f t="shared" ref="F60:F65" si="24">IFERROR(I60*1000000/$C60,"NA")</f>
        <v>4.1991854779785163</v>
      </c>
      <c r="G60" s="3074">
        <f t="shared" ref="G60:G65" si="25">IFERROR(J60*1000000/$C60,"NA")</f>
        <v>3.4592120982363004</v>
      </c>
      <c r="H60" s="3074">
        <f>IF(SUM(H68,H75,H82,H89,H96,H103,H110,H111,H111,H112,H113,H120)=0,"NO",SUM(H68,H75,H82,H89,H96,H103,H110,H111,H111,H112,H113,H120))</f>
        <v>5627.7817857496702</v>
      </c>
      <c r="I60" s="3074">
        <f>IF(SUM(I68,I75,I82,I89,I96,I103,I110,I111,I111,I112,I113,I120)=0,"NO",SUM(I68,I75,I82,I89,I96,I103,I110,I111,I111,I112,I113,I120))</f>
        <v>0.33980444299709539</v>
      </c>
      <c r="J60" s="3074">
        <f>IF(SUM(J68,J75,J82,J89,J96,J103,J110,J111,J111,J112,J113,J120)=0,"NO",SUM(J68,J75,J82,J89,J96,J103,J110,J111,J111,J112,J113,J120))</f>
        <v>0.2799246773962133</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9325.8256862846356</v>
      </c>
      <c r="D61" s="4224" t="s">
        <v>97</v>
      </c>
      <c r="E61" s="3074">
        <f t="shared" si="23"/>
        <v>90.812114893078871</v>
      </c>
      <c r="F61" s="3074">
        <f t="shared" si="24"/>
        <v>0.95238095238095244</v>
      </c>
      <c r="G61" s="3074">
        <f t="shared" si="25"/>
        <v>0.75298376203407502</v>
      </c>
      <c r="H61" s="3074">
        <f>IF(SUM(H69,H76,H83,H90,H97,H104,H121)=0,"NO",SUM(H69,H76,H83,H90,H97,H104,H121))</f>
        <v>846.89795369570641</v>
      </c>
      <c r="I61" s="3074">
        <f>IF(SUM(I69,I76,I83,I90,I97,I104,I121)=0,"NO",SUM(I69,I76,I83,I90,I97,I104,I121))</f>
        <v>8.8817387488425107E-3</v>
      </c>
      <c r="J61" s="3074">
        <f>IF(SUM(J69,J76,J83,J90,J97,J104,J121)=0,"NO",SUM(J69,J76,J83,J90,J97,J104,J121))</f>
        <v>7.0221953093326144E-3</v>
      </c>
      <c r="K61" s="3044" t="str">
        <f>IF(SUM(K69,K76,K83,K90,K97,K104,K121)=0,"NO",SUM(K69,K76,K83,K90,K97,K104,K121))</f>
        <v>NO</v>
      </c>
    </row>
    <row r="62" spans="2:11" ht="18" customHeight="1" x14ac:dyDescent="0.2">
      <c r="B62" s="282" t="s">
        <v>246</v>
      </c>
      <c r="C62" s="4223">
        <f>IF(SUM(C70,C77,C84,C91,C98,C105,C115,C122)=0,"NO",SUM(C70,C77,C84,C91,C98,C105,C115,C122))</f>
        <v>19126.796030497204</v>
      </c>
      <c r="D62" s="4224" t="s">
        <v>97</v>
      </c>
      <c r="E62" s="3074">
        <f t="shared" si="23"/>
        <v>51.681735218161023</v>
      </c>
      <c r="F62" s="3074">
        <f t="shared" si="24"/>
        <v>1.0569457476425399</v>
      </c>
      <c r="G62" s="3074">
        <f t="shared" si="25"/>
        <v>0.85629894983124955</v>
      </c>
      <c r="H62" s="3074">
        <f t="shared" ref="H62:K63" si="26">IF(SUM(H70,H77,H84,H91,H98,H105,H115,H122)=0,"NO",SUM(H70,H77,H84,H91,H98,H105,H115,H122))</f>
        <v>988.50600801992982</v>
      </c>
      <c r="I62" s="3074">
        <f t="shared" si="26"/>
        <v>2.0215985730460229E-2</v>
      </c>
      <c r="J62" s="3074">
        <f t="shared" si="26"/>
        <v>1.6378255354551268E-2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1.4070325999999997</v>
      </c>
      <c r="D65" s="4224" t="s">
        <v>97</v>
      </c>
      <c r="E65" s="3074">
        <f t="shared" si="23"/>
        <v>91.370582141121204</v>
      </c>
      <c r="F65" s="3074">
        <f t="shared" si="24"/>
        <v>8.606039011693678</v>
      </c>
      <c r="G65" s="3074">
        <f t="shared" si="25"/>
        <v>5.6106849078759096</v>
      </c>
      <c r="H65" s="1938">
        <f>IF(SUM(H73,H80,H87,H94,H101,H108,H117,H125)=0,"NO",SUM(H73,H80,H87,H94,H101,H108,H117,H125))</f>
        <v>0.12856138775353532</v>
      </c>
      <c r="I65" s="1938">
        <f>IF(SUM(I73,I80,I87,I94,I101,I108,I117,I125)=0,"NO",SUM(I73,I80,I87,I94,I101,I108,I117,I125))</f>
        <v>1.2108977446324783E-5</v>
      </c>
      <c r="J65" s="1938">
        <f>IF(SUM(J73,J80,J87,J94,J101,J108,J117,J125)=0,"NO",SUM(J73,J80,J87,J94,J101,J108,J117,J125))</f>
        <v>7.8944165737094003E-6</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7312.535598665916</v>
      </c>
      <c r="D67" s="3055" t="s">
        <v>97</v>
      </c>
      <c r="E67" s="615"/>
      <c r="F67" s="615"/>
      <c r="G67" s="615"/>
      <c r="H67" s="1938">
        <f>IF(SUM(H68:H72)=0,"NO",SUM(H68:H72))</f>
        <v>403.16399111815656</v>
      </c>
      <c r="I67" s="1938">
        <f t="shared" ref="I67:K67" si="27">IF(SUM(I68:I73)=0,"NO",SUM(I68:I73))</f>
        <v>3.9153607456240018E-2</v>
      </c>
      <c r="J67" s="1938">
        <f t="shared" si="27"/>
        <v>9.1612054156867493E-3</v>
      </c>
      <c r="K67" s="3044" t="str">
        <f t="shared" si="27"/>
        <v>NO</v>
      </c>
    </row>
    <row r="68" spans="2:11" ht="18" customHeight="1" x14ac:dyDescent="0.2">
      <c r="B68" s="158" t="s">
        <v>243</v>
      </c>
      <c r="C68" s="699">
        <v>1542.9513990900391</v>
      </c>
      <c r="D68" s="3055" t="s">
        <v>97</v>
      </c>
      <c r="E68" s="1938">
        <f>IFERROR(H68*1000/$C68,"NA")</f>
        <v>65.703862772091369</v>
      </c>
      <c r="F68" s="1938">
        <f t="shared" ref="F68:G73" si="28">IFERROR(I68*1000000/$C68,"NA")</f>
        <v>21.898223217245199</v>
      </c>
      <c r="G68" s="1938">
        <f t="shared" si="28"/>
        <v>2.8973909768435178</v>
      </c>
      <c r="H68" s="699">
        <v>101.37786698981832</v>
      </c>
      <c r="I68" s="699">
        <v>3.3787894150634455E-2</v>
      </c>
      <c r="J68" s="699">
        <v>4.470533461431561E-3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5769.5841995758765</v>
      </c>
      <c r="D70" s="3055" t="s">
        <v>97</v>
      </c>
      <c r="E70" s="1938">
        <f t="shared" si="29"/>
        <v>52.306390493533762</v>
      </c>
      <c r="F70" s="1938">
        <f t="shared" si="28"/>
        <v>0.93</v>
      </c>
      <c r="G70" s="1938">
        <f t="shared" si="28"/>
        <v>0.81300000000000006</v>
      </c>
      <c r="H70" s="699">
        <v>301.78612412833826</v>
      </c>
      <c r="I70" s="699">
        <v>5.3657133056055654E-3</v>
      </c>
      <c r="J70" s="699">
        <v>4.6906719542551883E-3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66665.226605999982</v>
      </c>
      <c r="D81" s="3056" t="s">
        <v>97</v>
      </c>
      <c r="E81" s="615"/>
      <c r="F81" s="615"/>
      <c r="G81" s="615"/>
      <c r="H81" s="1938">
        <f>IF(SUM(H82:H86)=0,"NO",SUM(H82:H86))</f>
        <v>4781.5155533261795</v>
      </c>
      <c r="I81" s="1938">
        <f t="shared" ref="I81:K81" si="33">IF(SUM(I82:I87)=0,"NO",SUM(I82:I87))</f>
        <v>0.20750205637197544</v>
      </c>
      <c r="J81" s="1938">
        <f t="shared" si="33"/>
        <v>0.2019917371060822</v>
      </c>
      <c r="K81" s="3044" t="str">
        <f t="shared" si="33"/>
        <v>NO</v>
      </c>
    </row>
    <row r="82" spans="2:11" ht="18" customHeight="1" x14ac:dyDescent="0.2">
      <c r="B82" s="158" t="s">
        <v>243</v>
      </c>
      <c r="C82" s="699">
        <v>55474.371731299987</v>
      </c>
      <c r="D82" s="3056" t="s">
        <v>97</v>
      </c>
      <c r="E82" s="1938">
        <f>IFERROR(H82*1000/$C82,"NA")</f>
        <v>69.652634546128454</v>
      </c>
      <c r="F82" s="1938">
        <f t="shared" ref="F82:G87" si="34">IFERROR(I82*1000000/$C82,"NA")</f>
        <v>3.502195517921014</v>
      </c>
      <c r="G82" s="1938">
        <f t="shared" si="34"/>
        <v>3.4822427556102813</v>
      </c>
      <c r="H82" s="699">
        <v>3863.936140876317</v>
      </c>
      <c r="I82" s="699">
        <v>0.19428209603684302</v>
      </c>
      <c r="J82" s="699">
        <v>0.19317522908335116</v>
      </c>
      <c r="K82" s="3072" t="s">
        <v>199</v>
      </c>
    </row>
    <row r="83" spans="2:11" ht="18" customHeight="1" x14ac:dyDescent="0.2">
      <c r="B83" s="158" t="s">
        <v>245</v>
      </c>
      <c r="C83" s="699">
        <v>8695.7520000000004</v>
      </c>
      <c r="D83" s="3056" t="s">
        <v>97</v>
      </c>
      <c r="E83" s="1938">
        <f t="shared" ref="E83:E87" si="35">IFERROR(H83*1000/$C83,"NA")</f>
        <v>90.776936307849141</v>
      </c>
      <c r="F83" s="1938">
        <f t="shared" si="34"/>
        <v>0.95238095238095244</v>
      </c>
      <c r="G83" s="1938">
        <f t="shared" si="34"/>
        <v>0.75923809523809527</v>
      </c>
      <c r="H83" s="699">
        <v>789.37372545285189</v>
      </c>
      <c r="I83" s="699">
        <v>8.2816685714285718E-3</v>
      </c>
      <c r="J83" s="699">
        <v>6.6021461851428574E-3</v>
      </c>
      <c r="K83" s="3072" t="s">
        <v>199</v>
      </c>
    </row>
    <row r="84" spans="2:11" ht="18" customHeight="1" x14ac:dyDescent="0.2">
      <c r="B84" s="158" t="s">
        <v>246</v>
      </c>
      <c r="C84" s="699">
        <v>2493.6958420999999</v>
      </c>
      <c r="D84" s="3056" t="s">
        <v>97</v>
      </c>
      <c r="E84" s="1938">
        <f t="shared" si="35"/>
        <v>51.411918339264993</v>
      </c>
      <c r="F84" s="1938">
        <f t="shared" si="34"/>
        <v>1.9754545454545451</v>
      </c>
      <c r="G84" s="1938">
        <f t="shared" si="34"/>
        <v>0.88481818181818161</v>
      </c>
      <c r="H84" s="699">
        <v>128.20568699700985</v>
      </c>
      <c r="I84" s="699">
        <v>4.9261827862575446E-3</v>
      </c>
      <c r="J84" s="699">
        <v>2.2064674210144812E-3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1.4070325999999997</v>
      </c>
      <c r="D87" s="3055" t="s">
        <v>97</v>
      </c>
      <c r="E87" s="1938">
        <f t="shared" si="35"/>
        <v>91.370582141121204</v>
      </c>
      <c r="F87" s="1938">
        <f t="shared" si="34"/>
        <v>8.606039011693678</v>
      </c>
      <c r="G87" s="1938">
        <f t="shared" si="34"/>
        <v>5.6106849078759096</v>
      </c>
      <c r="H87" s="699">
        <v>0.12856138775353532</v>
      </c>
      <c r="I87" s="699">
        <v>1.2108977446324783E-5</v>
      </c>
      <c r="J87" s="699">
        <v>7.8944165737094003E-6</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25483.61135070373</v>
      </c>
      <c r="D95" s="3056" t="s">
        <v>97</v>
      </c>
      <c r="E95" s="615"/>
      <c r="F95" s="615"/>
      <c r="G95" s="615"/>
      <c r="H95" s="1938">
        <f>IF(SUM(H96:H100)=0,"NO",SUM(H96:H100))</f>
        <v>1723.9787591009133</v>
      </c>
      <c r="I95" s="1938">
        <f t="shared" ref="I95:K95" si="41">IF(SUM(I96:I101)=0,"NO",SUM(I96:I101))</f>
        <v>8.5491200373707985E-2</v>
      </c>
      <c r="J95" s="1938">
        <f t="shared" si="41"/>
        <v>8.2990266660859485E-2</v>
      </c>
      <c r="K95" s="3044" t="str">
        <f t="shared" si="41"/>
        <v>NO</v>
      </c>
    </row>
    <row r="96" spans="2:11" ht="18" customHeight="1" x14ac:dyDescent="0.2">
      <c r="B96" s="158" t="s">
        <v>243</v>
      </c>
      <c r="C96" s="699">
        <v>22432.69138435063</v>
      </c>
      <c r="D96" s="3056" t="s">
        <v>97</v>
      </c>
      <c r="E96" s="1938">
        <f>IFERROR(H96*1000/$C96,"NA")</f>
        <v>69.858987674763981</v>
      </c>
      <c r="F96" s="1938">
        <f t="shared" ref="F96:G101" si="42">IFERROR(I96*1000000/$C96,"NA")</f>
        <v>3.6873701577171185</v>
      </c>
      <c r="G96" s="1938">
        <f t="shared" si="42"/>
        <v>3.5758840381963384</v>
      </c>
      <c r="H96" s="699">
        <v>1567.1251109311347</v>
      </c>
      <c r="I96" s="699">
        <v>8.2717636767932437E-2</v>
      </c>
      <c r="J96" s="699">
        <v>8.0216703055083938E-2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3050.9199663530985</v>
      </c>
      <c r="D98" s="3056" t="s">
        <v>97</v>
      </c>
      <c r="E98" s="1938">
        <f t="shared" si="43"/>
        <v>51.411918339264993</v>
      </c>
      <c r="F98" s="1938">
        <f t="shared" si="42"/>
        <v>0.90909090909090906</v>
      </c>
      <c r="G98" s="1938">
        <f t="shared" si="42"/>
        <v>0.90909090909090906</v>
      </c>
      <c r="H98" s="699">
        <v>156.85364816977861</v>
      </c>
      <c r="I98" s="699">
        <v>2.773563605775544E-3</v>
      </c>
      <c r="J98" s="699">
        <v>2.773563605775544E-3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6919.1461421203348</v>
      </c>
      <c r="D102" s="3055" t="s">
        <v>97</v>
      </c>
      <c r="E102" s="615"/>
      <c r="F102" s="615"/>
      <c r="G102" s="615"/>
      <c r="H102" s="1938">
        <f>IF(SUM(H103:H107)=0,"NO",SUM(H103:H107))</f>
        <v>394.68446891155531</v>
      </c>
      <c r="I102" s="1938">
        <f t="shared" ref="I102:K102" si="47">IF(SUM(I103:I108)=0,"NO",SUM(I103:I108))</f>
        <v>6.2610282593131995E-3</v>
      </c>
      <c r="J102" s="1938">
        <f t="shared" si="47"/>
        <v>5.9250996492561641E-3</v>
      </c>
      <c r="K102" s="3044" t="str">
        <f t="shared" si="47"/>
        <v>NO</v>
      </c>
    </row>
    <row r="103" spans="2:11" ht="18" customHeight="1" x14ac:dyDescent="0.2">
      <c r="B103" s="158" t="s">
        <v>243</v>
      </c>
      <c r="C103" s="699">
        <v>842.28267514789218</v>
      </c>
      <c r="D103" s="3055" t="s">
        <v>97</v>
      </c>
      <c r="E103" s="1938">
        <f>IFERROR(H103*1000/$C103,"NA")</f>
        <v>67.827976210961452</v>
      </c>
      <c r="F103" s="1938">
        <f t="shared" ref="F103:G108" si="48">IFERROR(I103*1000000/$C103,"NA")</f>
        <v>0.79512260161625314</v>
      </c>
      <c r="G103" s="1938">
        <f t="shared" si="48"/>
        <v>1.0756238090466246</v>
      </c>
      <c r="H103" s="699">
        <v>57.130329252836205</v>
      </c>
      <c r="I103" s="699">
        <v>6.6971799195988946E-4</v>
      </c>
      <c r="J103" s="699">
        <v>9.0597929933655653E-4</v>
      </c>
      <c r="K103" s="3072" t="s">
        <v>199</v>
      </c>
    </row>
    <row r="104" spans="2:11" ht="18" customHeight="1" x14ac:dyDescent="0.2">
      <c r="B104" s="158" t="s">
        <v>245</v>
      </c>
      <c r="C104" s="699">
        <v>630.0736862846361</v>
      </c>
      <c r="D104" s="3055" t="s">
        <v>97</v>
      </c>
      <c r="E104" s="1938">
        <f t="shared" ref="E104:E108" si="49">IFERROR(H104*1000/$C104,"NA")</f>
        <v>91.297620413349392</v>
      </c>
      <c r="F104" s="1938">
        <f t="shared" si="48"/>
        <v>0.95238095238095222</v>
      </c>
      <c r="G104" s="1938">
        <f t="shared" si="48"/>
        <v>0.66666666666666663</v>
      </c>
      <c r="H104" s="699">
        <v>57.524228242854491</v>
      </c>
      <c r="I104" s="699">
        <v>6.0007017741393908E-4</v>
      </c>
      <c r="J104" s="699">
        <v>4.2004912418975736E-4</v>
      </c>
      <c r="K104" s="3072" t="s">
        <v>199</v>
      </c>
    </row>
    <row r="105" spans="2:11" ht="18" customHeight="1" x14ac:dyDescent="0.2">
      <c r="B105" s="158" t="s">
        <v>246</v>
      </c>
      <c r="C105" s="699">
        <v>5446.7897806878063</v>
      </c>
      <c r="D105" s="3055" t="s">
        <v>97</v>
      </c>
      <c r="E105" s="1938">
        <f t="shared" si="49"/>
        <v>51.411918339264993</v>
      </c>
      <c r="F105" s="1938">
        <f t="shared" si="48"/>
        <v>0.91636363636363638</v>
      </c>
      <c r="G105" s="1938">
        <f t="shared" si="48"/>
        <v>0.84436363636363643</v>
      </c>
      <c r="H105" s="699">
        <v>280.0299114158646</v>
      </c>
      <c r="I105" s="699">
        <v>4.9912400899393711E-3</v>
      </c>
      <c r="J105" s="699">
        <v>4.5990712257298503E-3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2995.0222308422353</v>
      </c>
      <c r="D118" s="3055" t="s">
        <v>97</v>
      </c>
      <c r="E118" s="615"/>
      <c r="F118" s="615"/>
      <c r="G118" s="615"/>
      <c r="H118" s="1938">
        <f>H119</f>
        <v>159.8429750085013</v>
      </c>
      <c r="I118" s="1938">
        <f>I119</f>
        <v>3.0506383992607806E-2</v>
      </c>
      <c r="J118" s="1938">
        <f>J119</f>
        <v>3.2647136447862745E-3</v>
      </c>
      <c r="K118" s="3044" t="str">
        <f>K119</f>
        <v>NO</v>
      </c>
    </row>
    <row r="119" spans="2:11" ht="18" customHeight="1" x14ac:dyDescent="0.2">
      <c r="B119" s="3069" t="s">
        <v>286</v>
      </c>
      <c r="C119" s="3077">
        <f>IF(SUM(C120:C125)=0,"NO",SUM(C120:C125))</f>
        <v>2995.0222308422353</v>
      </c>
      <c r="D119" s="3055" t="s">
        <v>97</v>
      </c>
      <c r="E119" s="615"/>
      <c r="F119" s="615"/>
      <c r="G119" s="615"/>
      <c r="H119" s="3077">
        <f>IF(SUM(H120:H124)=0,"NO",SUM(H120:H124))</f>
        <v>159.8429750085013</v>
      </c>
      <c r="I119" s="3077">
        <f t="shared" ref="I119" si="56">IF(SUM(I120:I125)=0,"NO",SUM(I120:I125))</f>
        <v>3.0506383992607806E-2</v>
      </c>
      <c r="J119" s="3077">
        <f t="shared" ref="J119" si="57">IF(SUM(J120:J125)=0,"NO",SUM(J120:J125))</f>
        <v>3.2647136447862745E-3</v>
      </c>
      <c r="K119" s="3078" t="str">
        <f t="shared" ref="K119" si="58">IF(SUM(K120:K125)=0,"NO",SUM(K120:K125))</f>
        <v>NO</v>
      </c>
    </row>
    <row r="120" spans="2:11" ht="18" customHeight="1" x14ac:dyDescent="0.2">
      <c r="B120" s="158" t="s">
        <v>243</v>
      </c>
      <c r="C120" s="699">
        <v>629.21598906181293</v>
      </c>
      <c r="D120" s="3055" t="s">
        <v>97</v>
      </c>
      <c r="E120" s="1938">
        <f>IFERROR(H120*1000/$C120,"NA")</f>
        <v>60.730080550780336</v>
      </c>
      <c r="F120" s="1938">
        <f t="shared" ref="F120:G125" si="59">IFERROR(I120*1000000/$C120,"NA")</f>
        <v>45.051458549221387</v>
      </c>
      <c r="G120" s="1938">
        <f t="shared" si="59"/>
        <v>1.8375764715293748</v>
      </c>
      <c r="H120" s="699">
        <v>38.212337699562823</v>
      </c>
      <c r="I120" s="699">
        <v>2.8347098049725603E-2</v>
      </c>
      <c r="J120" s="699">
        <v>1.1562324970100719E-3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2365.8062417804222</v>
      </c>
      <c r="D122" s="3055" t="s">
        <v>97</v>
      </c>
      <c r="E122" s="1938">
        <f t="shared" si="60"/>
        <v>51.411918339265</v>
      </c>
      <c r="F122" s="1938">
        <f t="shared" si="59"/>
        <v>0.91270616534395488</v>
      </c>
      <c r="G122" s="1938">
        <f t="shared" si="59"/>
        <v>0.89123154320086417</v>
      </c>
      <c r="H122" s="699">
        <v>121.63063730893849</v>
      </c>
      <c r="I122" s="699">
        <v>2.1592859428822024E-3</v>
      </c>
      <c r="J122" s="699">
        <v>2.1084811477762025E-3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5068.1760577333735</v>
      </c>
      <c r="D10" s="695">
        <f t="shared" ref="D10:F10" si="0">SUM(D11:D16)</f>
        <v>28534.876241907627</v>
      </c>
      <c r="E10" s="695">
        <f t="shared" si="0"/>
        <v>1877.2294945849512</v>
      </c>
      <c r="F10" s="695">
        <f t="shared" si="0"/>
        <v>3219.1137444457454</v>
      </c>
      <c r="G10" s="696" t="s">
        <v>199</v>
      </c>
      <c r="H10" s="697" t="s">
        <v>2035</v>
      </c>
      <c r="I10" s="698" t="s">
        <v>2036</v>
      </c>
    </row>
    <row r="11" spans="2:9" ht="18" customHeight="1" x14ac:dyDescent="0.2">
      <c r="B11" s="1561" t="s">
        <v>1921</v>
      </c>
      <c r="C11" s="3696">
        <f>Table1!D10</f>
        <v>1434.1486231471808</v>
      </c>
      <c r="D11" s="3697">
        <f>Table1!G10</f>
        <v>2839.8881840769018</v>
      </c>
      <c r="E11" s="3697">
        <f>Table1!H10</f>
        <v>703.05047611030432</v>
      </c>
      <c r="F11" s="3697">
        <f>Table1!F10</f>
        <v>2198.8216710677962</v>
      </c>
      <c r="G11" s="3698" t="s">
        <v>199</v>
      </c>
      <c r="H11" s="3699" t="s">
        <v>221</v>
      </c>
      <c r="I11" s="3700" t="s">
        <v>221</v>
      </c>
    </row>
    <row r="12" spans="2:9" ht="18" customHeight="1" x14ac:dyDescent="0.2">
      <c r="B12" s="2419" t="s">
        <v>2037</v>
      </c>
      <c r="C12" s="3149">
        <f>'Table2(I)'!D10</f>
        <v>3.0859087494495152</v>
      </c>
      <c r="D12" s="699">
        <f>'Table2(I)'!L10</f>
        <v>8.5449682393755637</v>
      </c>
      <c r="E12" s="699">
        <f>'Table2(I)'!M10</f>
        <v>236.79912401404209</v>
      </c>
      <c r="F12" s="699">
        <f>'Table2(I)'!K10</f>
        <v>31.904864230377278</v>
      </c>
      <c r="G12" s="3125" t="s">
        <v>199</v>
      </c>
      <c r="H12" s="3701" t="s">
        <v>199</v>
      </c>
      <c r="I12" s="2921" t="s">
        <v>199</v>
      </c>
    </row>
    <row r="13" spans="2:9" ht="18" customHeight="1" x14ac:dyDescent="0.2">
      <c r="B13" s="2419" t="s">
        <v>2038</v>
      </c>
      <c r="C13" s="3149">
        <f>Table3!D10</f>
        <v>2315.3852512387875</v>
      </c>
      <c r="D13" s="699">
        <f>Table3!G10</f>
        <v>306.84471968401829</v>
      </c>
      <c r="E13" s="699">
        <f>Table3!H10</f>
        <v>17.899275314901068</v>
      </c>
      <c r="F13" s="699">
        <f>Table3!F10</f>
        <v>18.72469865665936</v>
      </c>
      <c r="G13" s="3702"/>
      <c r="H13" s="3701" t="s">
        <v>221</v>
      </c>
      <c r="I13" s="2921" t="s">
        <v>274</v>
      </c>
    </row>
    <row r="14" spans="2:9" ht="18" customHeight="1" x14ac:dyDescent="0.2">
      <c r="B14" s="2419" t="s">
        <v>2039</v>
      </c>
      <c r="C14" s="3149">
        <f>Table4!D10</f>
        <v>750.35287151980731</v>
      </c>
      <c r="D14" s="699">
        <f>Table4!G10</f>
        <v>25379.598369907329</v>
      </c>
      <c r="E14" s="3125">
        <f>Table4!H10</f>
        <v>667.84322110265725</v>
      </c>
      <c r="F14" s="3125">
        <f>Table4!F10</f>
        <v>969.66251049091284</v>
      </c>
      <c r="G14" s="3702"/>
      <c r="H14" s="3703" t="s">
        <v>221</v>
      </c>
      <c r="I14" s="2921" t="s">
        <v>221</v>
      </c>
    </row>
    <row r="15" spans="2:9" ht="18" customHeight="1" x14ac:dyDescent="0.2">
      <c r="B15" s="2419" t="s">
        <v>2040</v>
      </c>
      <c r="C15" s="3149">
        <f>Table5!D10</f>
        <v>565.2034030781474</v>
      </c>
      <c r="D15" s="699" t="str">
        <f>Table5!G10</f>
        <v>NO</v>
      </c>
      <c r="E15" s="3125">
        <f>Table5!H10</f>
        <v>251.63739804304672</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2009</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461119.87343517167</v>
      </c>
      <c r="D10" s="3840">
        <f>SUM(D11,D22,D30,D41,D50,D56)</f>
        <v>438633.92943645903</v>
      </c>
      <c r="E10" s="3842">
        <f>IF(D10="NO",IF(C10="NO","NA",-C10),IF(C10="NO",D10,D10-C10))</f>
        <v>-22485.943998712639</v>
      </c>
      <c r="F10" s="3840">
        <f>IF(E10="NA","NA",E10/C10*100)</f>
        <v>-4.8763771188608098</v>
      </c>
      <c r="G10" s="3843">
        <f>IF(E10="NA","NA",E10/Table8s2!$G$35*100)</f>
        <v>-4.0836819659097534</v>
      </c>
      <c r="H10" s="3844">
        <f>IF(E10="NA","NA",E10/Table8s2!$G$34*100)</f>
        <v>-3.6991481966135145</v>
      </c>
      <c r="I10" s="4488">
        <f>SUM(I11,I22,I30,I41,I50,I56)</f>
        <v>141129.27285457478</v>
      </c>
      <c r="J10" s="3840">
        <f>SUM(J11,J22,J30,J41,J50,J56)</f>
        <v>141908.92961653444</v>
      </c>
      <c r="K10" s="3842">
        <f t="shared" ref="K10:K12" si="0">IF(J10="NO",IF(I10="NO","NA",-I10),IF(I10="NO",J10,J10-I10))</f>
        <v>779.6567619596608</v>
      </c>
      <c r="L10" s="3840">
        <f t="shared" ref="L10:L12" si="1">IF(K10="NA","NA",K10/I10*100)</f>
        <v>0.55244156381578624</v>
      </c>
      <c r="M10" s="3843">
        <f>IF(K10="NA","NA",K10/Table8s2!$G$35*100)</f>
        <v>0.14159380004666661</v>
      </c>
      <c r="N10" s="3844">
        <f>IF(K10="NA","NA",K10/Table8s2!$G$34*100)</f>
        <v>0.12826083286277551</v>
      </c>
      <c r="O10" s="4488">
        <f>SUM(O11,O22,O30,O41,O50,O56)</f>
        <v>22041.917619330037</v>
      </c>
      <c r="P10" s="3840">
        <f>SUM(P11,P22,P30,P41,P50,P56)</f>
        <v>20709.812542284788</v>
      </c>
      <c r="Q10" s="3842">
        <f t="shared" ref="Q10:Q12" si="2">IF(P10="NO",IF(O10="NO","NA",-O10),IF(O10="NO",P10,P10-O10))</f>
        <v>-1332.1050770452493</v>
      </c>
      <c r="R10" s="3840">
        <f t="shared" ref="R10:R12" si="3">IF(Q10="NA","NA",Q10/O10*100)</f>
        <v>-6.0435081014776912</v>
      </c>
      <c r="S10" s="3843">
        <f>IF(Q10="NA","NA",Q10/Table8s2!$G$35*100)</f>
        <v>-0.24192417628265689</v>
      </c>
      <c r="T10" s="3844">
        <f>IF(Q10="NA","NA",Q10/Table8s2!$G$34*100)</f>
        <v>-0.21914375014603604</v>
      </c>
    </row>
    <row r="11" spans="2:20" ht="18" customHeight="1" x14ac:dyDescent="0.2">
      <c r="B11" s="1404" t="s">
        <v>1921</v>
      </c>
      <c r="C11" s="3841">
        <f>SUM(C12,C18,C21)</f>
        <v>384382.39784356521</v>
      </c>
      <c r="D11" s="3841">
        <f>Summary2!C11</f>
        <v>383999.21672986215</v>
      </c>
      <c r="E11" s="3845">
        <f t="shared" ref="E11:E38" si="4">IF(D11="NO",IF(C11="NO","NA",-C11),IF(C11="NO",D11,D11-C11))</f>
        <v>-383.18111370305996</v>
      </c>
      <c r="F11" s="3841">
        <f t="shared" ref="F11:F38" si="5">IF(E11="NA","NA",E11/C11*100)</f>
        <v>-9.9687476807667416E-2</v>
      </c>
      <c r="G11" s="3846">
        <f>IF(E11="NA","NA",E11/Table8s2!$G$35*100)</f>
        <v>-6.9589686952701998E-2</v>
      </c>
      <c r="H11" s="3847">
        <f>IF(E11="NA","NA",E11/Table8s2!$G$34*100)</f>
        <v>-6.303687876355929E-2</v>
      </c>
      <c r="I11" s="3848">
        <f>SUM(I12,I18,I21)</f>
        <v>40004.415164473292</v>
      </c>
      <c r="J11" s="3841">
        <f>Summary2!D11</f>
        <v>40156.161448121064</v>
      </c>
      <c r="K11" s="3845">
        <f t="shared" si="0"/>
        <v>151.74628364777163</v>
      </c>
      <c r="L11" s="3841">
        <f t="shared" si="1"/>
        <v>0.37932383969090722</v>
      </c>
      <c r="M11" s="3846">
        <f>IF(K11="NA","NA",K11/Table8s2!$G$35*100)</f>
        <v>2.7558707873759233E-2</v>
      </c>
      <c r="N11" s="3847">
        <f>IF(K11="NA","NA",K11/Table8s2!$G$34*100)</f>
        <v>2.4963683602991921E-2</v>
      </c>
      <c r="O11" s="3848">
        <f>SUM(O12,O18,O21)</f>
        <v>3283.4079033627704</v>
      </c>
      <c r="P11" s="3841">
        <f>Summary2!E11</f>
        <v>3280.6079570543375</v>
      </c>
      <c r="Q11" s="3845">
        <f t="shared" si="2"/>
        <v>-2.7999463084329363</v>
      </c>
      <c r="R11" s="3841">
        <f t="shared" si="3"/>
        <v>-8.5275615788258083E-2</v>
      </c>
      <c r="S11" s="3846">
        <f>IF(Q11="NA","NA",Q11/Table8s2!$G$35*100)</f>
        <v>-5.0849945396634416E-4</v>
      </c>
      <c r="T11" s="3847">
        <f>IF(Q11="NA","NA",Q11/Table8s2!$G$34*100)</f>
        <v>-4.6061736781196933E-4</v>
      </c>
    </row>
    <row r="12" spans="2:20" ht="18" customHeight="1" x14ac:dyDescent="0.2">
      <c r="B12" s="606" t="s">
        <v>242</v>
      </c>
      <c r="C12" s="3841">
        <f>SUM(C13:C17)</f>
        <v>376416.29929359496</v>
      </c>
      <c r="D12" s="3841">
        <f>Summary2!C12</f>
        <v>376029.89863237902</v>
      </c>
      <c r="E12" s="3841">
        <f t="shared" si="4"/>
        <v>-386.40066121594282</v>
      </c>
      <c r="F12" s="3849">
        <f t="shared" si="5"/>
        <v>-0.10265247863630908</v>
      </c>
      <c r="G12" s="3846">
        <f>IF(E12="NA","NA",E12/Table8s2!$G$35*100)</f>
        <v>-7.0174390361974121E-2</v>
      </c>
      <c r="H12" s="3847">
        <f>IF(E12="NA","NA",E12/Table8s2!$G$34*100)</f>
        <v>-6.3566524455858184E-2</v>
      </c>
      <c r="I12" s="3848">
        <f>SUM(I13:I17)</f>
        <v>2403.8649557094241</v>
      </c>
      <c r="J12" s="3841">
        <f>Summary2!D12</f>
        <v>2402.5261413077792</v>
      </c>
      <c r="K12" s="3841">
        <f t="shared" si="0"/>
        <v>-1.3388144016448678</v>
      </c>
      <c r="L12" s="3849">
        <f t="shared" si="1"/>
        <v>-5.5694243491717255E-2</v>
      </c>
      <c r="M12" s="3846">
        <f>IF(K12="NA","NA",K12/Table8s2!$G$35*100)</f>
        <v>-2.4314265961039556E-4</v>
      </c>
      <c r="N12" s="3847">
        <f>IF(K12="NA","NA",K12/Table8s2!$G$34*100)</f>
        <v>-2.20247496824165E-4</v>
      </c>
      <c r="O12" s="3850">
        <f>SUM(O13:O17)</f>
        <v>3257.5494899538389</v>
      </c>
      <c r="P12" s="3849">
        <f>Summary2!E12</f>
        <v>3254.7495436454055</v>
      </c>
      <c r="Q12" s="3841">
        <f t="shared" si="2"/>
        <v>-2.7999463084333911</v>
      </c>
      <c r="R12" s="3849">
        <f t="shared" si="3"/>
        <v>-8.5952533248330409E-2</v>
      </c>
      <c r="S12" s="3846">
        <f>IF(Q12="NA","NA",Q12/Table8s2!$G$35*100)</f>
        <v>-5.0849945396642666E-4</v>
      </c>
      <c r="T12" s="3847">
        <f>IF(Q12="NA","NA",Q12/Table8s2!$G$34*100)</f>
        <v>-4.6061736781204408E-4</v>
      </c>
    </row>
    <row r="13" spans="2:20" ht="18" customHeight="1" x14ac:dyDescent="0.2">
      <c r="B13" s="1391" t="s">
        <v>1923</v>
      </c>
      <c r="C13" s="3849">
        <v>231140.21991732309</v>
      </c>
      <c r="D13" s="3841">
        <f>Summary2!C13</f>
        <v>230787.71621986476</v>
      </c>
      <c r="E13" s="3841">
        <f t="shared" si="4"/>
        <v>-352.5036974583345</v>
      </c>
      <c r="F13" s="3849">
        <f t="shared" si="5"/>
        <v>-0.15250642989974747</v>
      </c>
      <c r="G13" s="3846">
        <f>IF(E13="NA","NA",E13/Table8s2!$G$35*100)</f>
        <v>-6.401834818718409E-2</v>
      </c>
      <c r="H13" s="3847">
        <f>IF(E13="NA","NA",E13/Table8s2!$G$34*100)</f>
        <v>-5.7990156732012153E-2</v>
      </c>
      <c r="I13" s="3848">
        <v>636.34266828995737</v>
      </c>
      <c r="J13" s="3841">
        <f>Summary2!D13</f>
        <v>635.68644285591358</v>
      </c>
      <c r="K13" s="3841">
        <f t="shared" ref="K13" si="6">IF(J13="NO",IF(I13="NO","NA",-I13),IF(I13="NO",J13,J13-I13))</f>
        <v>-0.6562254340437903</v>
      </c>
      <c r="L13" s="3849">
        <f t="shared" ref="L13" si="7">IF(K13="NA","NA",K13/I13*100)</f>
        <v>-0.10312453757144148</v>
      </c>
      <c r="M13" s="3846">
        <f>IF(K13="NA","NA",K13/Table8s2!$G$35*100)</f>
        <v>-1.1917738346806125E-4</v>
      </c>
      <c r="N13" s="3847">
        <f>IF(K13="NA","NA",K13/Table8s2!$G$34*100)</f>
        <v>-1.0795522443060362E-4</v>
      </c>
      <c r="O13" s="3850">
        <v>1044.2809260571516</v>
      </c>
      <c r="P13" s="3849">
        <f>Summary2!E13</f>
        <v>1042.6291428123352</v>
      </c>
      <c r="Q13" s="3841">
        <f t="shared" ref="Q13" si="8">IF(P13="NO",IF(O13="NO","NA",-O13),IF(O13="NO",P13,P13-O13))</f>
        <v>-1.6517832448164427</v>
      </c>
      <c r="R13" s="3849">
        <f t="shared" ref="R13" si="9">IF(Q13="NA","NA",Q13/O13*100)</f>
        <v>-0.15817422339149795</v>
      </c>
      <c r="S13" s="3846">
        <f>IF(Q13="NA","NA",Q13/Table8s2!$G$35*100)</f>
        <v>-2.9998106589765528E-4</v>
      </c>
      <c r="T13" s="3847">
        <f>IF(Q13="NA","NA",Q13/Table8s2!$G$34*100)</f>
        <v>-2.7173380008457652E-4</v>
      </c>
    </row>
    <row r="14" spans="2:20" ht="18" customHeight="1" x14ac:dyDescent="0.2">
      <c r="B14" s="1391" t="s">
        <v>1976</v>
      </c>
      <c r="C14" s="3849">
        <v>40172.086958314503</v>
      </c>
      <c r="D14" s="3841">
        <f>Summary2!C14</f>
        <v>40172.086958314503</v>
      </c>
      <c r="E14" s="3841">
        <f t="shared" si="4"/>
        <v>0</v>
      </c>
      <c r="F14" s="3849">
        <f t="shared" si="5"/>
        <v>0</v>
      </c>
      <c r="G14" s="3846">
        <f>IF(E14="NA","NA",E14/Table8s2!$G$35*100)</f>
        <v>0</v>
      </c>
      <c r="H14" s="3847">
        <f>IF(E14="NA","NA",E14/Table8s2!$G$34*100)</f>
        <v>0</v>
      </c>
      <c r="I14" s="3848">
        <v>54.414996104666685</v>
      </c>
      <c r="J14" s="3841">
        <f>Summary2!D14</f>
        <v>54.414996104666713</v>
      </c>
      <c r="K14" s="3841">
        <f t="shared" ref="K14:K20" si="10">IF(J14="NO",IF(I14="NO","NA",-I14),IF(I14="NO",J14,J14-I14))</f>
        <v>2.8421709430404007E-14</v>
      </c>
      <c r="L14" s="3849">
        <f t="shared" ref="L14:L20" si="11">IF(K14="NA","NA",K14/I14*100)</f>
        <v>5.2231391096188155E-14</v>
      </c>
      <c r="M14" s="3846">
        <f>IF(K14="NA","NA",K14/Table8s2!$G$35*100)</f>
        <v>5.1616788802779619E-18</v>
      </c>
      <c r="N14" s="3847">
        <f>IF(K14="NA","NA",K14/Table8s2!$G$34*100)</f>
        <v>4.6756371531553907E-18</v>
      </c>
      <c r="O14" s="3850">
        <v>289.52364203626286</v>
      </c>
      <c r="P14" s="3849">
        <f>Summary2!E14</f>
        <v>289.52364203626291</v>
      </c>
      <c r="Q14" s="3841">
        <f t="shared" ref="Q14:Q20" si="12">IF(P14="NO",IF(O14="NO","NA",-O14),IF(O14="NO",P14,P14-O14))</f>
        <v>5.6843418860808015E-14</v>
      </c>
      <c r="R14" s="3849">
        <f t="shared" ref="R14:R20" si="13">IF(Q14="NA","NA",Q14/O14*100)</f>
        <v>1.9633429056438983E-14</v>
      </c>
      <c r="S14" s="3846">
        <f>IF(Q14="NA","NA",Q14/Table8s2!$G$35*100)</f>
        <v>1.0323357760555924E-17</v>
      </c>
      <c r="T14" s="3847">
        <f>IF(Q14="NA","NA",Q14/Table8s2!$G$34*100)</f>
        <v>9.3512743063107815E-18</v>
      </c>
    </row>
    <row r="15" spans="2:20" ht="18" customHeight="1" x14ac:dyDescent="0.2">
      <c r="B15" s="1391" t="s">
        <v>1925</v>
      </c>
      <c r="C15" s="3849">
        <v>84939.139138535204</v>
      </c>
      <c r="D15" s="3841">
        <f>Summary2!C15</f>
        <v>84904.621577574857</v>
      </c>
      <c r="E15" s="3841">
        <f t="shared" si="4"/>
        <v>-34.5175609603466</v>
      </c>
      <c r="F15" s="3849">
        <f t="shared" si="5"/>
        <v>-4.0637992461930506E-2</v>
      </c>
      <c r="G15" s="3846">
        <f>IF(E15="NA","NA",E15/Table8s2!$G$35*100)</f>
        <v>-6.2687490998389085E-3</v>
      </c>
      <c r="H15" s="3847">
        <f>IF(E15="NA","NA",E15/Table8s2!$G$34*100)</f>
        <v>-5.678461770841082E-3</v>
      </c>
      <c r="I15" s="3848">
        <v>507.67202044739929</v>
      </c>
      <c r="J15" s="3841">
        <f>Summary2!D15</f>
        <v>506.76633604192529</v>
      </c>
      <c r="K15" s="3841">
        <f t="shared" si="10"/>
        <v>-0.90568440547400542</v>
      </c>
      <c r="L15" s="3849">
        <f t="shared" si="11"/>
        <v>-0.17839951169179016</v>
      </c>
      <c r="M15" s="3846">
        <f>IF(K15="NA","NA",K15/Table8s2!$G$35*100)</f>
        <v>-1.6448173461837493E-4</v>
      </c>
      <c r="N15" s="3847">
        <f>IF(K15="NA","NA",K15/Table8s2!$G$34*100)</f>
        <v>-1.4899355950552748E-4</v>
      </c>
      <c r="O15" s="3850">
        <v>1746.4001491739355</v>
      </c>
      <c r="P15" s="3849">
        <f>Summary2!E15</f>
        <v>1745.2202033067526</v>
      </c>
      <c r="Q15" s="3841">
        <f t="shared" si="12"/>
        <v>-1.1799458671828233</v>
      </c>
      <c r="R15" s="3849">
        <f t="shared" si="13"/>
        <v>-6.7564462116024751E-2</v>
      </c>
      <c r="S15" s="3846">
        <f>IF(Q15="NA","NA",Q15/Table8s2!$G$35*100)</f>
        <v>-2.1429047670136109E-4</v>
      </c>
      <c r="T15" s="3847">
        <f>IF(Q15="NA","NA",Q15/Table8s2!$G$34*100)</f>
        <v>-1.9411213631683876E-4</v>
      </c>
    </row>
    <row r="16" spans="2:20" ht="18" customHeight="1" x14ac:dyDescent="0.2">
      <c r="B16" s="1391" t="s">
        <v>1926</v>
      </c>
      <c r="C16" s="3849">
        <v>19338.076453358513</v>
      </c>
      <c r="D16" s="3841">
        <f>Summary2!C16</f>
        <v>19338.074952012557</v>
      </c>
      <c r="E16" s="3841">
        <f t="shared" si="4"/>
        <v>-1.5013459560577758E-3</v>
      </c>
      <c r="F16" s="3849">
        <f t="shared" si="5"/>
        <v>-7.7636778387905885E-6</v>
      </c>
      <c r="G16" s="3846">
        <f>IF(E16="NA","NA",E16/Table8s2!$G$35*100)</f>
        <v>-2.7266008514900188E-7</v>
      </c>
      <c r="H16" s="3847">
        <f>IF(E16="NA","NA",E16/Table8s2!$G$34*100)</f>
        <v>-2.4698545838956433E-7</v>
      </c>
      <c r="I16" s="3848">
        <v>1204.6331929488958</v>
      </c>
      <c r="J16" s="3841">
        <f>Summary2!D16</f>
        <v>1204.8602412746959</v>
      </c>
      <c r="K16" s="3841">
        <f t="shared" si="10"/>
        <v>0.22704832580006951</v>
      </c>
      <c r="L16" s="3849">
        <f t="shared" si="11"/>
        <v>1.88479221001925E-2</v>
      </c>
      <c r="M16" s="3846">
        <f>IF(K16="NA","NA",K16/Table8s2!$G$35*100)</f>
        <v>4.1234344153522282E-5</v>
      </c>
      <c r="N16" s="3847">
        <f>IF(K16="NA","NA",K16/Table8s2!$G$34*100)</f>
        <v>3.7351574164532727E-5</v>
      </c>
      <c r="O16" s="3850">
        <v>171.19753386156273</v>
      </c>
      <c r="P16" s="3849">
        <f>Summary2!E16</f>
        <v>171.22454211614536</v>
      </c>
      <c r="Q16" s="3841">
        <f t="shared" si="12"/>
        <v>2.7008254582625568E-2</v>
      </c>
      <c r="R16" s="3849">
        <f t="shared" si="13"/>
        <v>1.5776076893996346E-2</v>
      </c>
      <c r="S16" s="3846">
        <f>IF(Q16="NA","NA",Q16/Table8s2!$G$35*100)</f>
        <v>4.9049807371254671E-6</v>
      </c>
      <c r="T16" s="3847">
        <f>IF(Q16="NA","NA",Q16/Table8s2!$G$34*100)</f>
        <v>4.4431106045055497E-6</v>
      </c>
    </row>
    <row r="17" spans="2:20" ht="18" customHeight="1" x14ac:dyDescent="0.2">
      <c r="B17" s="1391" t="s">
        <v>1927</v>
      </c>
      <c r="C17" s="3849">
        <v>826.77682606361236</v>
      </c>
      <c r="D17" s="3841">
        <f>Summary2!C17</f>
        <v>827.39892461234956</v>
      </c>
      <c r="E17" s="3841">
        <f t="shared" si="4"/>
        <v>0.62209854873719905</v>
      </c>
      <c r="F17" s="3849">
        <f t="shared" si="5"/>
        <v>7.5243829909830431E-2</v>
      </c>
      <c r="G17" s="3846">
        <f>IF(E17="NA","NA",E17/Table8s2!$G$35*100)</f>
        <v>1.1297958514181904E-4</v>
      </c>
      <c r="H17" s="3847">
        <f>IF(E17="NA","NA",E17/Table8s2!$G$34*100)</f>
        <v>1.0234103246049374E-4</v>
      </c>
      <c r="I17" s="3848">
        <v>0.8020779185047846</v>
      </c>
      <c r="J17" s="3841">
        <f>Summary2!D17</f>
        <v>0.79812503057782636</v>
      </c>
      <c r="K17" s="3841">
        <f t="shared" si="10"/>
        <v>-3.9528879269582484E-3</v>
      </c>
      <c r="L17" s="3849">
        <f t="shared" si="11"/>
        <v>-0.49283091277804186</v>
      </c>
      <c r="M17" s="3846">
        <f>IF(K17="NA","NA",K17/Table8s2!$G$35*100)</f>
        <v>-7.1788567744836362E-7</v>
      </c>
      <c r="N17" s="3847">
        <f>IF(K17="NA","NA",K17/Table8s2!$G$34*100)</f>
        <v>-6.5028705253646862E-7</v>
      </c>
      <c r="O17" s="3850">
        <v>6.1472388249262639</v>
      </c>
      <c r="P17" s="3849">
        <f>Summary2!E17</f>
        <v>6.152013373909158</v>
      </c>
      <c r="Q17" s="3841">
        <f t="shared" si="12"/>
        <v>4.774548982894089E-3</v>
      </c>
      <c r="R17" s="3849">
        <f t="shared" si="13"/>
        <v>7.7669814348743149E-2</v>
      </c>
      <c r="S17" s="3846">
        <f>IF(Q17="NA","NA",Q17/Table8s2!$G$35*100)</f>
        <v>8.6710789539961625E-7</v>
      </c>
      <c r="T17" s="3847">
        <f>IF(Q17="NA","NA",Q17/Table8s2!$G$34*100)</f>
        <v>7.8545798480716341E-7</v>
      </c>
    </row>
    <row r="18" spans="2:20" ht="18" customHeight="1" x14ac:dyDescent="0.2">
      <c r="B18" s="606" t="s">
        <v>201</v>
      </c>
      <c r="C18" s="3849">
        <f>SUM(C19:C20)</f>
        <v>7966.0985499702711</v>
      </c>
      <c r="D18" s="3841">
        <f>Summary2!C18</f>
        <v>7969.3180974831548</v>
      </c>
      <c r="E18" s="3841">
        <f t="shared" si="4"/>
        <v>3.2195475128837643</v>
      </c>
      <c r="F18" s="3849">
        <f t="shared" si="5"/>
        <v>4.0415612394046764E-2</v>
      </c>
      <c r="G18" s="3846">
        <f>IF(E18="NA","NA",E18/Table8s2!$G$35*100)</f>
        <v>5.8470340927228815E-4</v>
      </c>
      <c r="H18" s="3847">
        <f>IF(E18="NA","NA",E18/Table8s2!$G$34*100)</f>
        <v>5.2964569229903573E-4</v>
      </c>
      <c r="I18" s="3848">
        <f>SUM(I19:I20)</f>
        <v>37600.550208763867</v>
      </c>
      <c r="J18" s="3841">
        <f>Summary2!D18</f>
        <v>37753.635306813281</v>
      </c>
      <c r="K18" s="3841">
        <f t="shared" si="10"/>
        <v>153.08509804941423</v>
      </c>
      <c r="L18" s="3849">
        <f t="shared" si="11"/>
        <v>0.4071352605200268</v>
      </c>
      <c r="M18" s="3846">
        <f>IF(K18="NA","NA",K18/Table8s2!$G$35*100)</f>
        <v>2.7801850533369216E-2</v>
      </c>
      <c r="N18" s="3847">
        <f>IF(K18="NA","NA",K18/Table8s2!$G$34*100)</f>
        <v>2.5183931099815707E-2</v>
      </c>
      <c r="O18" s="3850">
        <f>SUM(O19:O20)</f>
        <v>25.858413408931458</v>
      </c>
      <c r="P18" s="3849">
        <f>Summary2!E18</f>
        <v>25.858413408931458</v>
      </c>
      <c r="Q18" s="3841">
        <f t="shared" si="12"/>
        <v>0</v>
      </c>
      <c r="R18" s="3849">
        <f t="shared" si="13"/>
        <v>0</v>
      </c>
      <c r="S18" s="3846">
        <f>IF(Q18="NA","NA",Q18/Table8s2!$G$35*100)</f>
        <v>0</v>
      </c>
      <c r="T18" s="3847">
        <f>IF(Q18="NA","NA",Q18/Table8s2!$G$34*100)</f>
        <v>0</v>
      </c>
    </row>
    <row r="19" spans="2:20" ht="18" customHeight="1" x14ac:dyDescent="0.2">
      <c r="B19" s="1391" t="s">
        <v>1928</v>
      </c>
      <c r="C19" s="3849">
        <v>1308.4125121797347</v>
      </c>
      <c r="D19" s="3841">
        <f>Summary2!C19</f>
        <v>1308.4125121797349</v>
      </c>
      <c r="E19" s="3841">
        <f t="shared" si="4"/>
        <v>2.2737367544323206E-13</v>
      </c>
      <c r="F19" s="3849">
        <f t="shared" si="5"/>
        <v>1.7377827965313594E-14</v>
      </c>
      <c r="G19" s="3846">
        <f>IF(E19="NA","NA",E19/Table8s2!$G$35*100)</f>
        <v>4.1293431042223695E-17</v>
      </c>
      <c r="H19" s="3847">
        <f>IF(E19="NA","NA",E19/Table8s2!$G$34*100)</f>
        <v>3.7405097225243126E-17</v>
      </c>
      <c r="I19" s="3848">
        <v>31898.054059630136</v>
      </c>
      <c r="J19" s="3841">
        <f>Summary2!D19</f>
        <v>31898.05405963014</v>
      </c>
      <c r="K19" s="3841">
        <f t="shared" si="10"/>
        <v>3.637978807091713E-12</v>
      </c>
      <c r="L19" s="3849">
        <f t="shared" si="11"/>
        <v>1.1405017999815553E-14</v>
      </c>
      <c r="M19" s="3846">
        <f>IF(K19="NA","NA",K19/Table8s2!$G$35*100)</f>
        <v>6.6069489667557912E-16</v>
      </c>
      <c r="N19" s="3847">
        <f>IF(K19="NA","NA",K19/Table8s2!$G$34*100)</f>
        <v>5.9848155560389001E-16</v>
      </c>
      <c r="O19" s="3850">
        <v>9.0107332636225126E-2</v>
      </c>
      <c r="P19" s="3849">
        <f>Summary2!E19</f>
        <v>9.0107332636225126E-2</v>
      </c>
      <c r="Q19" s="3841">
        <f t="shared" si="12"/>
        <v>0</v>
      </c>
      <c r="R19" s="3849">
        <f t="shared" si="13"/>
        <v>0</v>
      </c>
      <c r="S19" s="3846">
        <f>IF(Q19="NA","NA",Q19/Table8s2!$G$35*100)</f>
        <v>0</v>
      </c>
      <c r="T19" s="3847">
        <f>IF(Q19="NA","NA",Q19/Table8s2!$G$34*100)</f>
        <v>0</v>
      </c>
    </row>
    <row r="20" spans="2:20" ht="18" customHeight="1" x14ac:dyDescent="0.2">
      <c r="B20" s="1392" t="s">
        <v>1929</v>
      </c>
      <c r="C20" s="3851">
        <v>6657.6860377905368</v>
      </c>
      <c r="D20" s="3852">
        <f>Summary2!C20</f>
        <v>6660.9055853034197</v>
      </c>
      <c r="E20" s="3852">
        <f t="shared" si="4"/>
        <v>3.2195475128828548</v>
      </c>
      <c r="F20" s="3851">
        <f t="shared" si="5"/>
        <v>4.8358355960433891E-2</v>
      </c>
      <c r="G20" s="3853">
        <f>IF(E20="NA","NA",E20/Table8s2!$G$35*100)</f>
        <v>5.8470340927212292E-4</v>
      </c>
      <c r="H20" s="3854">
        <f>IF(E20="NA","NA",E20/Table8s2!$G$34*100)</f>
        <v>5.29645692298886E-4</v>
      </c>
      <c r="I20" s="3855">
        <v>5702.4961491337326</v>
      </c>
      <c r="J20" s="3852">
        <f>Summary2!D20</f>
        <v>5855.5812471831387</v>
      </c>
      <c r="K20" s="3841">
        <f t="shared" si="10"/>
        <v>153.08509804940604</v>
      </c>
      <c r="L20" s="3849">
        <f t="shared" si="11"/>
        <v>2.6845278636910828</v>
      </c>
      <c r="M20" s="3846">
        <f>IF(K20="NA","NA",K20/Table8s2!$G$35*100)</f>
        <v>2.7801850533367728E-2</v>
      </c>
      <c r="N20" s="3847">
        <f>IF(K20="NA","NA",K20/Table8s2!$G$34*100)</f>
        <v>2.5183931099814365E-2</v>
      </c>
      <c r="O20" s="3856">
        <v>25.768306076295232</v>
      </c>
      <c r="P20" s="3851">
        <f>Summary2!E20</f>
        <v>25.768306076295236</v>
      </c>
      <c r="Q20" s="3841">
        <f t="shared" si="12"/>
        <v>3.5527136788005009E-15</v>
      </c>
      <c r="R20" s="3849">
        <f t="shared" si="13"/>
        <v>1.3787144829316938E-14</v>
      </c>
      <c r="S20" s="3846">
        <f>IF(Q20="NA","NA",Q20/Table8s2!$G$35*100)</f>
        <v>6.4520986003474523E-19</v>
      </c>
      <c r="T20" s="3847">
        <f>IF(Q20="NA","NA",Q20/Table8s2!$G$34*100)</f>
        <v>5.8445464414442384E-19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21120.996965749539</v>
      </c>
      <c r="D22" s="3841">
        <f>Summary2!C22</f>
        <v>21120.996965749539</v>
      </c>
      <c r="E22" s="3863">
        <f t="shared" si="4"/>
        <v>0</v>
      </c>
      <c r="F22" s="3863">
        <f t="shared" si="5"/>
        <v>0</v>
      </c>
      <c r="G22" s="3864">
        <f>IF(E22="NA","NA",E22/Table8s2!$G$35*100)</f>
        <v>0</v>
      </c>
      <c r="H22" s="3865">
        <f>IF(E22="NA","NA",E22/Table8s2!$G$34*100)</f>
        <v>0</v>
      </c>
      <c r="I22" s="3841">
        <f>SUM(I23:I29)</f>
        <v>86.405444984586424</v>
      </c>
      <c r="J22" s="3841">
        <f>Summary2!D22</f>
        <v>86.405444984586424</v>
      </c>
      <c r="K22" s="3863">
        <f t="shared" ref="K22" si="14">IF(J22="NO",IF(I22="NO","NA",-I22),IF(I22="NO",J22,J22-I22))</f>
        <v>0</v>
      </c>
      <c r="L22" s="3863">
        <f t="shared" ref="L22" si="15">IF(K22="NA","NA",K22/I22*100)</f>
        <v>0</v>
      </c>
      <c r="M22" s="3864">
        <f>IF(K22="NA","NA",K22/Table8s2!$G$35*100)</f>
        <v>0</v>
      </c>
      <c r="N22" s="3865">
        <f>IF(K22="NA","NA",K22/Table8s2!$G$34*100)</f>
        <v>0</v>
      </c>
      <c r="O22" s="3841">
        <f>SUM(O23:O29)</f>
        <v>2681.6556676425739</v>
      </c>
      <c r="P22" s="3841">
        <f>Summary2!E22</f>
        <v>2681.6556676425735</v>
      </c>
      <c r="Q22" s="3863">
        <f t="shared" ref="Q22" si="16">IF(P22="NO",IF(O22="NO","NA",-O22),IF(O22="NO",P22,P22-O22))</f>
        <v>-4.5474735088646412E-13</v>
      </c>
      <c r="R22" s="3866">
        <f t="shared" ref="R22" si="17">IF(Q22="NA","NA",Q22/O22*100)</f>
        <v>-1.6957708492314734E-14</v>
      </c>
      <c r="S22" s="3867">
        <f>IF(Q22="NA","NA",Q22/Table8s2!$G$35*100)</f>
        <v>-8.258686208444739E-17</v>
      </c>
      <c r="T22" s="3868">
        <f>IF(Q22="NA","NA",Q22/Table8s2!$G$34*100)</f>
        <v>-7.4810194450486252E-17</v>
      </c>
    </row>
    <row r="23" spans="2:20" ht="18" customHeight="1" x14ac:dyDescent="0.2">
      <c r="B23" s="1393" t="s">
        <v>1932</v>
      </c>
      <c r="C23" s="3841">
        <v>6408.1365207979161</v>
      </c>
      <c r="D23" s="3841">
        <f>Summary2!C23</f>
        <v>6408.1365207979152</v>
      </c>
      <c r="E23" s="3841">
        <f t="shared" si="4"/>
        <v>-9.0949470177292824E-13</v>
      </c>
      <c r="F23" s="3849">
        <f t="shared" si="5"/>
        <v>-1.4192810949347277E-14</v>
      </c>
      <c r="G23" s="3846">
        <f>IF(E23="NA","NA",E23/Table8s2!$G$35*100)</f>
        <v>-1.6517372416889478E-16</v>
      </c>
      <c r="H23" s="3847">
        <f>IF(E23="NA","NA",E23/Table8s2!$G$34*100)</f>
        <v>-1.496203889009725E-16</v>
      </c>
      <c r="I23" s="1950"/>
      <c r="J23" s="1950"/>
      <c r="K23" s="1950"/>
      <c r="L23" s="1950"/>
      <c r="M23" s="1950"/>
      <c r="N23" s="1950"/>
      <c r="O23" s="1950"/>
      <c r="P23" s="1950"/>
      <c r="Q23" s="1950"/>
      <c r="R23" s="1950"/>
      <c r="S23" s="1950"/>
      <c r="T23" s="1950"/>
    </row>
    <row r="24" spans="2:20" ht="18" customHeight="1" x14ac:dyDescent="0.2">
      <c r="B24" s="1393" t="s">
        <v>846</v>
      </c>
      <c r="C24" s="3841">
        <v>3186.7659698427397</v>
      </c>
      <c r="D24" s="3841">
        <f>Summary2!C24</f>
        <v>3186.7659698427392</v>
      </c>
      <c r="E24" s="3841">
        <f t="shared" si="4"/>
        <v>-4.5474735088646412E-13</v>
      </c>
      <c r="F24" s="3849">
        <f t="shared" si="5"/>
        <v>-1.4269869679476493E-14</v>
      </c>
      <c r="G24" s="3846">
        <f>IF(E24="NA","NA",E24/Table8s2!$G$35*100)</f>
        <v>-8.258686208444739E-17</v>
      </c>
      <c r="H24" s="3847">
        <f>IF(E24="NA","NA",E24/Table8s2!$G$34*100)</f>
        <v>-7.4810194450486252E-17</v>
      </c>
      <c r="I24" s="3848">
        <v>16.177380799999998</v>
      </c>
      <c r="J24" s="3841">
        <f>Summary2!D24</f>
        <v>16.177380799999998</v>
      </c>
      <c r="K24" s="3841">
        <f t="shared" ref="K24" si="18">IF(J24="NO",IF(I24="NO","NA",-I24),IF(I24="NO",J24,J24-I24))</f>
        <v>0</v>
      </c>
      <c r="L24" s="3849">
        <f t="shared" ref="L24" si="19">IF(K24="NA","NA",K24/I24*100)</f>
        <v>0</v>
      </c>
      <c r="M24" s="3846">
        <f>IF(K24="NA","NA",K24/Table8s2!$G$35*100)</f>
        <v>0</v>
      </c>
      <c r="N24" s="3847">
        <f>IF(K24="NA","NA",K24/Table8s2!$G$34*100)</f>
        <v>0</v>
      </c>
      <c r="O24" s="3850">
        <v>2665.0898261376283</v>
      </c>
      <c r="P24" s="3849">
        <f>Summary2!E24</f>
        <v>2665.0898261376278</v>
      </c>
      <c r="Q24" s="3841">
        <f t="shared" ref="Q24" si="20">IF(P24="NO",IF(O24="NO","NA",-O24),IF(O24="NO",P24,P24-O24))</f>
        <v>-4.5474735088646412E-13</v>
      </c>
      <c r="R24" s="3849">
        <f t="shared" ref="R24" si="21">IF(Q24="NA","NA",Q24/O24*100)</f>
        <v>-1.7063115337673444E-14</v>
      </c>
      <c r="S24" s="3846">
        <f>IF(Q24="NA","NA",Q24/Table8s2!$G$35*100)</f>
        <v>-8.258686208444739E-17</v>
      </c>
      <c r="T24" s="3847">
        <f>IF(Q24="NA","NA",Q24/Table8s2!$G$34*100)</f>
        <v>-7.4810194450486252E-17</v>
      </c>
    </row>
    <row r="25" spans="2:20" ht="18" customHeight="1" x14ac:dyDescent="0.2">
      <c r="B25" s="1393" t="s">
        <v>637</v>
      </c>
      <c r="C25" s="3841">
        <v>11125.923167063165</v>
      </c>
      <c r="D25" s="3841">
        <f>Summary2!C25</f>
        <v>11125.923167063165</v>
      </c>
      <c r="E25" s="3841">
        <f t="shared" si="4"/>
        <v>0</v>
      </c>
      <c r="F25" s="3849">
        <f t="shared" si="5"/>
        <v>0</v>
      </c>
      <c r="G25" s="3846">
        <f>IF(E25="NA","NA",E25/Table8s2!$G$35*100)</f>
        <v>0</v>
      </c>
      <c r="H25" s="3847">
        <f>IF(E25="NA","NA",E25/Table8s2!$G$34*100)</f>
        <v>0</v>
      </c>
      <c r="I25" s="3848">
        <v>70.22806418458643</v>
      </c>
      <c r="J25" s="3841">
        <f>Summary2!D25</f>
        <v>70.22806418458643</v>
      </c>
      <c r="K25" s="3841">
        <f t="shared" ref="K25:K26" si="22">IF(J25="NO",IF(I25="NO","NA",-I25),IF(I25="NO",J25,J25-I25))</f>
        <v>0</v>
      </c>
      <c r="L25" s="3849">
        <f t="shared" ref="L25:L26" si="23">IF(K25="NA","NA",K25/I25*100)</f>
        <v>0</v>
      </c>
      <c r="M25" s="3846">
        <f>IF(K25="NA","NA",K25/Table8s2!$G$35*100)</f>
        <v>0</v>
      </c>
      <c r="N25" s="3847">
        <f>IF(K25="NA","NA",K25/Table8s2!$G$34*100)</f>
        <v>0</v>
      </c>
      <c r="O25" s="3850">
        <v>16.565841504945752</v>
      </c>
      <c r="P25" s="3849">
        <f>Summary2!E25</f>
        <v>16.565841504945752</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238.76239894999998</v>
      </c>
      <c r="D26" s="3841">
        <f>Summary2!C26</f>
        <v>238.76239894999998</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161.40890909572053</v>
      </c>
      <c r="D29" s="3857">
        <f>Summary2!C30</f>
        <v>161.40890909572053</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1943.1837325816937</v>
      </c>
      <c r="D30" s="3877">
        <f>Summary2!C31</f>
        <v>1943.1837325816937</v>
      </c>
      <c r="E30" s="3863">
        <f t="shared" si="4"/>
        <v>0</v>
      </c>
      <c r="F30" s="3878">
        <f t="shared" si="5"/>
        <v>0</v>
      </c>
      <c r="G30" s="3879">
        <f>IF(E30="NA","NA",E30/Table8s2!$G$35*100)</f>
        <v>0</v>
      </c>
      <c r="H30" s="3880">
        <f>IF(E30="NA","NA",E30/Table8s2!$G$34*100)</f>
        <v>0</v>
      </c>
      <c r="I30" s="3876">
        <f>SUM(I31:I40)</f>
        <v>64835.735107721637</v>
      </c>
      <c r="J30" s="3877">
        <f>Summary2!D31</f>
        <v>64830.787034686051</v>
      </c>
      <c r="K30" s="3863">
        <f t="shared" ref="K30" si="28">IF(J30="NO",IF(I30="NO","NA",-I30),IF(I30="NO",J30,J30-I30))</f>
        <v>-4.9480730355862761</v>
      </c>
      <c r="L30" s="3878">
        <f t="shared" ref="L30" si="29">IF(K30="NA","NA",K30/I30*100)</f>
        <v>-7.6317065386322476E-3</v>
      </c>
      <c r="M30" s="3879">
        <f>IF(K30="NA","NA",K30/Table8s2!$G$35*100)</f>
        <v>-8.9862167328108871E-4</v>
      </c>
      <c r="N30" s="3880">
        <f>IF(K30="NA","NA",K30/Table8s2!$G$34*100)</f>
        <v>-8.1400431520014681E-4</v>
      </c>
      <c r="O30" s="3876">
        <f>SUM(O31:O40)</f>
        <v>10967.045165598516</v>
      </c>
      <c r="P30" s="3877">
        <f>Summary2!E31</f>
        <v>9724.0470568992368</v>
      </c>
      <c r="Q30" s="3863">
        <f t="shared" ref="Q30" si="30">IF(P30="NO",IF(O30="NO","NA",-O30),IF(O30="NO",P30,P30-O30))</f>
        <v>-1242.9981086992793</v>
      </c>
      <c r="R30" s="3882">
        <f t="shared" ref="R30" si="31">IF(Q30="NA","NA",Q30/O30*100)</f>
        <v>-11.333938083872603</v>
      </c>
      <c r="S30" s="3883">
        <f>IF(Q30="NA","NA",Q30/Table8s2!$G$35*100)</f>
        <v>-0.22574142141623182</v>
      </c>
      <c r="T30" s="3884">
        <f>IF(Q30="NA","NA",Q30/Table8s2!$G$34*100)</f>
        <v>-0.20448482004812402</v>
      </c>
    </row>
    <row r="31" spans="2:20" ht="18" customHeight="1" x14ac:dyDescent="0.2">
      <c r="B31" s="606" t="s">
        <v>1938</v>
      </c>
      <c r="C31" s="3869"/>
      <c r="D31" s="3869"/>
      <c r="E31" s="3870"/>
      <c r="F31" s="3870"/>
      <c r="G31" s="3871"/>
      <c r="H31" s="3872"/>
      <c r="I31" s="3848">
        <v>57978.53365785053</v>
      </c>
      <c r="J31" s="3841">
        <f>Summary2!D32</f>
        <v>57978.533657850538</v>
      </c>
      <c r="K31" s="3885">
        <f t="shared" ref="K31:K33" si="32">IF(J31="NO",IF(I31="NO","NA",-I31),IF(I31="NO",J31,J31-I31))</f>
        <v>7.2759576141834259E-12</v>
      </c>
      <c r="L31" s="3885">
        <f t="shared" ref="L31:L33" si="33">IF(K31="NA","NA",K31/I31*100)</f>
        <v>1.2549399157145174E-14</v>
      </c>
      <c r="M31" s="3886">
        <f>IF(K31="NA","NA",K31/Table8s2!$G$35*100)</f>
        <v>1.3213897933511582E-15</v>
      </c>
      <c r="N31" s="3887">
        <f>IF(K31="NA","NA",K31/Table8s2!$G$34*100)</f>
        <v>1.19696311120778E-15</v>
      </c>
      <c r="O31" s="3888"/>
      <c r="P31" s="3889"/>
      <c r="Q31" s="3870"/>
      <c r="R31" s="3890"/>
      <c r="S31" s="3891"/>
      <c r="T31" s="3892"/>
    </row>
    <row r="32" spans="2:20" ht="18" customHeight="1" x14ac:dyDescent="0.2">
      <c r="B32" s="606" t="s">
        <v>1939</v>
      </c>
      <c r="C32" s="3893"/>
      <c r="D32" s="3893"/>
      <c r="E32" s="3894"/>
      <c r="F32" s="3894"/>
      <c r="G32" s="3871"/>
      <c r="H32" s="3872"/>
      <c r="I32" s="3848">
        <v>6604.895131964633</v>
      </c>
      <c r="J32" s="3849">
        <f>Summary2!D33</f>
        <v>6599.9470589290449</v>
      </c>
      <c r="K32" s="3895">
        <f t="shared" si="32"/>
        <v>-4.9480730355880951</v>
      </c>
      <c r="L32" s="3895">
        <f t="shared" si="33"/>
        <v>-7.4915239935327865E-2</v>
      </c>
      <c r="M32" s="3886">
        <f>IF(K32="NA","NA",K32/Table8s2!$G$35*100)</f>
        <v>-8.9862167328141906E-4</v>
      </c>
      <c r="N32" s="3887">
        <f>IF(K32="NA","NA",K32/Table8s2!$G$34*100)</f>
        <v>-8.1400431520044594E-4</v>
      </c>
      <c r="O32" s="3850">
        <v>406.73842615568174</v>
      </c>
      <c r="P32" s="3849">
        <f>Summary2!E33</f>
        <v>462.1387191509362</v>
      </c>
      <c r="Q32" s="3895">
        <f t="shared" ref="Q32" si="34">IF(P32="NO",IF(O32="NO","NA",-O32),IF(O32="NO",P32,P32-O32))</f>
        <v>55.40029299525446</v>
      </c>
      <c r="R32" s="3896">
        <f t="shared" ref="R32" si="35">IF(Q32="NA","NA",Q32/O32*100)</f>
        <v>13.620619403697463</v>
      </c>
      <c r="S32" s="3897">
        <f>IF(Q32="NA","NA",Q32/Table8s2!$G$35*100)</f>
        <v>1.0061271051097057E-2</v>
      </c>
      <c r="T32" s="3898">
        <f>IF(Q32="NA","NA",Q32/Table8s2!$G$34*100)</f>
        <v>9.1138665975948659E-3</v>
      </c>
    </row>
    <row r="33" spans="2:21" ht="18" customHeight="1" x14ac:dyDescent="0.2">
      <c r="B33" s="606" t="s">
        <v>1940</v>
      </c>
      <c r="C33" s="3893"/>
      <c r="D33" s="3893"/>
      <c r="E33" s="3894"/>
      <c r="F33" s="3894"/>
      <c r="G33" s="3899"/>
      <c r="H33" s="3900"/>
      <c r="I33" s="3850">
        <v>32.007544799999998</v>
      </c>
      <c r="J33" s="3849">
        <f>Summary2!D34</f>
        <v>32.007544799999998</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10474.421237571276</v>
      </c>
      <c r="P34" s="3849">
        <f>Summary2!E35</f>
        <v>9176.0228358767399</v>
      </c>
      <c r="Q34" s="3895">
        <f t="shared" ref="Q34" si="36">IF(P34="NO",IF(O34="NO","NA",-O34),IF(O34="NO",P34,P34-O34))</f>
        <v>-1298.398401694536</v>
      </c>
      <c r="R34" s="3896">
        <f t="shared" ref="R34" si="37">IF(Q34="NA","NA",Q34/O34*100)</f>
        <v>-12.395896367402521</v>
      </c>
      <c r="S34" s="3897">
        <f>IF(Q34="NA","NA",Q34/Table8s2!$G$35*100)</f>
        <v>-0.23580269246732929</v>
      </c>
      <c r="T34" s="3898">
        <f>IF(Q34="NA","NA",Q34/Table8s2!$G$34*100)</f>
        <v>-0.21359868664571924</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220.29877310647464</v>
      </c>
      <c r="J36" s="3849">
        <f>Summary2!D37</f>
        <v>220.29877310647461</v>
      </c>
      <c r="K36" s="3895">
        <f t="shared" ref="K36" si="38">IF(J36="NO",IF(I36="NO","NA",-I36),IF(I36="NO",J36,J36-I36))</f>
        <v>-2.8421709430404007E-14</v>
      </c>
      <c r="L36" s="3895">
        <f t="shared" ref="L36" si="39">IF(K36="NA","NA",K36/I36*100)</f>
        <v>-1.2901437910717391E-14</v>
      </c>
      <c r="M36" s="3886">
        <f>IF(K36="NA","NA",K36/Table8s2!$G$35*100)</f>
        <v>-5.1616788802779619E-18</v>
      </c>
      <c r="N36" s="3887">
        <f>IF(K36="NA","NA",K36/Table8s2!$G$34*100)</f>
        <v>-4.6756371531553907E-18</v>
      </c>
      <c r="O36" s="3850">
        <v>85.885501871559313</v>
      </c>
      <c r="P36" s="3849">
        <f>Summary2!E37</f>
        <v>85.885501871559327</v>
      </c>
      <c r="Q36" s="3895">
        <f t="shared" ref="Q36" si="40">IF(P36="NO",IF(O36="NO","NA",-O36),IF(O36="NO",P36,P36-O36))</f>
        <v>1.4210854715202004E-14</v>
      </c>
      <c r="R36" s="3896">
        <f t="shared" ref="R36" si="41">IF(Q36="NA","NA",Q36/O36*100)</f>
        <v>1.6546278947585539E-14</v>
      </c>
      <c r="S36" s="3897">
        <f>IF(Q36="NA","NA",Q36/Table8s2!$G$35*100)</f>
        <v>2.5808394401389809E-18</v>
      </c>
      <c r="T36" s="3898">
        <f>IF(Q36="NA","NA",Q36/Table8s2!$G$34*100)</f>
        <v>2.3378185765776954E-18</v>
      </c>
    </row>
    <row r="37" spans="2:21" ht="18" customHeight="1" x14ac:dyDescent="0.2">
      <c r="B37" s="606" t="s">
        <v>955</v>
      </c>
      <c r="C37" s="3849">
        <v>1159.4904844523769</v>
      </c>
      <c r="D37" s="3849">
        <f>Summary2!C38</f>
        <v>1159.4904844523769</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783.69324812931677</v>
      </c>
      <c r="D38" s="3849">
        <f>Summary2!C39</f>
        <v>783.69324812931677</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53642.717751712655</v>
      </c>
      <c r="D41" s="3841">
        <f>Summary2!C42</f>
        <v>31539.95486670305</v>
      </c>
      <c r="E41" s="3931">
        <f t="shared" ref="E41" si="42">IF(D41="NO",IF(C41="NO","NA",-C41),IF(C41="NO",D41,D41-C41))</f>
        <v>-22102.762885009604</v>
      </c>
      <c r="F41" s="3931">
        <f t="shared" ref="F41" si="43">IF(E41="NA","NA",E41/C41*100)</f>
        <v>-41.203659716334798</v>
      </c>
      <c r="G41" s="3871"/>
      <c r="H41" s="3931">
        <f>IF(E41="NA","NA",E41/Table8s2!$G$34*100)</f>
        <v>-3.6361113178499589</v>
      </c>
      <c r="I41" s="3848">
        <f>SUM(I42:I49)</f>
        <v>20361.017520322453</v>
      </c>
      <c r="J41" s="3841">
        <f>Summary2!D42</f>
        <v>21009.880402554605</v>
      </c>
      <c r="K41" s="3931">
        <f t="shared" ref="K41:K46" si="44">IF(J41="NO",IF(I41="NO","NA",-I41),IF(I41="NO",J41,J41-I41))</f>
        <v>648.86288223215161</v>
      </c>
      <c r="L41" s="3931">
        <f t="shared" ref="L41:L46" si="45">IF(K41="NA","NA",K41/I41*100)</f>
        <v>3.1867900589178202</v>
      </c>
      <c r="M41" s="3891"/>
      <c r="N41" s="3932">
        <f>IF(K41="NA","NA",K41/Table8s2!$G$34*100)</f>
        <v>0.10674401576362233</v>
      </c>
      <c r="O41" s="3848">
        <f>SUM(O42:O49)</f>
        <v>4775.4624289898002</v>
      </c>
      <c r="P41" s="3841">
        <f>Summary2!E42</f>
        <v>4689.1554069522635</v>
      </c>
      <c r="Q41" s="3931">
        <f t="shared" ref="Q41" si="46">IF(P41="NO",IF(O41="NO","NA",-O41),IF(O41="NO",P41,P41-O41))</f>
        <v>-86.307022037536626</v>
      </c>
      <c r="R41" s="3931">
        <f t="shared" ref="R41" si="47">IF(Q41="NA","NA",Q41/O41*100)</f>
        <v>-1.80730187538705</v>
      </c>
      <c r="S41" s="3891"/>
      <c r="T41" s="3932">
        <f>IF(Q41="NA","NA",Q41/Table8s2!$G$34*100)</f>
        <v>-1.4198312730099959E-2</v>
      </c>
      <c r="U41" s="721"/>
    </row>
    <row r="42" spans="2:21" ht="18" customHeight="1" x14ac:dyDescent="0.2">
      <c r="B42" s="606" t="s">
        <v>1252</v>
      </c>
      <c r="C42" s="3849">
        <v>-26117.05940199579</v>
      </c>
      <c r="D42" s="3849">
        <f>Summary2!C43</f>
        <v>-22199.76670946696</v>
      </c>
      <c r="E42" s="3933">
        <f t="shared" ref="E42:E50" si="48">IF(D42="NO",IF(C42="NO","NA",-C42),IF(C42="NO",D42,D42-C42))</f>
        <v>3917.2926925288302</v>
      </c>
      <c r="F42" s="3933">
        <f t="shared" ref="F42:F50" si="49">IF(E42="NA","NA",E42/C42*100)</f>
        <v>-14.998980674790218</v>
      </c>
      <c r="G42" s="3891"/>
      <c r="H42" s="3933">
        <f>IF(E42="NA","NA",E42/Table8s2!$G$34*100)</f>
        <v>0.64443130339579857</v>
      </c>
      <c r="I42" s="3850">
        <v>8654.0047462772782</v>
      </c>
      <c r="J42" s="3849">
        <f>Summary2!D43</f>
        <v>8948.0098578221641</v>
      </c>
      <c r="K42" s="3933">
        <f t="shared" si="44"/>
        <v>294.00511154488595</v>
      </c>
      <c r="L42" s="3933">
        <f t="shared" si="45"/>
        <v>3.3973301397986768</v>
      </c>
      <c r="M42" s="3891"/>
      <c r="N42" s="3934">
        <f>IF(K42="NA","NA",K42/Table8s2!$G$34*100)</f>
        <v>4.8366591957566256E-2</v>
      </c>
      <c r="O42" s="3850">
        <v>1537.0399480145522</v>
      </c>
      <c r="P42" s="3849">
        <f>Summary2!E43</f>
        <v>1740.5170739311156</v>
      </c>
      <c r="Q42" s="3933">
        <f t="shared" ref="Q42:Q46" si="50">IF(P42="NO",IF(O42="NO","NA",-O42),IF(O42="NO",P42,P42-O42))</f>
        <v>203.47712591656341</v>
      </c>
      <c r="R42" s="3933">
        <f t="shared" ref="R42:R46" si="51">IF(Q42="NA","NA",Q42/O42*100)</f>
        <v>13.23824577099651</v>
      </c>
      <c r="S42" s="3891"/>
      <c r="T42" s="3934">
        <f>IF(Q42="NA","NA",Q42/Table8s2!$G$34*100)</f>
        <v>3.3473891219752638E-2</v>
      </c>
      <c r="U42" s="721"/>
    </row>
    <row r="43" spans="2:21" ht="18" customHeight="1" x14ac:dyDescent="0.2">
      <c r="B43" s="606" t="s">
        <v>1255</v>
      </c>
      <c r="C43" s="3849">
        <v>11084.152476448246</v>
      </c>
      <c r="D43" s="3849">
        <f>Summary2!C44</f>
        <v>6392.9286160119609</v>
      </c>
      <c r="E43" s="3933">
        <f t="shared" si="48"/>
        <v>-4691.2238604362847</v>
      </c>
      <c r="F43" s="3933">
        <f t="shared" si="49"/>
        <v>-42.323703778022356</v>
      </c>
      <c r="G43" s="3891"/>
      <c r="H43" s="3933">
        <f>IF(E43="NA","NA",E43/Table8s2!$G$34*100)</f>
        <v>-0.77175022246060443</v>
      </c>
      <c r="I43" s="3850">
        <v>57.480192000000002</v>
      </c>
      <c r="J43" s="3849">
        <f>Summary2!D44</f>
        <v>56.524311118305675</v>
      </c>
      <c r="K43" s="3933">
        <f t="shared" si="44"/>
        <v>-0.95588088169432694</v>
      </c>
      <c r="L43" s="3933">
        <f t="shared" si="45"/>
        <v>-1.6629744063734635</v>
      </c>
      <c r="M43" s="3891"/>
      <c r="N43" s="3934">
        <f>IF(K43="NA","NA",K43/Table8s2!$G$34*100)</f>
        <v>-1.5725134954971626E-4</v>
      </c>
      <c r="O43" s="3850">
        <v>39.257219678819325</v>
      </c>
      <c r="P43" s="3849">
        <f>Summary2!E44</f>
        <v>35.6051393706109</v>
      </c>
      <c r="Q43" s="3933">
        <f t="shared" si="50"/>
        <v>-3.6520803082084257</v>
      </c>
      <c r="R43" s="3933">
        <f t="shared" si="51"/>
        <v>-9.3029520126175775</v>
      </c>
      <c r="S43" s="3891"/>
      <c r="T43" s="3934">
        <f>IF(Q43="NA","NA",Q43/Table8s2!$G$34*100)</f>
        <v>-6.0080138449025646E-4</v>
      </c>
      <c r="U43" s="721"/>
    </row>
    <row r="44" spans="2:21" ht="18" customHeight="1" x14ac:dyDescent="0.2">
      <c r="B44" s="606" t="s">
        <v>1258</v>
      </c>
      <c r="C44" s="3849">
        <v>67256.970193606219</v>
      </c>
      <c r="D44" s="3849">
        <f>Summary2!C45</f>
        <v>46286.304300373326</v>
      </c>
      <c r="E44" s="3933">
        <f t="shared" si="48"/>
        <v>-20970.665893232894</v>
      </c>
      <c r="F44" s="3933">
        <f t="shared" si="49"/>
        <v>-31.179914636158362</v>
      </c>
      <c r="G44" s="3891"/>
      <c r="H44" s="3933">
        <f>IF(E44="NA","NA",E44/Table8s2!$G$34*100)</f>
        <v>-3.449870769276052</v>
      </c>
      <c r="I44" s="3850">
        <v>9071.6333890737897</v>
      </c>
      <c r="J44" s="3849">
        <f>Summary2!D45</f>
        <v>9621.4032703503981</v>
      </c>
      <c r="K44" s="3933">
        <f t="shared" si="44"/>
        <v>549.76988127660843</v>
      </c>
      <c r="L44" s="3933">
        <f t="shared" si="45"/>
        <v>6.0603185523212568</v>
      </c>
      <c r="M44" s="3891"/>
      <c r="N44" s="3934">
        <f>IF(K44="NA","NA",K44/Table8s2!$G$34*100)</f>
        <v>9.0442289858643415E-2</v>
      </c>
      <c r="O44" s="3850">
        <v>3037.5065010384328</v>
      </c>
      <c r="P44" s="3849">
        <f>Summary2!E45</f>
        <v>2740.1185784740628</v>
      </c>
      <c r="Q44" s="3933">
        <f t="shared" si="50"/>
        <v>-297.38792256437</v>
      </c>
      <c r="R44" s="3933">
        <f t="shared" si="51"/>
        <v>-9.7905279367369893</v>
      </c>
      <c r="S44" s="3891"/>
      <c r="T44" s="3934">
        <f>IF(Q44="NA","NA",Q44/Table8s2!$G$34*100)</f>
        <v>-4.8923096024414643E-2</v>
      </c>
      <c r="U44" s="721"/>
    </row>
    <row r="45" spans="2:21" ht="18" customHeight="1" x14ac:dyDescent="0.2">
      <c r="B45" s="606" t="s">
        <v>1984</v>
      </c>
      <c r="C45" s="3849">
        <v>1389.7699748607342</v>
      </c>
      <c r="D45" s="3849">
        <f>Summary2!C46</f>
        <v>1407.7458687701276</v>
      </c>
      <c r="E45" s="3933">
        <f t="shared" si="48"/>
        <v>17.975893909393335</v>
      </c>
      <c r="F45" s="3933">
        <f t="shared" si="49"/>
        <v>1.2934438241259787</v>
      </c>
      <c r="G45" s="3891"/>
      <c r="H45" s="3933">
        <f>IF(E45="NA","NA",E45/Table8s2!$G$34*100)</f>
        <v>2.9572027548078568E-3</v>
      </c>
      <c r="I45" s="3850">
        <v>2493.7277657713862</v>
      </c>
      <c r="J45" s="3849">
        <f>Summary2!D46</f>
        <v>2299.4071888992871</v>
      </c>
      <c r="K45" s="3933">
        <f t="shared" si="44"/>
        <v>-194.32057687209908</v>
      </c>
      <c r="L45" s="3933">
        <f t="shared" si="45"/>
        <v>-7.792373311125635</v>
      </c>
      <c r="M45" s="3891"/>
      <c r="N45" s="3934">
        <f>IF(K45="NA","NA",K45/Table8s2!$G$34*100)</f>
        <v>-3.1967553220913339E-2</v>
      </c>
      <c r="O45" s="3850">
        <v>104.73500455485959</v>
      </c>
      <c r="P45" s="3849">
        <f>Summary2!E46</f>
        <v>119.59521305361565</v>
      </c>
      <c r="Q45" s="3933">
        <f t="shared" si="50"/>
        <v>14.860208498756066</v>
      </c>
      <c r="R45" s="3933">
        <f t="shared" si="51"/>
        <v>14.188387695130499</v>
      </c>
      <c r="S45" s="3891"/>
      <c r="T45" s="3934">
        <f>IF(Q45="NA","NA",Q45/Table8s2!$G$34*100)</f>
        <v>2.4446433502023071E-3</v>
      </c>
      <c r="U45" s="721"/>
    </row>
    <row r="46" spans="2:21" ht="18" customHeight="1" x14ac:dyDescent="0.2">
      <c r="B46" s="606" t="s">
        <v>1985</v>
      </c>
      <c r="C46" s="3849">
        <v>4791.8709359467639</v>
      </c>
      <c r="D46" s="3849">
        <f>Summary2!C47</f>
        <v>4268.6248650799134</v>
      </c>
      <c r="E46" s="3933">
        <f t="shared" si="48"/>
        <v>-523.24607086685046</v>
      </c>
      <c r="F46" s="3933">
        <f t="shared" si="49"/>
        <v>-10.919452503231266</v>
      </c>
      <c r="G46" s="3891"/>
      <c r="H46" s="3933">
        <f>IF(E46="NA","NA",E46/Table8s2!$G$34*100)</f>
        <v>-8.6078874853687787E-2</v>
      </c>
      <c r="I46" s="3850">
        <v>84.171427199999997</v>
      </c>
      <c r="J46" s="3849">
        <f>Summary2!D47</f>
        <v>84.53577436444742</v>
      </c>
      <c r="K46" s="3933">
        <f t="shared" si="44"/>
        <v>0.36434716444742321</v>
      </c>
      <c r="L46" s="3933">
        <f t="shared" si="45"/>
        <v>0.43286323704800295</v>
      </c>
      <c r="M46" s="3891"/>
      <c r="N46" s="3934">
        <f>IF(K46="NA","NA",K46/Table8s2!$G$34*100)</f>
        <v>5.9938517875171065E-5</v>
      </c>
      <c r="O46" s="3850">
        <v>24.702480243911427</v>
      </c>
      <c r="P46" s="3849">
        <f>Summary2!E47</f>
        <v>21.098126663634361</v>
      </c>
      <c r="Q46" s="3933">
        <f t="shared" si="50"/>
        <v>-3.604353580277067</v>
      </c>
      <c r="R46" s="3933">
        <f t="shared" si="51"/>
        <v>-14.591059459162828</v>
      </c>
      <c r="S46" s="3891"/>
      <c r="T46" s="3934">
        <f>IF(Q46="NA","NA",Q46/Table8s2!$G$34*100)</f>
        <v>-5.9294989114989872E-4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-4763.3931186845784</v>
      </c>
      <c r="D48" s="3849">
        <f>Summary2!C49</f>
        <v>-4616.2887655963823</v>
      </c>
      <c r="E48" s="3933">
        <f t="shared" si="48"/>
        <v>147.10435308819615</v>
      </c>
      <c r="F48" s="3933">
        <f t="shared" si="49"/>
        <v>-3.0882261745555728</v>
      </c>
      <c r="G48" s="3891"/>
      <c r="H48" s="3933">
        <f>IF(E48="NA","NA",E48/Table8s2!$G$34*100)</f>
        <v>2.4200042589777534E-2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v>0.40669153106816663</v>
      </c>
      <c r="D49" s="3857">
        <f>Summary2!C50</f>
        <v>0.40669153106816663</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32.221275459224692</v>
      </c>
      <c r="P49" s="3857">
        <f>Summary2!E50</f>
        <v>32.221275459224692</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30.577141562580699</v>
      </c>
      <c r="D50" s="3841">
        <f>Summary2!C51</f>
        <v>30.577141562580699</v>
      </c>
      <c r="E50" s="3841">
        <f t="shared" si="48"/>
        <v>0</v>
      </c>
      <c r="F50" s="3841">
        <f t="shared" si="49"/>
        <v>0</v>
      </c>
      <c r="G50" s="3846">
        <f>IF(E50="NA","NA",E50/Table8s2!$G$35*100)</f>
        <v>0</v>
      </c>
      <c r="H50" s="3847">
        <f>IF(E50="NA","NA",E50/Table8s2!$G$34*100)</f>
        <v>0</v>
      </c>
      <c r="I50" s="3841">
        <f>SUM(I51:I55)</f>
        <v>15841.699617072796</v>
      </c>
      <c r="J50" s="3841">
        <f>Summary2!D51</f>
        <v>15825.695286188127</v>
      </c>
      <c r="K50" s="3841">
        <f t="shared" ref="K50" si="54">IF(J50="NO",IF(I50="NO","NA",-I50),IF(I50="NO",J50,J50-I50))</f>
        <v>-16.004330884668889</v>
      </c>
      <c r="L50" s="3841">
        <f t="shared" ref="L50" si="55">IF(K50="NA","NA",K50/I50*100)</f>
        <v>-0.10102660239448565</v>
      </c>
      <c r="M50" s="3846">
        <f>IF(K50="NA","NA",K50/Table8s2!$G$35*100)</f>
        <v>-2.906553419056661E-3</v>
      </c>
      <c r="N50" s="3847">
        <f>IF(K50="NA","NA",K50/Table8s2!$G$34*100)</f>
        <v>-2.6328621886374144E-3</v>
      </c>
      <c r="O50" s="3841">
        <f>SUM(O51:O55)</f>
        <v>334.34645373637721</v>
      </c>
      <c r="P50" s="3841">
        <f>Summary2!E51</f>
        <v>334.34645373637721</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12677.61692752743</v>
      </c>
      <c r="J51" s="3841">
        <f>Summary2!D52</f>
        <v>12661.612596642763</v>
      </c>
      <c r="K51" s="3841">
        <f t="shared" ref="K51:K52" si="56">IF(J51="NO",IF(I51="NO","NA",-I51),IF(I51="NO",J51,J51-I51))</f>
        <v>-16.00433088466707</v>
      </c>
      <c r="L51" s="3841">
        <f t="shared" ref="L51:L52" si="57">IF(K51="NA","NA",K51/I51*100)</f>
        <v>-0.12624084617919168</v>
      </c>
      <c r="M51" s="3846">
        <f>IF(K51="NA","NA",K51/Table8s2!$G$35*100)</f>
        <v>-2.906553419056331E-3</v>
      </c>
      <c r="N51" s="3847">
        <f>IF(K51="NA","NA",K51/Table8s2!$G$34*100)</f>
        <v>-2.6328621886371152E-3</v>
      </c>
      <c r="O51" s="3888"/>
      <c r="P51" s="3889"/>
      <c r="Q51" s="3942"/>
      <c r="R51" s="3943"/>
      <c r="S51" s="3944"/>
      <c r="T51" s="3945"/>
    </row>
    <row r="52" spans="2:21" ht="18" customHeight="1" x14ac:dyDescent="0.2">
      <c r="B52" s="1395" t="s">
        <v>1990</v>
      </c>
      <c r="C52" s="3920"/>
      <c r="D52" s="3920"/>
      <c r="E52" s="3890"/>
      <c r="F52" s="3905"/>
      <c r="G52" s="3906"/>
      <c r="H52" s="3907"/>
      <c r="I52" s="3851">
        <v>84.224112209999987</v>
      </c>
      <c r="J52" s="3849">
        <f>Summary2!D53</f>
        <v>84.224112209999987</v>
      </c>
      <c r="K52" s="3841">
        <f t="shared" si="56"/>
        <v>0</v>
      </c>
      <c r="L52" s="3841">
        <f t="shared" si="57"/>
        <v>0</v>
      </c>
      <c r="M52" s="3846">
        <f>IF(K52="NA","NA",K52/Table8s2!$G$35*100)</f>
        <v>0</v>
      </c>
      <c r="N52" s="3847">
        <f>IF(K52="NA","NA",K52/Table8s2!$G$34*100)</f>
        <v>0</v>
      </c>
      <c r="O52" s="3841">
        <v>102.03149593440001</v>
      </c>
      <c r="P52" s="3841">
        <f>Summary2!E53</f>
        <v>102.0314959344</v>
      </c>
      <c r="Q52" s="3841">
        <f t="shared" ref="Q52" si="58">IF(P52="NO",IF(O52="NO","NA",-O52),IF(O52="NO",P52,P52-O52))</f>
        <v>-1.4210854715202004E-14</v>
      </c>
      <c r="R52" s="3841">
        <f t="shared" ref="R52" si="59">IF(Q52="NA","NA",Q52/O52*100)</f>
        <v>-1.3927909793990191E-14</v>
      </c>
      <c r="S52" s="3846">
        <f>IF(Q52="NA","NA",Q52/Table8s2!$G$35*100)</f>
        <v>-2.5808394401389809E-18</v>
      </c>
      <c r="T52" s="3847">
        <f>IF(Q52="NA","NA",Q52/Table8s2!$G$34*100)</f>
        <v>-2.3378185765776954E-18</v>
      </c>
    </row>
    <row r="53" spans="2:21" ht="18" customHeight="1" x14ac:dyDescent="0.2">
      <c r="B53" s="1396" t="s">
        <v>1991</v>
      </c>
      <c r="C53" s="3841">
        <v>30.577141562580699</v>
      </c>
      <c r="D53" s="3841">
        <f>Summary2!C54</f>
        <v>30.577141562580699</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3079.8585773353661</v>
      </c>
      <c r="J54" s="3849">
        <f>Summary2!D55</f>
        <v>3079.8585773353648</v>
      </c>
      <c r="K54" s="3841">
        <f t="shared" ref="K54" si="62">IF(J54="NO",IF(I54="NO","NA",-I54),IF(I54="NO",J54,J54-I54))</f>
        <v>-1.3642420526593924E-12</v>
      </c>
      <c r="L54" s="3841">
        <f t="shared" ref="L54" si="63">IF(K54="NA","NA",K54/I54*100)</f>
        <v>-4.4295607035297966E-14</v>
      </c>
      <c r="M54" s="3846">
        <f>IF(K54="NA","NA",K54/Table8s2!$G$35*100)</f>
        <v>-2.4776058625334216E-16</v>
      </c>
      <c r="N54" s="3847">
        <f>IF(K54="NA","NA",K54/Table8s2!$G$34*100)</f>
        <v>-2.2443058335145872E-16</v>
      </c>
      <c r="O54" s="3841">
        <v>232.31495780197719</v>
      </c>
      <c r="P54" s="3841">
        <f>Summary2!E55</f>
        <v>232.31495780197719</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12188.04760448</v>
      </c>
      <c r="D59" s="3849">
        <f>Summary2!C60</f>
        <v>12141.913604479998</v>
      </c>
      <c r="E59" s="3863">
        <f t="shared" ref="E59" si="66">IF(D59="NO",IF(C59="NO","NA",-C59),IF(C59="NO",D59,D59-C59))</f>
        <v>-46.134000000001834</v>
      </c>
      <c r="F59" s="3863">
        <f t="shared" ref="F59" si="67">IF(E59="NA","NA",E59/C59*100)</f>
        <v>-0.37851837716029441</v>
      </c>
      <c r="G59" s="3864">
        <f>IF(E59="NA","NA",E59/Table8s2!$G$35*100)</f>
        <v>-8.378415592695334E-3</v>
      </c>
      <c r="H59" s="3865">
        <f>IF(E59="NA","NA",E59/Table8s2!$G$34*100)</f>
        <v>-7.589474691938442E-3</v>
      </c>
      <c r="I59" s="3849">
        <v>7.7177163102437998</v>
      </c>
      <c r="J59" s="3849">
        <f>Summary2!D60</f>
        <v>7.5883563102439018</v>
      </c>
      <c r="K59" s="3863">
        <f t="shared" ref="K59:K61" si="68">IF(J59="NO",IF(I59="NO","NA",-I59),IF(I59="NO",J59,J59-I59))</f>
        <v>-0.129359999999898</v>
      </c>
      <c r="L59" s="3863">
        <f t="shared" ref="L59:L61" si="69">IF(K59="NA","NA",K59/I59*100)</f>
        <v>-1.6761434963370865</v>
      </c>
      <c r="M59" s="3864">
        <f>IF(K59="NA","NA",K59/Table8s2!$G$35*100)</f>
        <v>-2.3493125267051865E-5</v>
      </c>
      <c r="N59" s="3865">
        <f>IF(K59="NA","NA",K59/Table8s2!$G$34*100)</f>
        <v>-2.1280930466648103E-5</v>
      </c>
      <c r="O59" s="3850">
        <v>32.545925125992994</v>
      </c>
      <c r="P59" s="3849">
        <f>Summary2!E60</f>
        <v>32.196125125993063</v>
      </c>
      <c r="Q59" s="3863">
        <f t="shared" ref="Q59" si="70">IF(P59="NO",IF(O59="NO","NA",-O59),IF(O59="NO",P59,P59-O59))</f>
        <v>-0.34979999999993083</v>
      </c>
      <c r="R59" s="3968">
        <f t="shared" ref="R59" si="71">IF(Q59="NA","NA",Q59/O59*100)</f>
        <v>-1.0747889287085006</v>
      </c>
      <c r="S59" s="3969">
        <f>IF(Q59="NA","NA",Q59/Table8s2!$G$35*100)</f>
        <v>-6.3527328528290025E-5</v>
      </c>
      <c r="T59" s="3970">
        <f>IF(Q59="NA","NA",Q59/Table8s2!$G$34*100)</f>
        <v>-5.7545373200664076E-5</v>
      </c>
    </row>
    <row r="60" spans="2:21" ht="18" customHeight="1" x14ac:dyDescent="0.2">
      <c r="B60" s="1409" t="s">
        <v>218</v>
      </c>
      <c r="C60" s="3849">
        <v>9474.0236044800004</v>
      </c>
      <c r="D60" s="3849">
        <f>Summary2!C61</f>
        <v>9474.0236044799985</v>
      </c>
      <c r="E60" s="3863">
        <f t="shared" ref="E60:E61" si="72">IF(D60="NO",IF(C60="NO","NA",-C60),IF(C60="NO",D60,D60-C60))</f>
        <v>-1.8189894035458565E-12</v>
      </c>
      <c r="F60" s="3863">
        <f t="shared" ref="F60:F61" si="73">IF(E60="NA","NA",E60/C60*100)</f>
        <v>-1.919975587442813E-14</v>
      </c>
      <c r="G60" s="3864">
        <f>IF(E60="NA","NA",E60/Table8s2!$G$35*100)</f>
        <v>-3.3034744833778956E-16</v>
      </c>
      <c r="H60" s="3865">
        <f>IF(E60="NA","NA",E60/Table8s2!$G$34*100)</f>
        <v>-2.9924077780194501E-16</v>
      </c>
      <c r="I60" s="3849">
        <v>0.4657163102438</v>
      </c>
      <c r="J60" s="3849">
        <f>Summary2!D61</f>
        <v>0.46571631024390248</v>
      </c>
      <c r="K60" s="3863">
        <f t="shared" si="68"/>
        <v>1.0247358517290195E-13</v>
      </c>
      <c r="L60" s="3863">
        <f t="shared" si="69"/>
        <v>2.2003434906382723E-11</v>
      </c>
      <c r="M60" s="3864">
        <f>IF(K60="NA","NA",K60/Table8s2!$G$35*100)</f>
        <v>1.8610271900377183E-17</v>
      </c>
      <c r="N60" s="3865">
        <f>IF(K60="NA","NA",K60/Table8s2!$G$34*100)</f>
        <v>1.6857863642040725E-17</v>
      </c>
      <c r="O60" s="3850">
        <v>12.935925125993</v>
      </c>
      <c r="P60" s="3849">
        <f>Summary2!E61</f>
        <v>12.935925125993069</v>
      </c>
      <c r="Q60" s="3863">
        <f t="shared" ref="Q60:Q61" si="74">IF(P60="NO",IF(O60="NO","NA",-O60),IF(O60="NO",P60,P60-O60))</f>
        <v>6.9277916736609768E-14</v>
      </c>
      <c r="R60" s="3968">
        <f t="shared" ref="R60:R61" si="75">IF(Q60="NA","NA",Q60/O60*100)</f>
        <v>5.3554667379301017E-13</v>
      </c>
      <c r="S60" s="3969">
        <f>IF(Q60="NA","NA",Q60/Table8s2!$G$35*100)</f>
        <v>1.2581592270677533E-17</v>
      </c>
      <c r="T60" s="3970">
        <f>IF(Q60="NA","NA",Q60/Table8s2!$G$34*100)</f>
        <v>1.1396865560816263E-17</v>
      </c>
    </row>
    <row r="61" spans="2:21" ht="18" customHeight="1" x14ac:dyDescent="0.2">
      <c r="B61" s="1410" t="s">
        <v>1963</v>
      </c>
      <c r="C61" s="3849">
        <v>2714.0239999999999</v>
      </c>
      <c r="D61" s="3849">
        <f>Summary2!C62</f>
        <v>2667.8899999999994</v>
      </c>
      <c r="E61" s="3863">
        <f t="shared" si="72"/>
        <v>-46.134000000000469</v>
      </c>
      <c r="F61" s="3863">
        <f t="shared" si="73"/>
        <v>-1.6998375843397286</v>
      </c>
      <c r="G61" s="3864">
        <f>IF(E61="NA","NA",E61/Table8s2!$G$35*100)</f>
        <v>-8.3784155926950876E-3</v>
      </c>
      <c r="H61" s="3865">
        <f>IF(E61="NA","NA",E61/Table8s2!$G$34*100)</f>
        <v>-7.5894746919382165E-3</v>
      </c>
      <c r="I61" s="3849">
        <v>7.2520000000000007</v>
      </c>
      <c r="J61" s="3849">
        <f>Summary2!D62</f>
        <v>7.1226399999999996</v>
      </c>
      <c r="K61" s="3863">
        <f t="shared" si="68"/>
        <v>-0.12936000000000103</v>
      </c>
      <c r="L61" s="3863">
        <f t="shared" si="69"/>
        <v>-1.7837837837837978</v>
      </c>
      <c r="M61" s="3864">
        <f>IF(K61="NA","NA",K61/Table8s2!$G$35*100)</f>
        <v>-2.3493125267070578E-5</v>
      </c>
      <c r="N61" s="3865">
        <f>IF(K61="NA","NA",K61/Table8s2!$G$34*100)</f>
        <v>-2.1280930466665054E-5</v>
      </c>
      <c r="O61" s="3850">
        <v>19.61</v>
      </c>
      <c r="P61" s="3849">
        <f>Summary2!E62</f>
        <v>19.260199999999998</v>
      </c>
      <c r="Q61" s="3863">
        <f t="shared" si="74"/>
        <v>-0.34980000000000189</v>
      </c>
      <c r="R61" s="3968">
        <f t="shared" si="75"/>
        <v>-1.7837837837837933</v>
      </c>
      <c r="S61" s="3969">
        <f>IF(Q61="NA","NA",Q61/Table8s2!$G$35*100)</f>
        <v>-6.3527328528302941E-5</v>
      </c>
      <c r="T61" s="3970">
        <f>IF(Q61="NA","NA",Q61/Table8s2!$G$34*100)</f>
        <v>-5.7545373200675765E-5</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14734.322020375808</v>
      </c>
      <c r="D63" s="3849">
        <f>Summary2!C64</f>
        <v>14682.810440562396</v>
      </c>
      <c r="E63" s="3863">
        <f t="shared" ref="E63:E65" si="76">IF(D63="NO",IF(C63="NO","NA",-C63),IF(C63="NO",D63,D63-C63))</f>
        <v>-51.511579813412027</v>
      </c>
      <c r="F63" s="3863">
        <f t="shared" ref="F63:F65" si="77">IF(E63="NA","NA",E63/C63*100)</f>
        <v>-0.34960264708601907</v>
      </c>
      <c r="G63" s="3864">
        <f>IF(E63="NA","NA",E63/Table8s2!$G$35*100)</f>
        <v>-9.3550401767252874E-3</v>
      </c>
      <c r="H63" s="3865">
        <f>IF(E63="NA","NA",E63/Table8s2!$G$34*100)</f>
        <v>-8.4741368911354347E-3</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273555.88923510816</v>
      </c>
      <c r="D65" s="3851">
        <f>Summary2!C66</f>
        <v>273785.94821395894</v>
      </c>
      <c r="E65" s="3979">
        <f t="shared" si="76"/>
        <v>230.05897885077866</v>
      </c>
      <c r="F65" s="3986">
        <f t="shared" si="77"/>
        <v>8.4099442894118803E-2</v>
      </c>
      <c r="G65" s="3987">
        <f>IF(E65="NA","NA",E65/Table8s2!$G$35*100)</f>
        <v>4.1781110149626162E-2</v>
      </c>
      <c r="H65" s="3988">
        <f>IF(E65="NA","NA",E65/Table8s2!$G$34*100)</f>
        <v>3.7846854763105654E-2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L14" workbookViewId="0">
      <selection activeCell="Y37" sqref="Y37"/>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6141.5462216641936</v>
      </c>
      <c r="D10" s="4021">
        <f>IF(SUM(D11:D30)=0,"NO",SUM(D11:D30))</f>
        <v>6141.5462216641909</v>
      </c>
      <c r="E10" s="4021">
        <f>IF(D10="NO",IF(C10="NO","NA",-C10),IF(C10="NO",D10,D10-C10))</f>
        <v>-2.7284841053187847E-12</v>
      </c>
      <c r="F10" s="4021">
        <f>IF(E10="NA","NA",E10/C10*100)</f>
        <v>-4.4426664016532291E-14</v>
      </c>
      <c r="G10" s="4022">
        <f>IF(E10="NA","NA",E10/$G$35*100)</f>
        <v>-4.9552117250668431E-16</v>
      </c>
      <c r="H10" s="4023">
        <f>IF(E10="NA","NA",E10/$G$34*100)</f>
        <v>-4.4886116670291744E-16</v>
      </c>
      <c r="I10" s="4024">
        <f>IF(SUM(I11:I30)=0,"NO",SUM(I11:I30))</f>
        <v>322.43408328130437</v>
      </c>
      <c r="J10" s="4024">
        <f>IF(SUM(J11:J30)=0,"NO",SUM(J11:J30))</f>
        <v>322.43408328130437</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151.50594481761419</v>
      </c>
      <c r="V10" s="4021">
        <f>IF(SUM(V11:V30)=0,"NO",SUM(V11:V30))</f>
        <v>151.50594481761419</v>
      </c>
      <c r="W10" s="4021">
        <f>IF(V10="NO",IF(U10="NO","NA",-U10),IF(U10="NO",V10,V10-U10))</f>
        <v>0</v>
      </c>
      <c r="X10" s="4025">
        <f>IF(W10="NA","NA",W10/U10*100)</f>
        <v>0</v>
      </c>
      <c r="Y10" s="4026">
        <f>IF(W10="NA","NA",W10/$G$35*100)</f>
        <v>0</v>
      </c>
      <c r="Z10" s="4023">
        <f>IF(W10="NA","NA",W10/$G$34*100)</f>
        <v>0</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322.43408328130437</v>
      </c>
      <c r="J13" s="3841">
        <f>'Table2(II)'!AH41</f>
        <v>322.43408328130437</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5735.1178756254221</v>
      </c>
      <c r="D21" s="3849">
        <f>'Table2(I)'!F46</f>
        <v>5735.1178756254203</v>
      </c>
      <c r="E21" s="3849">
        <f>IF(D21="NO",IF(C21="NO","NA",-C21),IF(C21="NO",D21,D21-C21))</f>
        <v>-1.8189894035458565E-12</v>
      </c>
      <c r="F21" s="4018">
        <f>IF(E21="NA","NA",E21/C21*100)</f>
        <v>-3.1716687311287277E-14</v>
      </c>
      <c r="G21" s="3873">
        <f>IF(E21="NA","NA",E21/$G$35*100)</f>
        <v>-3.3034744833778956E-16</v>
      </c>
      <c r="H21" s="3874">
        <f>IF(E21="NA","NA",E21/$G$34*100)</f>
        <v>-2.9924077780194501E-16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81.300990333414134</v>
      </c>
      <c r="D22" s="3849">
        <f>'Table2(I)'!F47</f>
        <v>81.300990333414148</v>
      </c>
      <c r="E22" s="3849">
        <f t="shared" ref="E22:E25" si="0">IF(D22="NO",IF(C22="NO","NA",-C22),IF(C22="NO",D22,D22-C22))</f>
        <v>1.4210854715202004E-14</v>
      </c>
      <c r="F22" s="4018">
        <f t="shared" ref="F22:F25" si="1">IF(E22="NA","NA",E22/C22*100)</f>
        <v>1.7479313175551126E-14</v>
      </c>
      <c r="G22" s="3873">
        <f t="shared" ref="G22:G25" si="2">IF(E22="NA","NA",E22/$G$35*100)</f>
        <v>2.5808394401389809E-18</v>
      </c>
      <c r="H22" s="3874">
        <f t="shared" ref="H22:H25" si="3">IF(E22="NA","NA",E22/$G$34*100)</f>
        <v>2.3378185765776954E-18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40.057429483412257</v>
      </c>
      <c r="D23" s="3849">
        <f>'Table2(I)'!F48</f>
        <v>40.057429483412264</v>
      </c>
      <c r="E23" s="3849">
        <f t="shared" si="0"/>
        <v>7.1054273576010019E-15</v>
      </c>
      <c r="F23" s="4018">
        <f t="shared" si="1"/>
        <v>1.7738101144366623E-14</v>
      </c>
      <c r="G23" s="3873">
        <f t="shared" si="2"/>
        <v>1.2904197200694905E-18</v>
      </c>
      <c r="H23" s="3874">
        <f t="shared" si="3"/>
        <v>1.1689092882888477E-18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177.06744096099172</v>
      </c>
      <c r="D24" s="3849">
        <f>'Table2(I)'!F49</f>
        <v>177.06744096099177</v>
      </c>
      <c r="E24" s="3849">
        <f t="shared" si="0"/>
        <v>5.6843418860808015E-14</v>
      </c>
      <c r="F24" s="4018">
        <f t="shared" si="1"/>
        <v>3.2102694065212548E-14</v>
      </c>
      <c r="G24" s="3873">
        <f t="shared" si="2"/>
        <v>1.0323357760555924E-17</v>
      </c>
      <c r="H24" s="3874">
        <f t="shared" si="3"/>
        <v>9.3512743063107815E-18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108.0024852609527</v>
      </c>
      <c r="D25" s="3849">
        <f>'Table2(I)'!F50</f>
        <v>108.00248526095262</v>
      </c>
      <c r="E25" s="3849">
        <f t="shared" si="0"/>
        <v>-7.1054273576010019E-14</v>
      </c>
      <c r="F25" s="4018">
        <f t="shared" si="1"/>
        <v>-6.5789480125693962E-14</v>
      </c>
      <c r="G25" s="3873">
        <f t="shared" si="2"/>
        <v>-1.2904197200694905E-17</v>
      </c>
      <c r="H25" s="3874">
        <f t="shared" si="3"/>
        <v>-1.1689092882888476E-17</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133.871024760181</v>
      </c>
      <c r="V27" s="3849">
        <f>IFERROR('Table2(I)'!I53*23500,'Table2(I)'!I53)</f>
        <v>133.87102476018109</v>
      </c>
      <c r="W27" s="3849">
        <f>IF(V27="NO",IF(U27="NO","NA",-U27),IF(U27="NO",V27,V27-U27))</f>
        <v>8.5265128291212022E-14</v>
      </c>
      <c r="X27" s="4018">
        <f>IF(W27="NA","NA",W27/U27*100)</f>
        <v>6.3691996415174628E-14</v>
      </c>
      <c r="Y27" s="3873">
        <f>IF(W27="NA","NA",W27/$G$35*100)</f>
        <v>1.5485036640833885E-17</v>
      </c>
      <c r="Z27" s="3874">
        <f>IF(W27="NA","NA",W27/$G$34*100)</f>
        <v>1.402691145946617E-17</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17.634920057433188</v>
      </c>
      <c r="V28" s="3849">
        <f>IFERROR('Table2(I)'!I54*23500,'Table2(I)'!I54)</f>
        <v>17.634920057433103</v>
      </c>
      <c r="W28" s="3849">
        <f>IF(V28="NO",IF(U28="NO","NA",-U28),IF(U28="NO",V28,V28-U28))</f>
        <v>-8.5265128291212022E-14</v>
      </c>
      <c r="X28" s="4018">
        <f>IF(W28="NA","NA",W28/U28*100)</f>
        <v>-4.8350164340706735E-13</v>
      </c>
      <c r="Y28" s="3873">
        <f>IF(W28="NA","NA",W28/$G$35*100)</f>
        <v>-1.5485036640833885E-17</v>
      </c>
      <c r="Z28" s="3874">
        <f>IF(W28="NA","NA",W28/$G$34*100)</f>
        <v>-1.402691145946617E-17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630906.55015883956</v>
      </c>
      <c r="F34" s="4548"/>
      <c r="G34" s="4547">
        <f>SUM(Table8s1!D10,Table8s1!J10,Table8s1!P10,D10,J10,P10,V10,AB10)</f>
        <v>607868.15784504137</v>
      </c>
      <c r="H34" s="4548"/>
      <c r="I34" s="3841">
        <f>G34-E34</f>
        <v>-23038.392313798191</v>
      </c>
      <c r="J34" s="4047">
        <f>IF(I34="NA","NA",I34/E34*100)</f>
        <v>-3.6516330838533775</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552127.35245781462</v>
      </c>
      <c r="F35" s="4550"/>
      <c r="G35" s="4551">
        <f>G34-SUM(Table8s1!D41,Table8s1!J41,Table8s1!P41)</f>
        <v>550629.16716883145</v>
      </c>
      <c r="H35" s="4552"/>
      <c r="I35" s="3857">
        <f>G35-E35</f>
        <v>-1498.1852889831644</v>
      </c>
      <c r="J35" s="4048">
        <f>IF(I35="NA","NA",I35/E35*100)</f>
        <v>-0.27134777552931205</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AK42" sqref="AK42"/>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1256785.7500339369</v>
      </c>
      <c r="D10" s="1938" t="s">
        <v>97</v>
      </c>
      <c r="E10" s="615"/>
      <c r="F10" s="615"/>
      <c r="G10" s="615"/>
      <c r="H10" s="1851">
        <f>IF(SUM(H11:H14)=0,"NO",SUM(H11:H14))</f>
        <v>84904.621577574842</v>
      </c>
      <c r="I10" s="1851">
        <f>IF(SUM(I11:I15)=0,"NO",SUM(I11:I15))</f>
        <v>18.098797715783043</v>
      </c>
      <c r="J10" s="2217">
        <f>IF(SUM(J11:J15)=0,"NO",SUM(J11:J15))</f>
        <v>6.5857366162518955</v>
      </c>
    </row>
    <row r="11" spans="2:11" ht="18" customHeight="1" x14ac:dyDescent="0.2">
      <c r="B11" s="282" t="s">
        <v>243</v>
      </c>
      <c r="C11" s="1938">
        <f>IF(SUM(C17:C18,C21:C24,C82,C89:C92,C100)=0,"NO",SUM(C17:C18,C21:C24,C82,C89:C92,C100))</f>
        <v>1229660.89283995</v>
      </c>
      <c r="D11" s="1934" t="s">
        <v>97</v>
      </c>
      <c r="E11" s="1938">
        <f>IFERROR(H11*1000/$C11,"NA")</f>
        <v>68.134036299829532</v>
      </c>
      <c r="F11" s="1938">
        <f t="shared" ref="F11:G15" si="0">IFERROR(I11*1000000/$C11,"NA")</f>
        <v>14.154294695900541</v>
      </c>
      <c r="G11" s="1938">
        <f t="shared" si="0"/>
        <v>5.3246019071649728</v>
      </c>
      <c r="H11" s="1938">
        <f>IF(SUM(H17:H18,H21:H24,H82,H89:H92,H100)=0,"NO",SUM(H17:H18,H21:H24,H82,H89:H92,H100))</f>
        <v>83781.759909237953</v>
      </c>
      <c r="I11" s="1938">
        <f>IF(SUM(I17:I18,I21:I24,I82,I89:I92,I100)=0,"NO",SUM(I17:I18,I21:I24,I82,I89:I92,I100))</f>
        <v>17.404982653280829</v>
      </c>
      <c r="J11" s="3064">
        <f>IF(SUM(J17:J18,J21:J24,J82,J89:J92,J100)=0,"NO",SUM(J17:J18,J21:J24,J82,J89:J92,J100))</f>
        <v>6.5474547351817813</v>
      </c>
    </row>
    <row r="12" spans="2:11" ht="18" customHeight="1" x14ac:dyDescent="0.2">
      <c r="B12" s="282" t="s">
        <v>245</v>
      </c>
      <c r="C12" s="1938">
        <f>IF(SUM(C83,C101,C97)=0,"NO",SUM(C83,C101,C97))</f>
        <v>4840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13341.408168624886</v>
      </c>
      <c r="D13" s="1934" t="s">
        <v>97</v>
      </c>
      <c r="E13" s="1938">
        <f t="shared" si="1"/>
        <v>51.411918339265007</v>
      </c>
      <c r="F13" s="1938">
        <f t="shared" si="0"/>
        <v>24.149135942572379</v>
      </c>
      <c r="G13" s="1938">
        <f t="shared" si="0"/>
        <v>0.24270085015760592</v>
      </c>
      <c r="H13" s="1938">
        <f>IF(SUM(H26,H84,H94,H102)=0,"NO",SUM(H26,H84,H94,H102))</f>
        <v>685.90738729614577</v>
      </c>
      <c r="I13" s="1938">
        <f>IF(SUM(I26,I84,I94,I102)=0,"NO",SUM(I26,I84,I94,I102))</f>
        <v>0.32218347952946796</v>
      </c>
      <c r="J13" s="3064">
        <f>IF(SUM(J26,J84,J94,J102)=0,"NO",SUM(J26,J84,J94,J102))</f>
        <v>3.2379711048248884E-3</v>
      </c>
    </row>
    <row r="14" spans="2:11" ht="18" customHeight="1" x14ac:dyDescent="0.2">
      <c r="B14" s="282" t="s">
        <v>290</v>
      </c>
      <c r="C14" s="1938">
        <f>IF(SUM(C28,C86,C96,C103)=0,"NO",SUM(C28,C86,C96,C103))</f>
        <v>4858.475866858772</v>
      </c>
      <c r="D14" s="1934" t="s">
        <v>97</v>
      </c>
      <c r="E14" s="1938">
        <f t="shared" si="1"/>
        <v>89.936493051525417</v>
      </c>
      <c r="F14" s="1938">
        <f t="shared" si="0"/>
        <v>31.878310038851144</v>
      </c>
      <c r="G14" s="1938">
        <f t="shared" si="0"/>
        <v>0.99619718871409824</v>
      </c>
      <c r="H14" s="1938">
        <f>IF(SUM(H28,H86,H96,H103)=0,"NO",SUM(H28,H86,H96,H103))</f>
        <v>436.9542810407479</v>
      </c>
      <c r="I14" s="1938">
        <f>IF(SUM(I28,I86,I96,I103)=0,"NO",SUM(I28,I86,I96,I103))</f>
        <v>0.15487999999999999</v>
      </c>
      <c r="J14" s="3064">
        <f>IF(SUM(J28,J86,J96,J103)=0,"NO",SUM(J28,J86,J96,J103))</f>
        <v>4.8399999999999997E-3</v>
      </c>
    </row>
    <row r="15" spans="2:11" ht="18" customHeight="1" x14ac:dyDescent="0.2">
      <c r="B15" s="282" t="s">
        <v>249</v>
      </c>
      <c r="C15" s="1938">
        <f>IF(SUM(C19,C27,C85,C95,C104)=0,"NO",SUM(C19,C27,C85,C95,C104))</f>
        <v>4084.9731585032087</v>
      </c>
      <c r="D15" s="1938" t="s">
        <v>97</v>
      </c>
      <c r="E15" s="1938">
        <f t="shared" si="1"/>
        <v>67.259999999999991</v>
      </c>
      <c r="F15" s="1938">
        <f t="shared" si="0"/>
        <v>53.060711677275407</v>
      </c>
      <c r="G15" s="1938">
        <f t="shared" si="0"/>
        <v>7.3939065921199676</v>
      </c>
      <c r="H15" s="1938">
        <f>IF(SUM(H19,H27,H85,H95,H104)=0,"NO",SUM(H19,H27,H85,H95,H104))</f>
        <v>274.7552946409258</v>
      </c>
      <c r="I15" s="1938">
        <f>IF(SUM(I19,I27,I85,I95,I104)=0,"NO",SUM(I19,I27,I85,I95,I104))</f>
        <v>0.2167515829727478</v>
      </c>
      <c r="J15" s="3064">
        <f>IF(SUM(J19,J27,J85,J95,J104)=0,"NO",SUM(J19,J27,J85,J95,J104))</f>
        <v>3.0203909965290002E-2</v>
      </c>
    </row>
    <row r="16" spans="2:11" ht="18" customHeight="1" x14ac:dyDescent="0.2">
      <c r="B16" s="1240" t="s">
        <v>291</v>
      </c>
      <c r="C16" s="1938">
        <f>IF(SUM(C17:C19)=0,"NO",SUM(C17:C19))</f>
        <v>96306.036971433554</v>
      </c>
      <c r="D16" s="1934" t="s">
        <v>97</v>
      </c>
      <c r="E16" s="615"/>
      <c r="F16" s="615"/>
      <c r="G16" s="615"/>
      <c r="H16" s="1938">
        <f>IF(SUM(H17:H18)=0,"NO",SUM(H17:H18))</f>
        <v>6694.6238838421123</v>
      </c>
      <c r="I16" s="1938">
        <f>IF(SUM(I17:I19)=0,"NO",SUM(I17:I19))</f>
        <v>3.3452336787374692E-2</v>
      </c>
      <c r="J16" s="3064">
        <f>IF(SUM(J17:J19)=0,"NO",SUM(J17:J19))</f>
        <v>5.2016985643273284E-2</v>
      </c>
    </row>
    <row r="17" spans="2:10" ht="18" customHeight="1" x14ac:dyDescent="0.2">
      <c r="B17" s="282" t="s">
        <v>292</v>
      </c>
      <c r="C17" s="699">
        <v>3183.1882191008467</v>
      </c>
      <c r="D17" s="1934" t="s">
        <v>97</v>
      </c>
      <c r="E17" s="1938">
        <f t="shared" ref="E17:E19" si="2">IFERROR(H17*1000/$C17,"NA")</f>
        <v>67.000000000000014</v>
      </c>
      <c r="F17" s="1938">
        <f t="shared" ref="F17:G19" si="3">IFERROR(I17*1000000/$C17,"NA")</f>
        <v>0.5</v>
      </c>
      <c r="G17" s="1938">
        <f t="shared" si="3"/>
        <v>2</v>
      </c>
      <c r="H17" s="699">
        <v>213.27361067975679</v>
      </c>
      <c r="I17" s="699">
        <v>1.5915941095504234E-3</v>
      </c>
      <c r="J17" s="2921">
        <v>6.3663764382016937E-3</v>
      </c>
    </row>
    <row r="18" spans="2:10" ht="18" customHeight="1" x14ac:dyDescent="0.2">
      <c r="B18" s="282" t="s">
        <v>293</v>
      </c>
      <c r="C18" s="699">
        <v>93122.848752332706</v>
      </c>
      <c r="D18" s="1934" t="s">
        <v>97</v>
      </c>
      <c r="E18" s="1938">
        <f t="shared" si="2"/>
        <v>69.599999999999994</v>
      </c>
      <c r="F18" s="1938">
        <f t="shared" si="3"/>
        <v>0.34213668401146463</v>
      </c>
      <c r="G18" s="1938">
        <f t="shared" si="3"/>
        <v>0.49021920846174771</v>
      </c>
      <c r="H18" s="699">
        <v>6481.3502731623557</v>
      </c>
      <c r="I18" s="699">
        <v>3.1860742677824266E-2</v>
      </c>
      <c r="J18" s="2921">
        <v>4.5650609205071586E-2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1080521.6381374085</v>
      </c>
      <c r="D20" s="1934" t="s">
        <v>97</v>
      </c>
      <c r="E20" s="615"/>
      <c r="F20" s="615"/>
      <c r="G20" s="615"/>
      <c r="H20" s="1938">
        <f>IF(SUM(H21:H24,H26,H28)=0,"NO",SUM(H21:H24,H26,H28))</f>
        <v>73083.698488217226</v>
      </c>
      <c r="I20" s="1938">
        <f>IF(SUM(I21:I24,I26:I28)=0,"NO",SUM(I21:I24,I26:I28))</f>
        <v>13.503369657247614</v>
      </c>
      <c r="J20" s="3064">
        <f>IF(SUM(J21:J24,J26:J28)=0,"NO",SUM(J21:J24,J26:J28))</f>
        <v>5.4596072427829236</v>
      </c>
    </row>
    <row r="21" spans="2:10" ht="18" customHeight="1" x14ac:dyDescent="0.2">
      <c r="B21" s="282" t="s">
        <v>281</v>
      </c>
      <c r="C21" s="1938">
        <f>IF(SUM(C31,C41,C51,C61,C72)=0,"NO",SUM(C31,C41,C51,C61,C72))</f>
        <v>625560.51000518526</v>
      </c>
      <c r="D21" s="1934" t="s">
        <v>97</v>
      </c>
      <c r="E21" s="1938">
        <f t="shared" ref="E21:E23" si="4">IFERROR(H21*1000/$C21,"NA")</f>
        <v>67.40000000000002</v>
      </c>
      <c r="F21" s="1938">
        <f t="shared" ref="F21:G23" si="5">IFERROR(I21*1000000/$C21,"NA")</f>
        <v>13.661900784775611</v>
      </c>
      <c r="G21" s="1938">
        <f t="shared" si="5"/>
        <v>7.4120609493502316</v>
      </c>
      <c r="H21" s="1938">
        <f t="shared" ref="H21:J23" si="6">IF(SUM(H31,H41,H51,H61,H72)=0,"NO",SUM(H31,H41,H51,H61,H72))</f>
        <v>42162.778374349495</v>
      </c>
      <c r="I21" s="1938">
        <f t="shared" si="6"/>
        <v>8.5463456225644716</v>
      </c>
      <c r="J21" s="3064">
        <f t="shared" si="6"/>
        <v>4.6366926276650489</v>
      </c>
    </row>
    <row r="22" spans="2:10" ht="18" customHeight="1" x14ac:dyDescent="0.2">
      <c r="B22" s="282" t="s">
        <v>282</v>
      </c>
      <c r="C22" s="1938">
        <f>IF(SUM(C32,C42,C52,C62,C73)=0,"NO",SUM(C32,C42,C52,C62,C73))</f>
        <v>390843.75105586939</v>
      </c>
      <c r="D22" s="1934" t="s">
        <v>97</v>
      </c>
      <c r="E22" s="1938">
        <f t="shared" si="4"/>
        <v>69.90000000000002</v>
      </c>
      <c r="F22" s="1938">
        <f t="shared" si="5"/>
        <v>7.6309990148926241</v>
      </c>
      <c r="G22" s="1938">
        <f t="shared" si="5"/>
        <v>1.68313498739517</v>
      </c>
      <c r="H22" s="1938">
        <f t="shared" si="6"/>
        <v>27319.978198805275</v>
      </c>
      <c r="I22" s="1938">
        <f t="shared" si="6"/>
        <v>2.9825282792842773</v>
      </c>
      <c r="J22" s="3064">
        <f t="shared" si="6"/>
        <v>0.65784279200690166</v>
      </c>
    </row>
    <row r="23" spans="2:10" ht="18" customHeight="1" x14ac:dyDescent="0.2">
      <c r="B23" s="282" t="s">
        <v>283</v>
      </c>
      <c r="C23" s="1938">
        <f>IF(SUM(C33,C43,C53,C63,C74)=0,"NO",SUM(C33,C43,C53,C63,C74))</f>
        <v>58089.999999999993</v>
      </c>
      <c r="D23" s="1934" t="s">
        <v>97</v>
      </c>
      <c r="E23" s="1938">
        <f t="shared" si="4"/>
        <v>60.200000000000017</v>
      </c>
      <c r="F23" s="1938">
        <f t="shared" si="5"/>
        <v>27.634180505602771</v>
      </c>
      <c r="G23" s="1938">
        <f t="shared" si="5"/>
        <v>2.2935131412004872</v>
      </c>
      <c r="H23" s="1938">
        <f t="shared" si="6"/>
        <v>3497.0180000000005</v>
      </c>
      <c r="I23" s="1938">
        <f t="shared" si="6"/>
        <v>1.6052695455704649</v>
      </c>
      <c r="J23" s="3064">
        <f t="shared" si="6"/>
        <v>0.13323017837233628</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2015.3669866248877</v>
      </c>
      <c r="D26" s="1934" t="s">
        <v>97</v>
      </c>
      <c r="E26" s="1938">
        <f t="shared" si="7"/>
        <v>51.411918339265</v>
      </c>
      <c r="F26" s="1938">
        <f t="shared" si="8"/>
        <v>104.1090814598828</v>
      </c>
      <c r="G26" s="1938">
        <f t="shared" si="8"/>
        <v>1.0000000000000004</v>
      </c>
      <c r="H26" s="1938">
        <f t="shared" ref="H26:J29" si="10">IF(SUM(H36,H46,H56,H66,H77)=0,"NO",SUM(H36,H46,H56,H66,H77))</f>
        <v>103.6138829400093</v>
      </c>
      <c r="I26" s="1938">
        <f t="shared" si="10"/>
        <v>0.20981800578208895</v>
      </c>
      <c r="J26" s="3064">
        <f t="shared" si="10"/>
        <v>2.0153669866248883E-3</v>
      </c>
    </row>
    <row r="27" spans="2:10" ht="18" customHeight="1" x14ac:dyDescent="0.2">
      <c r="B27" s="282" t="s">
        <v>249</v>
      </c>
      <c r="C27" s="1938">
        <f t="shared" si="9"/>
        <v>4007.7804564077046</v>
      </c>
      <c r="D27" s="1934" t="s">
        <v>97</v>
      </c>
      <c r="E27" s="1938">
        <f t="shared" si="7"/>
        <v>67.260000000000005</v>
      </c>
      <c r="F27" s="1938">
        <f t="shared" si="8"/>
        <v>39.774684711445346</v>
      </c>
      <c r="G27" s="1938">
        <f t="shared" si="8"/>
        <v>7.4420937165668484</v>
      </c>
      <c r="H27" s="1938">
        <f t="shared" si="10"/>
        <v>269.56331349798222</v>
      </c>
      <c r="I27" s="1938">
        <f t="shared" si="10"/>
        <v>0.15940820404630895</v>
      </c>
      <c r="J27" s="3064">
        <f t="shared" si="10"/>
        <v>2.9826277752011195E-2</v>
      </c>
    </row>
    <row r="28" spans="2:10" ht="18" customHeight="1" x14ac:dyDescent="0.2">
      <c r="B28" s="282" t="s">
        <v>290</v>
      </c>
      <c r="C28" s="1938">
        <f>C29</f>
        <v>4.2296333213267934</v>
      </c>
      <c r="D28" s="1934" t="s">
        <v>97</v>
      </c>
      <c r="E28" s="615"/>
      <c r="F28" s="615"/>
      <c r="G28" s="615"/>
      <c r="H28" s="1938">
        <f>H29</f>
        <v>0.31003212245325396</v>
      </c>
      <c r="I28" s="1938" t="str">
        <f>I29</f>
        <v>NE</v>
      </c>
      <c r="J28" s="3064" t="str">
        <f>J29</f>
        <v>NE</v>
      </c>
    </row>
    <row r="29" spans="2:10" ht="18" customHeight="1" x14ac:dyDescent="0.2">
      <c r="B29" s="3083" t="s">
        <v>297</v>
      </c>
      <c r="C29" s="1938">
        <f t="shared" si="9"/>
        <v>4.2296333213267934</v>
      </c>
      <c r="D29" s="1934" t="s">
        <v>97</v>
      </c>
      <c r="E29" s="3081">
        <f t="shared" ref="E29" si="11">IFERROR(H29*1000/$C29,"NA")</f>
        <v>73.300000000000011</v>
      </c>
      <c r="F29" s="3081" t="str">
        <f>IFERROR(I29*1000000/$C29,"NA")</f>
        <v>NA</v>
      </c>
      <c r="G29" s="3081" t="str">
        <f>IFERROR(J29*1000000/$C29,"NA")</f>
        <v>NA</v>
      </c>
      <c r="H29" s="1938">
        <f t="shared" si="10"/>
        <v>0.31003212245325396</v>
      </c>
      <c r="I29" s="1938" t="str">
        <f>IF(SUM(I39,I49,I59,I69,I80)=0,"NE",SUM(I39,I49,I59,I69,I80))</f>
        <v>NE</v>
      </c>
      <c r="J29" s="3064" t="str">
        <f>IF(SUM(J39,J49,J59,J69,J80)=0,"NE",SUM(J39,J49,J59,J69,J80))</f>
        <v>NE</v>
      </c>
    </row>
    <row r="30" spans="2:10" ht="18" customHeight="1" x14ac:dyDescent="0.2">
      <c r="B30" s="1241" t="s">
        <v>298</v>
      </c>
      <c r="C30" s="1938">
        <f>IF(SUM(C31:C34,C36:C38)=0,"NO",SUM(C31:C34,C36:C38))</f>
        <v>625726.87928962288</v>
      </c>
      <c r="D30" s="1934" t="s">
        <v>97</v>
      </c>
      <c r="E30" s="615"/>
      <c r="F30" s="615"/>
      <c r="G30" s="615"/>
      <c r="H30" s="1938">
        <f>IF(SUM(H31:H34,H36,H38)=0,"NO",SUM(H31:H34,H36,H38))</f>
        <v>41772.363096360576</v>
      </c>
      <c r="I30" s="1938">
        <f>IF(SUM(I31:I34,I36:I38)=0,"NO",SUM(I31:I34,I36:I38))</f>
        <v>8.616687520141987</v>
      </c>
      <c r="J30" s="3064">
        <f>IF(SUM(J31:J34,J36:J38)=0,"NO",SUM(J31:J34,J36:J38))</f>
        <v>4.4334321204275557</v>
      </c>
    </row>
    <row r="31" spans="2:10" ht="18" customHeight="1" x14ac:dyDescent="0.2">
      <c r="B31" s="282" t="s">
        <v>281</v>
      </c>
      <c r="C31" s="699">
        <v>532662.36081650958</v>
      </c>
      <c r="D31" s="1934" t="s">
        <v>97</v>
      </c>
      <c r="E31" s="1938">
        <f t="shared" ref="E31:E33" si="12">IFERROR(H31*1000/$C31,"NA")</f>
        <v>67.400000000000006</v>
      </c>
      <c r="F31" s="1938">
        <f t="shared" ref="F31:G33" si="13">IFERROR(I31*1000000/$C31,"NA")</f>
        <v>13.22381424936264</v>
      </c>
      <c r="G31" s="1938">
        <f t="shared" si="13"/>
        <v>8.0043453150935111</v>
      </c>
      <c r="H31" s="699">
        <v>35901.443119032745</v>
      </c>
      <c r="I31" s="699">
        <v>7.0438281170645034</v>
      </c>
      <c r="J31" s="2921">
        <v>4.2636134723282781</v>
      </c>
    </row>
    <row r="32" spans="2:10" ht="18" customHeight="1" x14ac:dyDescent="0.2">
      <c r="B32" s="282" t="s">
        <v>282</v>
      </c>
      <c r="C32" s="699">
        <v>48774.992635952498</v>
      </c>
      <c r="D32" s="1934" t="s">
        <v>97</v>
      </c>
      <c r="E32" s="1938">
        <f t="shared" si="12"/>
        <v>69.90000000000002</v>
      </c>
      <c r="F32" s="1938">
        <f t="shared" si="13"/>
        <v>5.9219809934612364</v>
      </c>
      <c r="G32" s="1938">
        <f t="shared" si="13"/>
        <v>1.0877296210763596</v>
      </c>
      <c r="H32" s="699">
        <v>3409.3719852530803</v>
      </c>
      <c r="I32" s="699">
        <v>0.28884457934632246</v>
      </c>
      <c r="J32" s="2921">
        <v>5.3054004257906844E-2</v>
      </c>
    </row>
    <row r="33" spans="2:10" ht="18" customHeight="1" x14ac:dyDescent="0.2">
      <c r="B33" s="282" t="s">
        <v>283</v>
      </c>
      <c r="C33" s="699">
        <v>40877.101200861791</v>
      </c>
      <c r="D33" s="1934" t="s">
        <v>97</v>
      </c>
      <c r="E33" s="1938">
        <f t="shared" si="12"/>
        <v>60.20000000000001</v>
      </c>
      <c r="F33" s="1938">
        <f t="shared" si="13"/>
        <v>28.234377695469682</v>
      </c>
      <c r="G33" s="1938">
        <f t="shared" si="13"/>
        <v>2.3058930718793338</v>
      </c>
      <c r="H33" s="699">
        <v>2460.8014922918801</v>
      </c>
      <c r="I33" s="699">
        <v>1.1541395144010691</v>
      </c>
      <c r="J33" s="2921">
        <v>9.4258224457577602E-2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14.519975270120236</v>
      </c>
      <c r="D36" s="1934" t="s">
        <v>97</v>
      </c>
      <c r="E36" s="1938">
        <f t="shared" si="14"/>
        <v>51.411918339265</v>
      </c>
      <c r="F36" s="1938">
        <f t="shared" si="15"/>
        <v>261.00000000000006</v>
      </c>
      <c r="G36" s="1938">
        <f t="shared" si="15"/>
        <v>0.99999999999999989</v>
      </c>
      <c r="H36" s="699">
        <v>0.74649978287556884</v>
      </c>
      <c r="I36" s="699">
        <v>3.789713545501382E-3</v>
      </c>
      <c r="J36" s="2921">
        <v>1.4519975270120235E-5</v>
      </c>
    </row>
    <row r="37" spans="2:10" ht="18" customHeight="1" x14ac:dyDescent="0.2">
      <c r="B37" s="282" t="s">
        <v>249</v>
      </c>
      <c r="C37" s="699">
        <v>3397.9046610288647</v>
      </c>
      <c r="D37" s="1934" t="s">
        <v>97</v>
      </c>
      <c r="E37" s="1938">
        <f t="shared" si="14"/>
        <v>67.260000000000005</v>
      </c>
      <c r="F37" s="1938">
        <f t="shared" si="15"/>
        <v>37.106866837874691</v>
      </c>
      <c r="G37" s="1938">
        <f t="shared" si="15"/>
        <v>6.6193438757969112</v>
      </c>
      <c r="H37" s="699">
        <v>228.54306750080144</v>
      </c>
      <c r="I37" s="699">
        <v>0.12608559578459183</v>
      </c>
      <c r="J37" s="2921">
        <v>2.2491899408523194E-2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186858.85603886517</v>
      </c>
      <c r="D40" s="1934" t="s">
        <v>97</v>
      </c>
      <c r="E40" s="615"/>
      <c r="F40" s="615"/>
      <c r="G40" s="615"/>
      <c r="H40" s="1938">
        <f>IF(SUM(H41:H44,H46,H48)=0,"NO",SUM(H41:H44,H46,H48))</f>
        <v>12667.774713916839</v>
      </c>
      <c r="I40" s="1938">
        <f>IF(SUM(I41:I44,I46:I48)=0,"NO",SUM(I41:I44,I46:I48))</f>
        <v>2.7952538339584798</v>
      </c>
      <c r="J40" s="3064">
        <f>IF(SUM(J41:J44,J46:J48)=0,"NO",SUM(J41:J44,J46:J48))</f>
        <v>0.50053521705773651</v>
      </c>
    </row>
    <row r="41" spans="2:10" ht="18" customHeight="1" x14ac:dyDescent="0.2">
      <c r="B41" s="282" t="s">
        <v>281</v>
      </c>
      <c r="C41" s="699">
        <v>86214.261358807533</v>
      </c>
      <c r="D41" s="1934" t="s">
        <v>97</v>
      </c>
      <c r="E41" s="1938">
        <f t="shared" ref="E41:E43" si="17">IFERROR(H41*1000/$C41,"NA")</f>
        <v>67.40000000000002</v>
      </c>
      <c r="F41" s="1938">
        <f t="shared" ref="F41:G43" si="18">IFERROR(I41*1000000/$C41,"NA")</f>
        <v>13.15940294988283</v>
      </c>
      <c r="G41" s="1938">
        <f t="shared" si="18"/>
        <v>4.2540603868231726</v>
      </c>
      <c r="H41" s="699">
        <v>5810.8412155836286</v>
      </c>
      <c r="I41" s="699">
        <v>1.1345282052470611</v>
      </c>
      <c r="J41" s="2921">
        <v>0.36676067402572282</v>
      </c>
    </row>
    <row r="42" spans="2:10" ht="18" customHeight="1" x14ac:dyDescent="0.2">
      <c r="B42" s="282" t="s">
        <v>282</v>
      </c>
      <c r="C42" s="699">
        <v>86088.657598657112</v>
      </c>
      <c r="D42" s="1934" t="s">
        <v>97</v>
      </c>
      <c r="E42" s="1938">
        <f t="shared" si="17"/>
        <v>69.899999999999977</v>
      </c>
      <c r="F42" s="1938">
        <f t="shared" si="18"/>
        <v>14.011955727455518</v>
      </c>
      <c r="G42" s="1938">
        <f t="shared" si="18"/>
        <v>1.0730978522701751</v>
      </c>
      <c r="H42" s="699">
        <v>6017.5971661461299</v>
      </c>
      <c r="I42" s="699">
        <v>1.2062704589084605</v>
      </c>
      <c r="J42" s="2921">
        <v>9.2381553573941427E-2</v>
      </c>
    </row>
    <row r="43" spans="2:10" ht="18" customHeight="1" x14ac:dyDescent="0.2">
      <c r="B43" s="282" t="s">
        <v>283</v>
      </c>
      <c r="C43" s="699">
        <v>13921.419135460705</v>
      </c>
      <c r="D43" s="1934" t="s">
        <v>97</v>
      </c>
      <c r="E43" s="1938">
        <f t="shared" si="17"/>
        <v>60.200000000000031</v>
      </c>
      <c r="F43" s="1938">
        <f t="shared" si="18"/>
        <v>29.78869871021254</v>
      </c>
      <c r="G43" s="1938">
        <f t="shared" si="18"/>
        <v>2.4447197970881991</v>
      </c>
      <c r="H43" s="699">
        <v>838.0694319547348</v>
      </c>
      <c r="I43" s="699">
        <v>0.41470096024482644</v>
      </c>
      <c r="J43" s="2921">
        <v>3.4033968964023269E-2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24.642150560975004</v>
      </c>
      <c r="D46" s="1934" t="s">
        <v>97</v>
      </c>
      <c r="E46" s="1938">
        <f t="shared" si="19"/>
        <v>51.411918339264986</v>
      </c>
      <c r="F46" s="1938">
        <f t="shared" si="20"/>
        <v>260.99999999999994</v>
      </c>
      <c r="G46" s="1938">
        <f t="shared" si="20"/>
        <v>0.99999999999999989</v>
      </c>
      <c r="H46" s="699">
        <v>1.2669002323447198</v>
      </c>
      <c r="I46" s="699">
        <v>6.4316012964144749E-3</v>
      </c>
      <c r="J46" s="2921">
        <v>2.4642150560975002E-5</v>
      </c>
    </row>
    <row r="47" spans="2:10" ht="18" customHeight="1" x14ac:dyDescent="0.2">
      <c r="B47" s="282" t="s">
        <v>249</v>
      </c>
      <c r="C47" s="699">
        <v>609.87579537884005</v>
      </c>
      <c r="D47" s="1934" t="s">
        <v>97</v>
      </c>
      <c r="E47" s="1938">
        <f t="shared" si="19"/>
        <v>67.260000000000005</v>
      </c>
      <c r="F47" s="1938">
        <f t="shared" si="20"/>
        <v>54.638351799185465</v>
      </c>
      <c r="G47" s="1938">
        <f t="shared" si="20"/>
        <v>12.026019722478189</v>
      </c>
      <c r="H47" s="699">
        <v>41.020245997180787</v>
      </c>
      <c r="I47" s="699">
        <v>3.332260826171711E-2</v>
      </c>
      <c r="J47" s="2921">
        <v>7.3343783434880027E-3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263199.37927443907</v>
      </c>
      <c r="D50" s="1934" t="s">
        <v>97</v>
      </c>
      <c r="E50" s="615"/>
      <c r="F50" s="615"/>
      <c r="G50" s="615"/>
      <c r="H50" s="1938">
        <f>IF(SUM(H51:H54,H56,H58)=0,"NO",SUM(H51:H54,H56,H58))</f>
        <v>18324.294036879153</v>
      </c>
      <c r="I50" s="1938">
        <f>IF(SUM(I51:I54,I56:I58)=0,"NO",SUM(I51:I54,I56:I58))</f>
        <v>1.7584495597499936</v>
      </c>
      <c r="J50" s="3064">
        <f>IF(SUM(J51:J54,J56:J58)=0,"NO",SUM(J51:J54,J56:J58))</f>
        <v>0.52120018871900164</v>
      </c>
    </row>
    <row r="51" spans="2:10" ht="18" customHeight="1" x14ac:dyDescent="0.2">
      <c r="B51" s="282" t="s">
        <v>281</v>
      </c>
      <c r="C51" s="699">
        <v>1951.5939287079248</v>
      </c>
      <c r="D51" s="1934" t="s">
        <v>97</v>
      </c>
      <c r="E51" s="1938">
        <f t="shared" ref="E51:E53" si="22">IFERROR(H51*1000/$C51,"NA")</f>
        <v>67.400000000000006</v>
      </c>
      <c r="F51" s="1938">
        <f t="shared" ref="F51:G53" si="23">IFERROR(I51*1000000/$C51,"NA")</f>
        <v>17.939468011634943</v>
      </c>
      <c r="G51" s="1938">
        <f t="shared" si="23"/>
        <v>0.96268219775767416</v>
      </c>
      <c r="H51" s="699">
        <v>131.53743079491414</v>
      </c>
      <c r="I51" s="699">
        <v>3.5010556855756783E-2</v>
      </c>
      <c r="J51" s="2921">
        <v>1.8787647324190787E-3</v>
      </c>
    </row>
    <row r="52" spans="2:10" ht="18" customHeight="1" x14ac:dyDescent="0.2">
      <c r="B52" s="282" t="s">
        <v>282</v>
      </c>
      <c r="C52" s="699">
        <v>255980.10082125981</v>
      </c>
      <c r="D52" s="1934" t="s">
        <v>97</v>
      </c>
      <c r="E52" s="1938">
        <f t="shared" si="22"/>
        <v>69.900000000000006</v>
      </c>
      <c r="F52" s="1938">
        <f t="shared" si="23"/>
        <v>5.8106596421262156</v>
      </c>
      <c r="G52" s="1938">
        <f t="shared" si="23"/>
        <v>2.001746356576545</v>
      </c>
      <c r="H52" s="699">
        <v>17893.009047406063</v>
      </c>
      <c r="I52" s="699">
        <v>1.4874132410294942</v>
      </c>
      <c r="J52" s="2921">
        <v>0.51240723417505341</v>
      </c>
    </row>
    <row r="53" spans="2:10" ht="18" customHeight="1" x14ac:dyDescent="0.2">
      <c r="B53" s="282" t="s">
        <v>283</v>
      </c>
      <c r="C53" s="699">
        <v>3291.4796636775018</v>
      </c>
      <c r="D53" s="1934" t="s">
        <v>97</v>
      </c>
      <c r="E53" s="1938">
        <f t="shared" si="22"/>
        <v>60.199999999999989</v>
      </c>
      <c r="F53" s="1938">
        <f t="shared" si="23"/>
        <v>11.067688288211341</v>
      </c>
      <c r="G53" s="1938">
        <f t="shared" si="23"/>
        <v>1.5002325565694981</v>
      </c>
      <c r="H53" s="699">
        <v>198.14707575338559</v>
      </c>
      <c r="I53" s="699">
        <v>3.642907092456929E-2</v>
      </c>
      <c r="J53" s="2921">
        <v>4.93798495073541E-3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1976.2048607937925</v>
      </c>
      <c r="D56" s="1934" t="s">
        <v>97</v>
      </c>
      <c r="E56" s="1938">
        <f t="shared" si="24"/>
        <v>51.411918339265</v>
      </c>
      <c r="F56" s="1938">
        <f t="shared" si="25"/>
        <v>101.00000000000003</v>
      </c>
      <c r="G56" s="1938">
        <f t="shared" si="25"/>
        <v>1.0000000000000004</v>
      </c>
      <c r="H56" s="699">
        <v>101.60048292478902</v>
      </c>
      <c r="I56" s="699">
        <v>0.1995966909401731</v>
      </c>
      <c r="J56" s="2921">
        <v>1.9762048607937931E-3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4736.5235344816238</v>
      </c>
      <c r="D60" s="1934" t="s">
        <v>97</v>
      </c>
      <c r="E60" s="615"/>
      <c r="F60" s="615"/>
      <c r="G60" s="615"/>
      <c r="H60" s="1938">
        <f>IF(SUM(H61:H64,H66,H68)=0,"NO",SUM(H61:H64,H66,H68))</f>
        <v>319.26664106065726</v>
      </c>
      <c r="I60" s="1938">
        <f>IF(SUM(I61:I64,I66:I68)=0,"NO",SUM(I61:I64,I66:I68))</f>
        <v>0.33297874339715006</v>
      </c>
      <c r="J60" s="3064">
        <f>IF(SUM(J61:J64,J66:J68)=0,"NO",SUM(J61:J64,J66:J68))</f>
        <v>4.4397165786286682E-3</v>
      </c>
    </row>
    <row r="61" spans="2:10" ht="18" customHeight="1" x14ac:dyDescent="0.2">
      <c r="B61" s="282" t="s">
        <v>281</v>
      </c>
      <c r="C61" s="699">
        <v>4732.2939011602966</v>
      </c>
      <c r="D61" s="1934" t="s">
        <v>97</v>
      </c>
      <c r="E61" s="1938">
        <f t="shared" ref="E61:E63" si="27">IFERROR(H61*1000/$C61,"NA")</f>
        <v>67.400000000000006</v>
      </c>
      <c r="F61" s="1938">
        <f t="shared" ref="F61:G63" si="28">IFERROR(I61*1000000/$C61,"NA")</f>
        <v>70.363073459048692</v>
      </c>
      <c r="G61" s="1938">
        <f t="shared" si="28"/>
        <v>0.938174312787316</v>
      </c>
      <c r="H61" s="699">
        <v>318.956608938204</v>
      </c>
      <c r="I61" s="699">
        <v>0.33297874339715006</v>
      </c>
      <c r="J61" s="2921">
        <v>4.4397165786286682E-3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4.2296333213267934</v>
      </c>
      <c r="D68" s="1934" t="s">
        <v>97</v>
      </c>
      <c r="E68" s="615"/>
      <c r="F68" s="615"/>
      <c r="G68" s="615"/>
      <c r="H68" s="1938">
        <f>H69</f>
        <v>0.31003212245325396</v>
      </c>
      <c r="I68" s="1938" t="str">
        <f>I69</f>
        <v>NE</v>
      </c>
      <c r="J68" s="3064" t="str">
        <f>J69</f>
        <v>NE</v>
      </c>
    </row>
    <row r="69" spans="2:10" ht="18" customHeight="1" x14ac:dyDescent="0.2">
      <c r="B69" s="3083" t="s">
        <v>297</v>
      </c>
      <c r="C69" s="699">
        <v>4.2296333213267934</v>
      </c>
      <c r="D69" s="1934" t="s">
        <v>97</v>
      </c>
      <c r="E69" s="3081">
        <f t="shared" ref="E69" si="31">IFERROR(H69*1000/$C69,"NA")</f>
        <v>73.300000000000011</v>
      </c>
      <c r="F69" s="3081" t="str">
        <f>IFERROR(I69*1000000/$C69,"NA")</f>
        <v>NA</v>
      </c>
      <c r="G69" s="3081" t="str">
        <f>IFERROR(J69*1000000/$C69,"NA")</f>
        <v>NA</v>
      </c>
      <c r="H69" s="699">
        <v>0.31003212245325396</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34408.337620999991</v>
      </c>
      <c r="D81" s="1934" t="s">
        <v>97</v>
      </c>
      <c r="E81" s="615"/>
      <c r="F81" s="615"/>
      <c r="G81" s="615"/>
      <c r="H81" s="1938">
        <f>IF(SUM(H82:H84,H86)=0,"NO",SUM(H82:H84,H86))</f>
        <v>2405.1621789056003</v>
      </c>
      <c r="I81" s="1938">
        <f>IF(SUM(I82:I86)=0,"NO",SUM(I82:I86))</f>
        <v>0.1376124</v>
      </c>
      <c r="J81" s="3064">
        <f>IF(SUM(J82:J86)=0,"NO",SUM(J82:J86))</f>
        <v>1.0320929999999999</v>
      </c>
    </row>
    <row r="82" spans="2:10" ht="18" customHeight="1" x14ac:dyDescent="0.2">
      <c r="B82" s="282" t="s">
        <v>243</v>
      </c>
      <c r="C82" s="699">
        <v>34408.337620999991</v>
      </c>
      <c r="D82" s="1934" t="s">
        <v>97</v>
      </c>
      <c r="E82" s="1938">
        <f t="shared" ref="E82:E85" si="37">IFERROR(H82*1000/$C82,"NA")</f>
        <v>69.900563212263094</v>
      </c>
      <c r="F82" s="1938">
        <f t="shared" ref="F82:G85" si="38">IFERROR(I82*1000000/$C82,"NA")</f>
        <v>3.9993911218777631</v>
      </c>
      <c r="G82" s="1938">
        <f t="shared" si="38"/>
        <v>29.99543341408322</v>
      </c>
      <c r="H82" s="699">
        <v>2405.1621789056003</v>
      </c>
      <c r="I82" s="699">
        <v>0.1376124</v>
      </c>
      <c r="J82" s="2921">
        <v>1.0320929999999999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28816.639974252437</v>
      </c>
      <c r="D88" s="1934" t="s">
        <v>97</v>
      </c>
      <c r="E88" s="615"/>
      <c r="F88" s="615"/>
      <c r="G88" s="615"/>
      <c r="H88" s="1938">
        <f>IF(SUM(H89:H92,H94,H96)=0,"NO",SUM(H89:H92,H94,H96))</f>
        <v>2099.2310299289406</v>
      </c>
      <c r="I88" s="3299">
        <f>IF(SUM(I89:I92,I94:I96)=0,"NE",SUM(I89:I92,I94:I96))</f>
        <v>4.3004844086974288</v>
      </c>
      <c r="J88" s="3300">
        <f>IF(SUM(J89:J92,J94:J96)=0,"NE",SUM(J89:J92,J94:J96))</f>
        <v>4.0754246441846387E-2</v>
      </c>
    </row>
    <row r="89" spans="2:10" ht="18" customHeight="1" x14ac:dyDescent="0.2">
      <c r="B89" s="282" t="s">
        <v>306</v>
      </c>
      <c r="C89" s="699">
        <v>6009.9999999999991</v>
      </c>
      <c r="D89" s="1934" t="s">
        <v>97</v>
      </c>
      <c r="E89" s="1938">
        <f t="shared" ref="E89:E91" si="40">IFERROR(H89*1000/$C89,"NA")</f>
        <v>73.599999999999994</v>
      </c>
      <c r="F89" s="1938">
        <f t="shared" ref="F89:G91" si="41">IFERROR(I89*1000000/$C89,"NA")</f>
        <v>7</v>
      </c>
      <c r="G89" s="1938">
        <f t="shared" si="41"/>
        <v>2.0000000000000004</v>
      </c>
      <c r="H89" s="699">
        <v>442.3359999999999</v>
      </c>
      <c r="I89" s="4435">
        <v>4.2069999999999996E-2</v>
      </c>
      <c r="J89" s="4436">
        <v>1.2019999999999999E-2</v>
      </c>
    </row>
    <row r="90" spans="2:10" ht="18" customHeight="1" x14ac:dyDescent="0.2">
      <c r="B90" s="282" t="s">
        <v>307</v>
      </c>
      <c r="C90" s="699">
        <v>6742.0555871828246</v>
      </c>
      <c r="D90" s="1934" t="s">
        <v>97</v>
      </c>
      <c r="E90" s="1938">
        <f t="shared" si="40"/>
        <v>69.900000000000006</v>
      </c>
      <c r="F90" s="1938">
        <f t="shared" si="41"/>
        <v>7</v>
      </c>
      <c r="G90" s="1938">
        <f t="shared" si="41"/>
        <v>2</v>
      </c>
      <c r="H90" s="699">
        <v>471.26968554407949</v>
      </c>
      <c r="I90" s="4435">
        <v>4.7194389110279775E-2</v>
      </c>
      <c r="J90" s="4436">
        <v>1.3484111174365649E-2</v>
      </c>
    </row>
    <row r="91" spans="2:10" ht="18" customHeight="1" x14ac:dyDescent="0.2">
      <c r="B91" s="282" t="s">
        <v>281</v>
      </c>
      <c r="C91" s="699">
        <v>11050</v>
      </c>
      <c r="D91" s="1934" t="s">
        <v>97</v>
      </c>
      <c r="E91" s="1938">
        <f t="shared" si="40"/>
        <v>67.400000000000006</v>
      </c>
      <c r="F91" s="1938">
        <f t="shared" si="41"/>
        <v>359.99999999999994</v>
      </c>
      <c r="G91" s="1938">
        <f t="shared" si="41"/>
        <v>0.8999999999999998</v>
      </c>
      <c r="H91" s="699">
        <v>744.77</v>
      </c>
      <c r="I91" s="4435">
        <v>3.9779999999999998</v>
      </c>
      <c r="J91" s="4436">
        <v>9.944999999999999E-3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100</v>
      </c>
      <c r="D94" s="1934" t="s">
        <v>97</v>
      </c>
      <c r="E94" s="1938">
        <f t="shared" ref="E94:E95" si="44">IFERROR(H94*1000/$C94,"NA")</f>
        <v>51.411918339265</v>
      </c>
      <c r="F94" s="1938">
        <f t="shared" si="43"/>
        <v>243.00000000000003</v>
      </c>
      <c r="G94" s="1938">
        <f t="shared" si="43"/>
        <v>1</v>
      </c>
      <c r="H94" s="699">
        <v>5.1411918339265004</v>
      </c>
      <c r="I94" s="3301">
        <v>2.4300000000000002E-2</v>
      </c>
      <c r="J94" s="3302">
        <v>1E-4</v>
      </c>
    </row>
    <row r="95" spans="2:10" ht="18" customHeight="1" x14ac:dyDescent="0.2">
      <c r="B95" s="282" t="s">
        <v>249</v>
      </c>
      <c r="C95" s="699">
        <v>73.027053496146877</v>
      </c>
      <c r="D95" s="1934" t="s">
        <v>97</v>
      </c>
      <c r="E95" s="1938">
        <f t="shared" si="44"/>
        <v>67.260000000000005</v>
      </c>
      <c r="F95" s="1938">
        <f t="shared" si="43"/>
        <v>740.00000000000011</v>
      </c>
      <c r="G95" s="1938">
        <f t="shared" si="43"/>
        <v>5</v>
      </c>
      <c r="H95" s="699">
        <v>4.9117996181508392</v>
      </c>
      <c r="I95" s="3301">
        <v>5.4040019587148692E-2</v>
      </c>
      <c r="J95" s="3302">
        <v>3.6513526748073439E-4</v>
      </c>
    </row>
    <row r="96" spans="2:10" ht="18" customHeight="1" x14ac:dyDescent="0.2">
      <c r="B96" s="282" t="s">
        <v>299</v>
      </c>
      <c r="C96" s="1938">
        <f>IF(SUM(C97:C98)=0,"NO",SUM(C97:C98))</f>
        <v>4841.5573335734643</v>
      </c>
      <c r="D96" s="1934" t="s">
        <v>97</v>
      </c>
      <c r="E96" s="615"/>
      <c r="F96" s="615"/>
      <c r="G96" s="615"/>
      <c r="H96" s="1938">
        <f>IF(SUM(H97:H98)=0,"NO",SUM(H97:H98))</f>
        <v>435.7141525509349</v>
      </c>
      <c r="I96" s="3299">
        <f>IF(SUM(I97:I98)=0,"NE",SUM(I97:I98))</f>
        <v>0.15487999999999999</v>
      </c>
      <c r="J96" s="3300">
        <f>IF(SUM(J97:J98)=0,"NE",SUM(J97:J98))</f>
        <v>4.8399999999999997E-3</v>
      </c>
    </row>
    <row r="97" spans="2:10" ht="18" customHeight="1" x14ac:dyDescent="0.2">
      <c r="B97" s="2592" t="s">
        <v>309</v>
      </c>
      <c r="C97" s="699">
        <v>4840</v>
      </c>
      <c r="D97" s="1934" t="s">
        <v>97</v>
      </c>
      <c r="E97" s="3081">
        <f t="shared" ref="E97" si="45">IFERROR(H97*1000/$C97,"NA")</f>
        <v>89.999999999999986</v>
      </c>
      <c r="F97" s="3081">
        <f>IFERROR(I97*1000000/$C97,"NA")</f>
        <v>32</v>
      </c>
      <c r="G97" s="3081">
        <f>IFERROR(J97*1000000/$C97,"NA")</f>
        <v>1</v>
      </c>
      <c r="H97" s="699">
        <v>435.59999999999997</v>
      </c>
      <c r="I97" s="3301">
        <v>0.15487999999999999</v>
      </c>
      <c r="J97" s="3302">
        <v>4.8399999999999997E-3</v>
      </c>
    </row>
    <row r="98" spans="2:10" ht="18" customHeight="1" x14ac:dyDescent="0.2">
      <c r="B98" s="2592" t="s">
        <v>297</v>
      </c>
      <c r="C98" s="699">
        <v>1.5573335734641143</v>
      </c>
      <c r="D98" s="1934" t="s">
        <v>97</v>
      </c>
      <c r="E98" s="3081">
        <f t="shared" ref="E98" si="46">IFERROR(H98*1000/$C98,"NA")</f>
        <v>73.3</v>
      </c>
      <c r="F98" s="3081" t="str">
        <f>IFERROR(I98*1000000/$C98,"NA")</f>
        <v>NA</v>
      </c>
      <c r="G98" s="3081" t="str">
        <f>IFERROR(J98*1000000/$C98,"NA")</f>
        <v>NA</v>
      </c>
      <c r="H98" s="699">
        <v>0.11415255093491958</v>
      </c>
      <c r="I98" s="3301" t="s">
        <v>221</v>
      </c>
      <c r="J98" s="3302" t="s">
        <v>221</v>
      </c>
    </row>
    <row r="99" spans="2:10" ht="18" customHeight="1" x14ac:dyDescent="0.2">
      <c r="B99" s="1240" t="s">
        <v>310</v>
      </c>
      <c r="C99" s="1938">
        <f>IF(SUM(C100:C104)=0,"NO",SUM(C100:C104))</f>
        <v>11893.097329842534</v>
      </c>
      <c r="D99" s="1934" t="s">
        <v>97</v>
      </c>
      <c r="E99" s="615"/>
      <c r="F99" s="615"/>
      <c r="G99" s="615"/>
      <c r="H99" s="1938">
        <f>IF(SUM(H100:H103)=0,"NO",SUM(H100:H103))</f>
        <v>621.90599668098764</v>
      </c>
      <c r="I99" s="1938">
        <f>IF(SUM(I100:I104)=0,"NO",SUM(I100:I104))</f>
        <v>0.12387891305062908</v>
      </c>
      <c r="J99" s="3064">
        <f>IF(SUM(J100:J104)=0,"NO",SUM(J100:J104))</f>
        <v>1.2651413838539109E-3</v>
      </c>
    </row>
    <row r="100" spans="2:10" ht="18" customHeight="1" x14ac:dyDescent="0.2">
      <c r="B100" s="282" t="s">
        <v>243</v>
      </c>
      <c r="C100" s="1938">
        <f>IF(SUM(C106,C113:C116)=0,"NO",SUM(C106,C113:C116))</f>
        <v>650.20159927919792</v>
      </c>
      <c r="D100" s="1934" t="s">
        <v>97</v>
      </c>
      <c r="E100" s="3081">
        <f t="shared" ref="E100:E104" si="47">IFERROR(H100*1000/$C100,"NA")</f>
        <v>67.400000000000006</v>
      </c>
      <c r="F100" s="3081">
        <f t="shared" ref="F100:G104" si="48">IFERROR(I100*1000000/$C100,"NA")</f>
        <v>50.000000000000007</v>
      </c>
      <c r="G100" s="3081">
        <f t="shared" si="48"/>
        <v>0.20000000000000004</v>
      </c>
      <c r="H100" s="1938">
        <f>IF(SUM(H106,H113:H116)=0,"NO",SUM(H106,H113:H116))</f>
        <v>43.823587791417943</v>
      </c>
      <c r="I100" s="1938">
        <f>IF(SUM(I106,I113:I116)=0,"NO",SUM(I106,I113:I116))</f>
        <v>3.2510079963959902E-2</v>
      </c>
      <c r="J100" s="3064">
        <f>IF(SUM(J106,J113:J116)=0,"NO",SUM(J106,J113:J116))</f>
        <v>1.3004031985583962E-4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11226.041181999999</v>
      </c>
      <c r="D102" s="1934" t="s">
        <v>97</v>
      </c>
      <c r="E102" s="3081">
        <f t="shared" si="47"/>
        <v>51.411918339265007</v>
      </c>
      <c r="F102" s="3081">
        <f t="shared" si="48"/>
        <v>7.8447488584474909</v>
      </c>
      <c r="G102" s="3081">
        <f t="shared" si="48"/>
        <v>0.10000000000000002</v>
      </c>
      <c r="H102" s="1938">
        <f t="shared" si="49"/>
        <v>577.15231252220997</v>
      </c>
      <c r="I102" s="1938">
        <f t="shared" si="49"/>
        <v>8.8065473747379011E-2</v>
      </c>
      <c r="J102" s="3064">
        <f t="shared" si="49"/>
        <v>1.1226041182000001E-3</v>
      </c>
    </row>
    <row r="103" spans="2:10" ht="18" customHeight="1" x14ac:dyDescent="0.2">
      <c r="B103" s="282" t="s">
        <v>290</v>
      </c>
      <c r="C103" s="1938">
        <f>IF(SUM(C109,C120)=0,"NO",SUM(C109,C120))</f>
        <v>12.688899963980379</v>
      </c>
      <c r="D103" s="1934" t="s">
        <v>97</v>
      </c>
      <c r="E103" s="3081">
        <f t="shared" si="47"/>
        <v>73.3</v>
      </c>
      <c r="F103" s="3081" t="str">
        <f t="shared" si="48"/>
        <v>NA</v>
      </c>
      <c r="G103" s="3081" t="str">
        <f t="shared" si="48"/>
        <v>NA</v>
      </c>
      <c r="H103" s="1938">
        <f t="shared" si="49"/>
        <v>0.93009636735976176</v>
      </c>
      <c r="I103" s="1938" t="str">
        <f t="shared" si="49"/>
        <v>NO</v>
      </c>
      <c r="J103" s="3064" t="str">
        <f t="shared" si="49"/>
        <v>NO</v>
      </c>
    </row>
    <row r="104" spans="2:10" ht="18" customHeight="1" x14ac:dyDescent="0.2">
      <c r="B104" s="282" t="s">
        <v>249</v>
      </c>
      <c r="C104" s="1938">
        <f>IF(SUM(C110,C121)=0,"NO",SUM(C110,C121))</f>
        <v>4.1656485993570822</v>
      </c>
      <c r="D104" s="1934" t="s">
        <v>97</v>
      </c>
      <c r="E104" s="3081">
        <f t="shared" si="47"/>
        <v>67.260000000000005</v>
      </c>
      <c r="F104" s="3081">
        <f t="shared" si="48"/>
        <v>793.00000000000011</v>
      </c>
      <c r="G104" s="3081">
        <f t="shared" si="48"/>
        <v>3</v>
      </c>
      <c r="H104" s="1938">
        <f t="shared" si="49"/>
        <v>0.28018152479275737</v>
      </c>
      <c r="I104" s="1938">
        <f t="shared" si="49"/>
        <v>3.3033593392901668E-3</v>
      </c>
      <c r="J104" s="3064">
        <f t="shared" si="49"/>
        <v>1.2496945798071247E-5</v>
      </c>
    </row>
    <row r="105" spans="2:10" ht="18" customHeight="1" x14ac:dyDescent="0.2">
      <c r="B105" s="1243" t="s">
        <v>311</v>
      </c>
      <c r="C105" s="1938">
        <f>IF(SUM(C106:C110)=0,"NO",SUM(C106:C110))</f>
        <v>11226.041181999999</v>
      </c>
      <c r="D105" s="1934" t="s">
        <v>97</v>
      </c>
      <c r="E105" s="615"/>
      <c r="F105" s="615"/>
      <c r="G105" s="615"/>
      <c r="H105" s="1938">
        <f>IF(SUM(H106:H109)=0,"NO",SUM(H106:H109))</f>
        <v>577.15231252220997</v>
      </c>
      <c r="I105" s="1938">
        <f>IF(SUM(I106:I110)=0,"NO",SUM(I106:I110))</f>
        <v>8.8065473747379011E-2</v>
      </c>
      <c r="J105" s="3064">
        <f>IF(SUM(J106:J110)=0,"NO",SUM(J106:J110))</f>
        <v>1.1226041182000001E-3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11226.041181999999</v>
      </c>
      <c r="D108" s="1934" t="s">
        <v>97</v>
      </c>
      <c r="E108" s="3081">
        <f t="shared" si="50"/>
        <v>51.411918339265007</v>
      </c>
      <c r="F108" s="3081">
        <f t="shared" si="51"/>
        <v>7.8447488584474909</v>
      </c>
      <c r="G108" s="3081">
        <f t="shared" si="51"/>
        <v>0.10000000000000002</v>
      </c>
      <c r="H108" s="699">
        <v>577.15231252220997</v>
      </c>
      <c r="I108" s="699">
        <v>8.8065473747379011E-2</v>
      </c>
      <c r="J108" s="2921">
        <v>1.1226041182000001E-3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667.05614784253532</v>
      </c>
      <c r="D111" s="1934" t="s">
        <v>97</v>
      </c>
      <c r="E111" s="615"/>
      <c r="F111" s="615"/>
      <c r="G111" s="615"/>
      <c r="H111" s="1938">
        <f>H112</f>
        <v>44.753684158777702</v>
      </c>
      <c r="I111" s="1938">
        <f>I112</f>
        <v>3.5813439303250066E-2</v>
      </c>
      <c r="J111" s="3064">
        <f>J112</f>
        <v>1.4253726565391085E-4</v>
      </c>
    </row>
    <row r="112" spans="2:10" ht="18" customHeight="1" x14ac:dyDescent="0.2">
      <c r="B112" s="3068" t="s">
        <v>313</v>
      </c>
      <c r="C112" s="3077">
        <f>IF(SUM(C113:C116,C118:C121)=0,"NO",SUM(C113:C116,C118:C121))</f>
        <v>667.05614784253532</v>
      </c>
      <c r="D112" s="3077" t="s">
        <v>97</v>
      </c>
      <c r="E112" s="615"/>
      <c r="F112" s="615"/>
      <c r="G112" s="615"/>
      <c r="H112" s="3077">
        <f>IF(SUM(H113:H116,H118:H120)=0,"NO",SUM(H113:H116,H118:H120))</f>
        <v>44.753684158777702</v>
      </c>
      <c r="I112" s="3077">
        <f>IF(SUM(I113:I116,I118:I121)=0,"NO",SUM(I113:I116,I118:I121))</f>
        <v>3.5813439303250066E-2</v>
      </c>
      <c r="J112" s="3078">
        <f>IF(SUM(J113:J116,J118:J121)=0,"NO",SUM(J113:J116,J118:J121))</f>
        <v>1.4253726565391085E-4</v>
      </c>
    </row>
    <row r="113" spans="2:10" ht="18" customHeight="1" x14ac:dyDescent="0.2">
      <c r="B113" s="282" t="s">
        <v>281</v>
      </c>
      <c r="C113" s="699">
        <v>650.20159927919792</v>
      </c>
      <c r="D113" s="1938" t="s">
        <v>97</v>
      </c>
      <c r="E113" s="1938">
        <f t="shared" ref="E113:E115" si="52">IFERROR(H113*1000/$C113,"NA")</f>
        <v>67.400000000000006</v>
      </c>
      <c r="F113" s="1938">
        <f t="shared" ref="F113:G115" si="53">IFERROR(I113*1000000/$C113,"NA")</f>
        <v>50.000000000000007</v>
      </c>
      <c r="G113" s="1938">
        <f t="shared" si="53"/>
        <v>0.20000000000000004</v>
      </c>
      <c r="H113" s="699">
        <v>43.823587791417943</v>
      </c>
      <c r="I113" s="699">
        <v>3.2510079963959902E-2</v>
      </c>
      <c r="J113" s="2921">
        <v>1.3004031985583962E-4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12.688899963980379</v>
      </c>
      <c r="D120" s="1934" t="s">
        <v>97</v>
      </c>
      <c r="E120" s="3081">
        <f t="shared" si="54"/>
        <v>73.3</v>
      </c>
      <c r="F120" s="3081" t="str">
        <f t="shared" si="55"/>
        <v>NA</v>
      </c>
      <c r="G120" s="3081" t="str">
        <f t="shared" si="55"/>
        <v>NA</v>
      </c>
      <c r="H120" s="699">
        <v>0.93009636735976176</v>
      </c>
      <c r="I120" s="699" t="s">
        <v>221</v>
      </c>
      <c r="J120" s="2921" t="s">
        <v>221</v>
      </c>
    </row>
    <row r="121" spans="2:10" ht="18" customHeight="1" thickBot="1" x14ac:dyDescent="0.25">
      <c r="B121" s="2210" t="s">
        <v>249</v>
      </c>
      <c r="C121" s="1562">
        <v>4.1656485993570822</v>
      </c>
      <c r="D121" s="2891" t="s">
        <v>97</v>
      </c>
      <c r="E121" s="3082">
        <f t="shared" si="54"/>
        <v>67.260000000000005</v>
      </c>
      <c r="F121" s="3082">
        <f t="shared" si="55"/>
        <v>793.00000000000011</v>
      </c>
      <c r="G121" s="3082">
        <f t="shared" si="55"/>
        <v>3</v>
      </c>
      <c r="H121" s="1562">
        <v>0.28018152479275737</v>
      </c>
      <c r="I121" s="1562">
        <v>3.3033593392901668E-3</v>
      </c>
      <c r="J121" s="1564">
        <v>1.2496945798071247E-5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388083.37358338566</v>
      </c>
      <c r="D10" s="3087" t="s">
        <v>97</v>
      </c>
      <c r="E10" s="2161"/>
      <c r="F10" s="2161"/>
      <c r="G10" s="2161"/>
      <c r="H10" s="3087">
        <f>IF(SUM(H11:H15)=0,"NO",SUM(H11:H15))</f>
        <v>19338.074952012557</v>
      </c>
      <c r="I10" s="3087">
        <f>IF(SUM(I11:I16)=0,"NO",SUM(I11:I16))</f>
        <v>43.030722902667712</v>
      </c>
      <c r="J10" s="3087">
        <f>IF(SUM(J11:J16)=0,"NO",SUM(J11:J16))</f>
        <v>0.64613034760809573</v>
      </c>
      <c r="K10" s="416" t="str">
        <f>IF(SUM(K11:K16)=0,"NO",SUM(K11:K16))</f>
        <v>NO</v>
      </c>
    </row>
    <row r="11" spans="2:12" ht="18" customHeight="1" x14ac:dyDescent="0.2">
      <c r="B11" s="282" t="s">
        <v>243</v>
      </c>
      <c r="C11" s="1938">
        <f>IF(SUM(C18,C39,C60)=0,"NO",SUM(C18,C39,C60))</f>
        <v>138578.70751013962</v>
      </c>
      <c r="D11" s="3087" t="s">
        <v>97</v>
      </c>
      <c r="E11" s="1938">
        <f t="shared" ref="E11:E16" si="0">IFERROR(H11*1000/$C11,"NA")</f>
        <v>68.331323885495905</v>
      </c>
      <c r="F11" s="1938">
        <f t="shared" ref="F11:G16" si="1">IFERROR(I11*1000000/$C11,"NA")</f>
        <v>9.5488314428360876</v>
      </c>
      <c r="G11" s="1938">
        <f t="shared" si="1"/>
        <v>2.6172469211528444</v>
      </c>
      <c r="H11" s="1938">
        <f>IF(SUM(H18,H39,H60)=0,"NO",SUM(H18,H39,H60))</f>
        <v>9469.2665465087539</v>
      </c>
      <c r="I11" s="1938">
        <f>IF(SUM(I18,I39,I60)=0,"NO",SUM(I18,I39,I60))</f>
        <v>1.3232647195804068</v>
      </c>
      <c r="J11" s="1938">
        <f>IF(SUM(J18,J39,J60)=0,"NO",SUM(J18,J39,J60))</f>
        <v>0.36269469556825346</v>
      </c>
      <c r="K11" s="3064" t="str">
        <f>IF(SUM(K18,K39,K60)=0,"NO",SUM(K18,K39,K60))</f>
        <v>NO</v>
      </c>
    </row>
    <row r="12" spans="2:12" ht="18" customHeight="1" x14ac:dyDescent="0.2">
      <c r="B12" s="282" t="s">
        <v>245</v>
      </c>
      <c r="C12" s="1938">
        <f t="shared" ref="C12:C16" si="2">IF(SUM(C19,C40,C61)=0,"NO",SUM(C19,C40,C61))</f>
        <v>1539.6210523202276</v>
      </c>
      <c r="D12" s="3087" t="s">
        <v>97</v>
      </c>
      <c r="E12" s="1938">
        <f t="shared" si="0"/>
        <v>92.858495844047525</v>
      </c>
      <c r="F12" s="1938">
        <f t="shared" si="1"/>
        <v>0.95238095238095233</v>
      </c>
      <c r="G12" s="1938">
        <f t="shared" si="1"/>
        <v>0.66666666666666674</v>
      </c>
      <c r="H12" s="1938">
        <f t="shared" ref="H12:K16" si="3">IF(SUM(H19,H40,H61)=0,"NO",SUM(H19,H40,H61))</f>
        <v>142.96689508828592</v>
      </c>
      <c r="I12" s="1938">
        <f t="shared" si="3"/>
        <v>1.4663057641145024E-3</v>
      </c>
      <c r="J12" s="1938">
        <f t="shared" si="3"/>
        <v>1.0264140348801517E-3</v>
      </c>
      <c r="K12" s="3064" t="str">
        <f t="shared" si="3"/>
        <v>NO</v>
      </c>
    </row>
    <row r="13" spans="2:12" ht="18" customHeight="1" x14ac:dyDescent="0.2">
      <c r="B13" s="282" t="s">
        <v>246</v>
      </c>
      <c r="C13" s="1938">
        <f t="shared" si="2"/>
        <v>189098.90920366053</v>
      </c>
      <c r="D13" s="3087" t="s">
        <v>97</v>
      </c>
      <c r="E13" s="1938">
        <f t="shared" si="0"/>
        <v>51.432562733298127</v>
      </c>
      <c r="F13" s="1938">
        <f t="shared" si="1"/>
        <v>0.90909090909090928</v>
      </c>
      <c r="G13" s="1938">
        <f t="shared" si="1"/>
        <v>0.90909090909090928</v>
      </c>
      <c r="H13" s="1938">
        <f t="shared" si="3"/>
        <v>9725.8415104155174</v>
      </c>
      <c r="I13" s="1938">
        <f t="shared" si="3"/>
        <v>0.17190809927605505</v>
      </c>
      <c r="J13" s="1938">
        <f t="shared" si="3"/>
        <v>0.17190809927605505</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58866.135817265327</v>
      </c>
      <c r="D16" s="3087" t="s">
        <v>97</v>
      </c>
      <c r="E16" s="1938">
        <f t="shared" si="0"/>
        <v>77.474968926507515</v>
      </c>
      <c r="F16" s="1938">
        <f t="shared" si="1"/>
        <v>705.56837477796989</v>
      </c>
      <c r="G16" s="1938">
        <f t="shared" si="1"/>
        <v>1.8771597149153683</v>
      </c>
      <c r="H16" s="1938">
        <f t="shared" si="3"/>
        <v>4560.6520432662028</v>
      </c>
      <c r="I16" s="1938">
        <f t="shared" si="3"/>
        <v>41.534083778047133</v>
      </c>
      <c r="J16" s="1938">
        <f t="shared" si="3"/>
        <v>0.11050113872890713</v>
      </c>
      <c r="K16" s="3064" t="str">
        <f t="shared" si="3"/>
        <v>NO</v>
      </c>
    </row>
    <row r="17" spans="2:11" ht="18" customHeight="1" x14ac:dyDescent="0.2">
      <c r="B17" s="1240" t="s">
        <v>322</v>
      </c>
      <c r="C17" s="3087">
        <f>IF(SUM(C18:C23)=0,"NO",SUM(C18:C23))</f>
        <v>82449.633014101943</v>
      </c>
      <c r="D17" s="3087" t="s">
        <v>97</v>
      </c>
      <c r="E17" s="615"/>
      <c r="F17" s="615"/>
      <c r="G17" s="615"/>
      <c r="H17" s="3057">
        <f>IF(SUM(H18:H22)=0,"NO",SUM(H18:H22))</f>
        <v>4841.3548908914563</v>
      </c>
      <c r="I17" s="3057">
        <f>IF(SUM(I18:I23)=0,"NO",SUM(I18:I23))</f>
        <v>0.10703895079394607</v>
      </c>
      <c r="J17" s="3088">
        <f>IF(SUM(J18:J23)=0,"NO",SUM(J18:J23))</f>
        <v>8.8171441288575986E-2</v>
      </c>
      <c r="K17" s="3064" t="str">
        <f>IF(SUM(K18:K23)=0,"NO",SUM(K18:K23))</f>
        <v>NO</v>
      </c>
    </row>
    <row r="18" spans="2:11" ht="18" customHeight="1" x14ac:dyDescent="0.2">
      <c r="B18" s="282" t="s">
        <v>243</v>
      </c>
      <c r="C18" s="3087">
        <f>IF(SUM(C26,C33)=0,"NO",SUM(C26,C33))</f>
        <v>32782.829130593782</v>
      </c>
      <c r="D18" s="3087" t="s">
        <v>97</v>
      </c>
      <c r="E18" s="1938">
        <f t="shared" ref="E18" si="4">IFERROR(H18*1000/$C18,"NA")</f>
        <v>68.783068475771373</v>
      </c>
      <c r="F18" s="1938">
        <f t="shared" ref="F18:G23" si="5">IFERROR(I18*1000000/$C18,"NA")</f>
        <v>1.8104988780826168</v>
      </c>
      <c r="G18" s="1938">
        <f t="shared" si="5"/>
        <v>1.2784212629184246</v>
      </c>
      <c r="H18" s="3087">
        <f>IF(SUM(H26,H33)=0,"NO",SUM(H26,H33))</f>
        <v>2254.9035809191446</v>
      </c>
      <c r="I18" s="3087">
        <f>IF(SUM(I26,I33)=0,"NO",SUM(I26,I33))</f>
        <v>5.935327536131417E-2</v>
      </c>
      <c r="J18" s="3087">
        <f>IF(SUM(J26,J33)=0,"NO",SUM(J26,J33))</f>
        <v>4.1910265819172621E-2</v>
      </c>
      <c r="K18" s="3064" t="str">
        <f>IF(SUM(K26,K33)=0,"NO",SUM(K26,K33))</f>
        <v>NO</v>
      </c>
    </row>
    <row r="19" spans="2:11" ht="18" customHeight="1" x14ac:dyDescent="0.2">
      <c r="B19" s="282" t="s">
        <v>245</v>
      </c>
      <c r="C19" s="3087">
        <f t="shared" ref="C19:C21" si="6">IF(SUM(C27,C34)=0,"NO",SUM(C27,C34))</f>
        <v>1497.2331990636608</v>
      </c>
      <c r="D19" s="3087" t="s">
        <v>97</v>
      </c>
      <c r="E19" s="1938">
        <f t="shared" ref="E19:E23" si="7">IFERROR(H19*1000/$C19,"NA")</f>
        <v>92.797868171639777</v>
      </c>
      <c r="F19" s="1938">
        <f t="shared" si="5"/>
        <v>0.95238095238095233</v>
      </c>
      <c r="G19" s="1938">
        <f t="shared" si="5"/>
        <v>0.66666666666666663</v>
      </c>
      <c r="H19" s="3087">
        <f t="shared" ref="H19:K21" si="8">IF(SUM(H27,H34)=0,"NO",SUM(H27,H34))</f>
        <v>138.94004902891209</v>
      </c>
      <c r="I19" s="3087">
        <f t="shared" si="8"/>
        <v>1.4259363800606293E-3</v>
      </c>
      <c r="J19" s="3087">
        <f t="shared" si="8"/>
        <v>9.9815546604244045E-4</v>
      </c>
      <c r="K19" s="3064" t="str">
        <f t="shared" si="8"/>
        <v>NO</v>
      </c>
    </row>
    <row r="20" spans="2:11" ht="18" customHeight="1" x14ac:dyDescent="0.2">
      <c r="B20" s="282" t="s">
        <v>246</v>
      </c>
      <c r="C20" s="3087">
        <f t="shared" si="6"/>
        <v>47578.474111109972</v>
      </c>
      <c r="D20" s="3087" t="s">
        <v>97</v>
      </c>
      <c r="E20" s="1938">
        <f t="shared" si="7"/>
        <v>51.441566941128222</v>
      </c>
      <c r="F20" s="1938">
        <f t="shared" si="5"/>
        <v>0.90909090909090906</v>
      </c>
      <c r="G20" s="1938">
        <f t="shared" si="5"/>
        <v>0.90909090909090906</v>
      </c>
      <c r="H20" s="3087">
        <f t="shared" si="8"/>
        <v>2447.5112609433995</v>
      </c>
      <c r="I20" s="3087">
        <f t="shared" si="8"/>
        <v>4.3253158282827241E-2</v>
      </c>
      <c r="J20" s="3087">
        <f t="shared" si="8"/>
        <v>4.3253158282827241E-2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591.0965733345314</v>
      </c>
      <c r="D23" s="3087" t="s">
        <v>97</v>
      </c>
      <c r="E23" s="1938">
        <f t="shared" si="7"/>
        <v>72.202613701719116</v>
      </c>
      <c r="F23" s="1938">
        <f t="shared" si="5"/>
        <v>5.0864459470355454</v>
      </c>
      <c r="G23" s="1938">
        <f t="shared" si="5"/>
        <v>3.4002256335128536</v>
      </c>
      <c r="H23" s="3087">
        <f>IF(SUM(H31,H37)=0,"NO",SUM(H31,H37))</f>
        <v>42.67871754488305</v>
      </c>
      <c r="I23" s="3087">
        <f>IF(SUM(I31,I37)=0,"NO",SUM(I31,I37))</f>
        <v>3.0065807697440263E-3</v>
      </c>
      <c r="J23" s="3087">
        <f>IF(SUM(J31,J37)=0,"NO",SUM(J31,J37))</f>
        <v>2.0098617205336839E-3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82449.633014101943</v>
      </c>
      <c r="D25" s="3057" t="s">
        <v>97</v>
      </c>
      <c r="E25" s="615"/>
      <c r="F25" s="615"/>
      <c r="G25" s="615"/>
      <c r="H25" s="3057">
        <f>IF(SUM(H26:H30)=0,"NO",SUM(H26:H30))</f>
        <v>4841.3548908914563</v>
      </c>
      <c r="I25" s="3057">
        <f>IF(SUM(I26:I31)=0,"NO",SUM(I26:I31))</f>
        <v>0.10703895079394607</v>
      </c>
      <c r="J25" s="3088">
        <f>IF(SUM(J26:J31)=0,"NO",SUM(J26:J31))</f>
        <v>8.8171441288575986E-2</v>
      </c>
      <c r="K25" s="3064" t="str">
        <f>IF(SUM(K26:K31)=0,"NO",SUM(K26:K31))</f>
        <v>NO</v>
      </c>
    </row>
    <row r="26" spans="2:11" ht="18" customHeight="1" x14ac:dyDescent="0.2">
      <c r="B26" s="282" t="s">
        <v>243</v>
      </c>
      <c r="C26" s="699">
        <v>32782.829130593782</v>
      </c>
      <c r="D26" s="3057" t="s">
        <v>97</v>
      </c>
      <c r="E26" s="1938">
        <f t="shared" ref="E26:E31" si="9">IFERROR(H26*1000/$C26,"NA")</f>
        <v>68.783068475771373</v>
      </c>
      <c r="F26" s="1938">
        <f t="shared" ref="F26:G31" si="10">IFERROR(I26*1000000/$C26,"NA")</f>
        <v>1.8104988780826168</v>
      </c>
      <c r="G26" s="1938">
        <f t="shared" si="10"/>
        <v>1.2784212629184246</v>
      </c>
      <c r="H26" s="699">
        <v>2254.9035809191446</v>
      </c>
      <c r="I26" s="699">
        <v>5.935327536131417E-2</v>
      </c>
      <c r="J26" s="699">
        <v>4.1910265819172621E-2</v>
      </c>
      <c r="K26" s="2921" t="s">
        <v>199</v>
      </c>
    </row>
    <row r="27" spans="2:11" ht="18" customHeight="1" x14ac:dyDescent="0.2">
      <c r="B27" s="282" t="s">
        <v>245</v>
      </c>
      <c r="C27" s="699">
        <v>1497.2331990636608</v>
      </c>
      <c r="D27" s="3057" t="s">
        <v>97</v>
      </c>
      <c r="E27" s="1938">
        <f t="shared" si="9"/>
        <v>92.797868171639777</v>
      </c>
      <c r="F27" s="1938">
        <f t="shared" si="10"/>
        <v>0.95238095238095233</v>
      </c>
      <c r="G27" s="1938">
        <f t="shared" si="10"/>
        <v>0.66666666666666663</v>
      </c>
      <c r="H27" s="699">
        <v>138.94004902891209</v>
      </c>
      <c r="I27" s="699">
        <v>1.4259363800606293E-3</v>
      </c>
      <c r="J27" s="699">
        <v>9.9815546604244045E-4</v>
      </c>
      <c r="K27" s="2921" t="s">
        <v>199</v>
      </c>
    </row>
    <row r="28" spans="2:11" ht="18" customHeight="1" x14ac:dyDescent="0.2">
      <c r="B28" s="282" t="s">
        <v>246</v>
      </c>
      <c r="C28" s="699">
        <v>47578.474111109972</v>
      </c>
      <c r="D28" s="3057" t="s">
        <v>97</v>
      </c>
      <c r="E28" s="1938">
        <f t="shared" si="9"/>
        <v>51.441566941128222</v>
      </c>
      <c r="F28" s="1938">
        <f t="shared" si="10"/>
        <v>0.90909090909090906</v>
      </c>
      <c r="G28" s="1938">
        <f t="shared" si="10"/>
        <v>0.90909090909090906</v>
      </c>
      <c r="H28" s="699">
        <v>2447.5112609433995</v>
      </c>
      <c r="I28" s="699">
        <v>4.3253158282827241E-2</v>
      </c>
      <c r="J28" s="699">
        <v>4.3253158282827241E-2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591.0965733345314</v>
      </c>
      <c r="D31" s="3057" t="s">
        <v>97</v>
      </c>
      <c r="E31" s="1938">
        <f t="shared" si="9"/>
        <v>72.202613701719116</v>
      </c>
      <c r="F31" s="1938">
        <f t="shared" si="10"/>
        <v>5.0864459470355454</v>
      </c>
      <c r="G31" s="1938">
        <f t="shared" si="10"/>
        <v>3.4002256335128536</v>
      </c>
      <c r="H31" s="699">
        <v>42.67871754488305</v>
      </c>
      <c r="I31" s="699">
        <v>3.0065807697440263E-3</v>
      </c>
      <c r="J31" s="699">
        <v>2.0098617205336839E-3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220051.34056928378</v>
      </c>
      <c r="D38" s="3057" t="s">
        <v>97</v>
      </c>
      <c r="E38" s="615"/>
      <c r="F38" s="615"/>
      <c r="G38" s="615"/>
      <c r="H38" s="1938">
        <f>IF(SUM(H39:H43)=0,"NO",SUM(H39:H43))</f>
        <v>8545.8740709203867</v>
      </c>
      <c r="I38" s="1938">
        <f>IF(SUM(I39:I44)=0,"NO",SUM(I39:I44))</f>
        <v>42.404500108583719</v>
      </c>
      <c r="J38" s="1938">
        <f>IF(SUM(J39:J44)=0,"NO",SUM(J39:J44))</f>
        <v>0.24885382493423833</v>
      </c>
      <c r="K38" s="3064" t="str">
        <f>IF(SUM(K39:K44)=0,"NO",SUM(K39:K44))</f>
        <v>NO</v>
      </c>
    </row>
    <row r="39" spans="2:11" ht="18" customHeight="1" x14ac:dyDescent="0.2">
      <c r="B39" s="282" t="s">
        <v>243</v>
      </c>
      <c r="C39" s="3087">
        <f>IF(SUM(C47,C54)=0,"NO",SUM(C47,C54))</f>
        <v>20333.478379545842</v>
      </c>
      <c r="D39" s="3057" t="s">
        <v>97</v>
      </c>
      <c r="E39" s="1938">
        <f t="shared" ref="E39:E44" si="13">IFERROR(H39*1000/$C39,"NA")</f>
        <v>62.443148284300918</v>
      </c>
      <c r="F39" s="1938">
        <f t="shared" ref="F39:G44" si="14">IFERROR(I39*1000000/$C39,"NA")</f>
        <v>36.631051408665897</v>
      </c>
      <c r="G39" s="1938">
        <f t="shared" si="14"/>
        <v>0.5797551728654895</v>
      </c>
      <c r="H39" s="1938">
        <f>IF(SUM(H47,H54)=0,"NO",SUM(H47,H54))</f>
        <v>1269.6864055896078</v>
      </c>
      <c r="I39" s="1938">
        <f>IF(SUM(I47,I54)=0,"NO",SUM(I47,I54))</f>
        <v>0.74483669183814027</v>
      </c>
      <c r="J39" s="1938">
        <f>IF(SUM(J47,J54)=0,"NO",SUM(J47,J54))</f>
        <v>1.1788439272890293E-2</v>
      </c>
      <c r="K39" s="3064" t="str">
        <f>IF(SUM(K47,K54)=0,"NO",SUM(K47,K54))</f>
        <v>NO</v>
      </c>
    </row>
    <row r="40" spans="2:11" ht="18" customHeight="1" x14ac:dyDescent="0.2">
      <c r="B40" s="282" t="s">
        <v>245</v>
      </c>
      <c r="C40" s="3087">
        <f t="shared" ref="C40:C42" si="15">IF(SUM(C48,C55)=0,"NO",SUM(C48,C55))</f>
        <v>42.387853256566792</v>
      </c>
      <c r="D40" s="3057" t="s">
        <v>97</v>
      </c>
      <c r="E40" s="1938">
        <f t="shared" si="13"/>
        <v>95</v>
      </c>
      <c r="F40" s="1938">
        <f t="shared" si="14"/>
        <v>0.95238095238095222</v>
      </c>
      <c r="G40" s="1938">
        <f t="shared" si="14"/>
        <v>0.66666666666666663</v>
      </c>
      <c r="H40" s="1938">
        <f t="shared" ref="H40:K42" si="16">IF(SUM(H48,H55)=0,"NO",SUM(H48,H55))</f>
        <v>4.0268460593738453</v>
      </c>
      <c r="I40" s="1938">
        <f t="shared" si="16"/>
        <v>4.0369384053873128E-5</v>
      </c>
      <c r="J40" s="1938">
        <f t="shared" si="16"/>
        <v>2.8258568837711194E-5</v>
      </c>
      <c r="K40" s="3064" t="str">
        <f t="shared" si="16"/>
        <v>NO</v>
      </c>
    </row>
    <row r="41" spans="2:11" ht="18" customHeight="1" x14ac:dyDescent="0.2">
      <c r="B41" s="282" t="s">
        <v>246</v>
      </c>
      <c r="C41" s="3087">
        <f t="shared" si="15"/>
        <v>141400.43509255056</v>
      </c>
      <c r="D41" s="3057" t="s">
        <v>97</v>
      </c>
      <c r="E41" s="1938">
        <f t="shared" si="13"/>
        <v>51.429550513840866</v>
      </c>
      <c r="F41" s="1938">
        <f t="shared" si="14"/>
        <v>0.90909090909090917</v>
      </c>
      <c r="G41" s="1938">
        <f t="shared" si="14"/>
        <v>0.90909090909090917</v>
      </c>
      <c r="H41" s="1938">
        <f t="shared" si="16"/>
        <v>7272.1608192714057</v>
      </c>
      <c r="I41" s="1938">
        <f t="shared" si="16"/>
        <v>0.12854585008413688</v>
      </c>
      <c r="J41" s="1938">
        <f t="shared" si="16"/>
        <v>0.12854585008413688</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58275.039243930798</v>
      </c>
      <c r="D44" s="3057" t="s">
        <v>97</v>
      </c>
      <c r="E44" s="1938">
        <f t="shared" si="13"/>
        <v>77.528447588164525</v>
      </c>
      <c r="F44" s="1938">
        <f t="shared" si="14"/>
        <v>712.67351744602638</v>
      </c>
      <c r="G44" s="1938">
        <f t="shared" si="14"/>
        <v>1.8617109214503453</v>
      </c>
      <c r="H44" s="1938">
        <f>IF(SUM(H52,H58)=0,"NO",SUM(H52,H58))</f>
        <v>4517.9733257213202</v>
      </c>
      <c r="I44" s="1938">
        <f>IF(SUM(I52,I58)=0,"NO",SUM(I52,I58))</f>
        <v>41.531077197277391</v>
      </c>
      <c r="J44" s="1938">
        <f>IF(SUM(J52,J58)=0,"NO",SUM(J52,J58))</f>
        <v>0.10849127700837344</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215979.72213803942</v>
      </c>
      <c r="D46" s="3057" t="s">
        <v>97</v>
      </c>
      <c r="E46" s="615"/>
      <c r="F46" s="615"/>
      <c r="G46" s="615"/>
      <c r="H46" s="1938">
        <f>IF(SUM(H47:H51)=0,"NO",SUM(H47:H51))</f>
        <v>8268.2334551478689</v>
      </c>
      <c r="I46" s="1938">
        <f>IF(SUM(I47:I52)=0,"NO",SUM(I47:I52))</f>
        <v>41.657093819840199</v>
      </c>
      <c r="J46" s="1938">
        <f>IF(SUM(J47:J52)=0,"NO",SUM(J47:J52))</f>
        <v>0.24710594744183009</v>
      </c>
      <c r="K46" s="3064" t="str">
        <f>IF(SUM(K47:K52)=0,"NO",SUM(K47:K52))</f>
        <v>NO</v>
      </c>
    </row>
    <row r="47" spans="2:11" ht="18" customHeight="1" x14ac:dyDescent="0.2">
      <c r="B47" s="282" t="s">
        <v>243</v>
      </c>
      <c r="C47" s="699">
        <v>16287.779539586389</v>
      </c>
      <c r="D47" s="3057" t="s">
        <v>97</v>
      </c>
      <c r="E47" s="1938">
        <f t="shared" ref="E47:E52" si="17">IFERROR(H47*1000/$C47,"NA")</f>
        <v>60.907368460261011</v>
      </c>
      <c r="F47" s="1938">
        <f t="shared" ref="F47:G52" si="18">IFERROR(I47*1000000/$C47,"NA")</f>
        <v>1.0198382538925481</v>
      </c>
      <c r="G47" s="1938">
        <f t="shared" si="18"/>
        <v>0.62440430951245374</v>
      </c>
      <c r="H47" s="699">
        <v>992.04578981708858</v>
      </c>
      <c r="I47" s="699">
        <v>1.6610900645438551E-2</v>
      </c>
      <c r="J47" s="699">
        <v>1.0170159736906511E-2</v>
      </c>
      <c r="K47" s="2921" t="s">
        <v>199</v>
      </c>
    </row>
    <row r="48" spans="2:11" ht="18" customHeight="1" x14ac:dyDescent="0.2">
      <c r="B48" s="282" t="s">
        <v>245</v>
      </c>
      <c r="C48" s="699">
        <v>42.387853256566792</v>
      </c>
      <c r="D48" s="3057" t="s">
        <v>97</v>
      </c>
      <c r="E48" s="1938">
        <f t="shared" si="17"/>
        <v>95</v>
      </c>
      <c r="F48" s="1938">
        <f t="shared" si="18"/>
        <v>0.95238095238095222</v>
      </c>
      <c r="G48" s="1938">
        <f t="shared" si="18"/>
        <v>0.66666666666666663</v>
      </c>
      <c r="H48" s="699">
        <v>4.0268460593738453</v>
      </c>
      <c r="I48" s="699">
        <v>4.0369384053873128E-5</v>
      </c>
      <c r="J48" s="699">
        <v>2.8258568837711194E-5</v>
      </c>
      <c r="K48" s="2921" t="s">
        <v>199</v>
      </c>
    </row>
    <row r="49" spans="2:11" ht="18" customHeight="1" x14ac:dyDescent="0.2">
      <c r="B49" s="282" t="s">
        <v>246</v>
      </c>
      <c r="C49" s="699">
        <v>141400.43509255056</v>
      </c>
      <c r="D49" s="3057" t="s">
        <v>97</v>
      </c>
      <c r="E49" s="1938">
        <f t="shared" si="17"/>
        <v>51.429550513840866</v>
      </c>
      <c r="F49" s="1938">
        <f t="shared" si="18"/>
        <v>0.90909090909090917</v>
      </c>
      <c r="G49" s="1938">
        <f t="shared" si="18"/>
        <v>0.90909090909090917</v>
      </c>
      <c r="H49" s="699">
        <v>7272.1608192714057</v>
      </c>
      <c r="I49" s="699">
        <v>0.12854585008413688</v>
      </c>
      <c r="J49" s="699">
        <v>0.12854585008413688</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58249.11965264591</v>
      </c>
      <c r="D52" s="3057" t="s">
        <v>97</v>
      </c>
      <c r="E52" s="1938">
        <f t="shared" si="17"/>
        <v>77.533016823995098</v>
      </c>
      <c r="F52" s="1938">
        <f t="shared" si="18"/>
        <v>712.66135775566056</v>
      </c>
      <c r="G52" s="1938">
        <f t="shared" si="18"/>
        <v>1.8603144510704508</v>
      </c>
      <c r="H52" s="699">
        <v>4516.2299740114986</v>
      </c>
      <c r="I52" s="699">
        <v>41.51189669972657</v>
      </c>
      <c r="J52" s="699">
        <v>0.10836167905194899</v>
      </c>
      <c r="K52" s="2921" t="s">
        <v>199</v>
      </c>
    </row>
    <row r="53" spans="2:11" ht="18" customHeight="1" x14ac:dyDescent="0.2">
      <c r="B53" s="1241" t="s">
        <v>329</v>
      </c>
      <c r="C53" s="3057">
        <f>IF(SUM(C54:C58)=0,"NO",SUM(C54:C58))</f>
        <v>4071.6184312443434</v>
      </c>
      <c r="D53" s="3057" t="s">
        <v>97</v>
      </c>
      <c r="E53" s="615"/>
      <c r="F53" s="615"/>
      <c r="G53" s="615"/>
      <c r="H53" s="3057">
        <f>IF(SUM(H54:H57)=0,"NO",SUM(H54:H57))</f>
        <v>277.64061577251931</v>
      </c>
      <c r="I53" s="3057">
        <f>IF(SUM(I54:I58)=0,"NO",SUM(I54:I58))</f>
        <v>0.74740628874351922</v>
      </c>
      <c r="J53" s="3057">
        <f>IF(SUM(J54:J58)=0,"NO",SUM(J54:J58))</f>
        <v>1.7478774924082245E-3</v>
      </c>
      <c r="K53" s="2931"/>
    </row>
    <row r="54" spans="2:11" ht="18" customHeight="1" x14ac:dyDescent="0.2">
      <c r="B54" s="282" t="s">
        <v>243</v>
      </c>
      <c r="C54" s="699">
        <v>4045.6988399594547</v>
      </c>
      <c r="D54" s="3057" t="s">
        <v>97</v>
      </c>
      <c r="E54" s="1938">
        <f t="shared" ref="E54:E58" si="19">IFERROR(H54*1000/$C54,"NA")</f>
        <v>68.626120419606366</v>
      </c>
      <c r="F54" s="1938">
        <f t="shared" ref="F54:G58" si="20">IFERROR(I54*1000000/$C54,"NA")</f>
        <v>179.99999999999994</v>
      </c>
      <c r="G54" s="1938">
        <f t="shared" si="20"/>
        <v>0.4</v>
      </c>
      <c r="H54" s="699">
        <v>277.64061577251931</v>
      </c>
      <c r="I54" s="699">
        <v>0.7282257911927017</v>
      </c>
      <c r="J54" s="699">
        <v>1.6182795359837819E-3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25.919591284888515</v>
      </c>
      <c r="D58" s="3057" t="s">
        <v>97</v>
      </c>
      <c r="E58" s="1938">
        <f t="shared" si="19"/>
        <v>67.260000000000005</v>
      </c>
      <c r="F58" s="1938">
        <f t="shared" si="20"/>
        <v>739.99999999999989</v>
      </c>
      <c r="G58" s="1938">
        <f t="shared" si="20"/>
        <v>5.0000000000000009</v>
      </c>
      <c r="H58" s="699">
        <v>1.7433517098216016</v>
      </c>
      <c r="I58" s="699">
        <v>1.9180497550817497E-2</v>
      </c>
      <c r="J58" s="699">
        <v>1.2959795642444259E-4</v>
      </c>
      <c r="K58" s="2931"/>
    </row>
    <row r="59" spans="2:11" ht="18" customHeight="1" x14ac:dyDescent="0.2">
      <c r="B59" s="1244" t="s">
        <v>330</v>
      </c>
      <c r="C59" s="3057">
        <f>IF(SUM(C60:C65)=0,"NO",SUM(C60:C65))</f>
        <v>85582.400000000009</v>
      </c>
      <c r="D59" s="3057" t="s">
        <v>97</v>
      </c>
      <c r="E59" s="615"/>
      <c r="F59" s="615"/>
      <c r="G59" s="615"/>
      <c r="H59" s="1938">
        <f>IF(SUM(H60:H64)=0,"NO",SUM(H60:H64))</f>
        <v>5950.8459902007135</v>
      </c>
      <c r="I59" s="1938">
        <f>IF(SUM(I60:I65)=0,"NO",SUM(I60:I65))</f>
        <v>0.5191838432900433</v>
      </c>
      <c r="J59" s="1938">
        <f>IF(SUM(J60:J65)=0,"NO",SUM(J60:J65))</f>
        <v>0.30910508138528142</v>
      </c>
      <c r="K59" s="3064" t="str">
        <f>IF(SUM(K60:K65)=0,"NO",SUM(K60:K65))</f>
        <v>NO</v>
      </c>
    </row>
    <row r="60" spans="2:11" ht="18" customHeight="1" x14ac:dyDescent="0.2">
      <c r="B60" s="282" t="s">
        <v>243</v>
      </c>
      <c r="C60" s="1938">
        <f>IF(SUM(C67,C74:C77,C84:C87)=0,"NO",SUM(C67,C74:C77,C84:C87))</f>
        <v>85462.400000000009</v>
      </c>
      <c r="D60" s="3057" t="s">
        <v>97</v>
      </c>
      <c r="E60" s="1938">
        <f t="shared" ref="E60:E65" si="21">IFERROR(H60*1000/$C60,"NA")</f>
        <v>69.558970494626891</v>
      </c>
      <c r="F60" s="1938">
        <f t="shared" ref="F60:G65" si="22">IFERROR(I60*1000000/$C60,"NA")</f>
        <v>6.0737207518271461</v>
      </c>
      <c r="G60" s="1938">
        <f t="shared" si="22"/>
        <v>3.6155782013632951</v>
      </c>
      <c r="H60" s="1938">
        <f>IF(SUM(H67,H74:H77,H84:H87)=0,"NO",SUM(H67,H74:H77,H84:H87))</f>
        <v>5944.6765600000017</v>
      </c>
      <c r="I60" s="1938">
        <f>IF(SUM(I67,I74:I77,I84:I87)=0,"NO",SUM(I67,I74:I77,I84:I87))</f>
        <v>0.51907475238095235</v>
      </c>
      <c r="J60" s="1938">
        <f>IF(SUM(J67,J74:J77,J84:J87)=0,"NO",SUM(J67,J74:J77,J84:J87))</f>
        <v>0.30899599047619053</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120.00000000000003</v>
      </c>
      <c r="D62" s="3057" t="s">
        <v>97</v>
      </c>
      <c r="E62" s="1938">
        <f t="shared" si="21"/>
        <v>51.411918339265</v>
      </c>
      <c r="F62" s="1938">
        <f t="shared" si="22"/>
        <v>0.90909090909090906</v>
      </c>
      <c r="G62" s="1938">
        <f t="shared" si="22"/>
        <v>0.90909090909090906</v>
      </c>
      <c r="H62" s="1938">
        <f>IF(SUM(H69,H79,H89)=0,"NO",SUM(H69,H79,H89))</f>
        <v>6.1694302007118011</v>
      </c>
      <c r="I62" s="1938">
        <f>IF(SUM(I69,I79,I89)=0,"NO",SUM(I69,I79,I89))</f>
        <v>1.0909090909090911E-4</v>
      </c>
      <c r="J62" s="1938">
        <f>IF(SUM(J69,J79,J89)=0,"NO",SUM(J69,J79,J89))</f>
        <v>1.0909090909090911E-4</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85582.400000000009</v>
      </c>
      <c r="D66" s="3057" t="s">
        <v>97</v>
      </c>
      <c r="E66" s="2135"/>
      <c r="F66" s="2135"/>
      <c r="G66" s="2135"/>
      <c r="H66" s="1938">
        <f>IF(SUM(H67:H71)=0,"NO",SUM(H67:H71))</f>
        <v>5950.8459902007135</v>
      </c>
      <c r="I66" s="1938">
        <f>IF(SUM(I67:I72)=0,"NO",SUM(I67:I72))</f>
        <v>0.5191838432900433</v>
      </c>
      <c r="J66" s="1938">
        <f>IF(SUM(J67:J72)=0,"NO",SUM(J67:J72))</f>
        <v>0.30910508138528142</v>
      </c>
      <c r="K66" s="3064" t="str">
        <f>IF(SUM(K67:K72)=0,"NO",SUM(K67:K72))</f>
        <v>NO</v>
      </c>
    </row>
    <row r="67" spans="2:11" ht="18" customHeight="1" x14ac:dyDescent="0.2">
      <c r="B67" s="282" t="s">
        <v>243</v>
      </c>
      <c r="C67" s="699">
        <v>85462.400000000009</v>
      </c>
      <c r="D67" s="3057" t="s">
        <v>97</v>
      </c>
      <c r="E67" s="1938">
        <f t="shared" ref="E67:E72" si="23">IFERROR(H67*1000/$C67,"NA")</f>
        <v>69.558970494626891</v>
      </c>
      <c r="F67" s="1938">
        <f t="shared" ref="F67:G72" si="24">IFERROR(I67*1000000/$C67,"NA")</f>
        <v>6.0737207518271461</v>
      </c>
      <c r="G67" s="1938">
        <f t="shared" si="24"/>
        <v>3.6155782013632951</v>
      </c>
      <c r="H67" s="699">
        <v>5944.6765600000017</v>
      </c>
      <c r="I67" s="699">
        <v>0.51907475238095235</v>
      </c>
      <c r="J67" s="699">
        <v>0.30899599047619053</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120.00000000000003</v>
      </c>
      <c r="D69" s="3057" t="s">
        <v>97</v>
      </c>
      <c r="E69" s="1938">
        <f t="shared" si="23"/>
        <v>51.411918339265</v>
      </c>
      <c r="F69" s="1938">
        <f t="shared" si="24"/>
        <v>0.90909090909090906</v>
      </c>
      <c r="G69" s="1938">
        <f t="shared" si="24"/>
        <v>0.90909090909090906</v>
      </c>
      <c r="H69" s="699">
        <v>6.1694302007118011</v>
      </c>
      <c r="I69" s="699">
        <v>1.0909090909090911E-4</v>
      </c>
      <c r="J69" s="699">
        <v>1.0909090909090911E-4</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11882.945417771401</v>
      </c>
      <c r="D93" s="3057" t="s">
        <v>97</v>
      </c>
      <c r="E93" s="2160"/>
      <c r="F93" s="2160"/>
      <c r="G93" s="2160"/>
      <c r="H93" s="3087">
        <f>IF(SUM(H94:H98)=0,"NO",SUM(H94:H98))</f>
        <v>827.39892461234956</v>
      </c>
      <c r="I93" s="3087">
        <f>IF(SUM(I94:I99)=0,"NO",SUM(I94:I99))</f>
        <v>2.8504465377779512E-2</v>
      </c>
      <c r="J93" s="3091">
        <f>IF(SUM(J94:J99)=0,"NO",SUM(J94:J99))</f>
        <v>2.3215144807204369E-2</v>
      </c>
      <c r="K93" s="442" t="str">
        <f>IF(SUM(K94:K99)=0,"NO",SUM(K94:K99))</f>
        <v>NO</v>
      </c>
    </row>
    <row r="94" spans="2:11" ht="18" customHeight="1" x14ac:dyDescent="0.2">
      <c r="B94" s="282" t="s">
        <v>243</v>
      </c>
      <c r="C94" s="1938">
        <f>IF(SUM(C102,C110)=0,"NO",SUM(C102,C110))</f>
        <v>11881.961415090125</v>
      </c>
      <c r="D94" s="1938" t="s">
        <v>97</v>
      </c>
      <c r="E94" s="1938">
        <f t="shared" ref="E94:E99" si="32">IFERROR(H94*1000/$C94,"NA")</f>
        <v>69.634877248595558</v>
      </c>
      <c r="F94" s="1938">
        <f t="shared" ref="F94:G99" si="33">IFERROR(I94*1000000/$C94,"NA")</f>
        <v>2.3332975325368701</v>
      </c>
      <c r="G94" s="1938">
        <f t="shared" si="33"/>
        <v>1.953565744598446</v>
      </c>
      <c r="H94" s="1938">
        <f t="shared" ref="H94:K97" si="34">IF(SUM(H102,H110)=0,"NO",SUM(H102,H110))</f>
        <v>827.39892461234956</v>
      </c>
      <c r="I94" s="1938">
        <f t="shared" si="34"/>
        <v>2.7724151251528086E-2</v>
      </c>
      <c r="J94" s="1938">
        <f t="shared" si="34"/>
        <v>2.3212192799160543E-2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0.9840026812754431</v>
      </c>
      <c r="D99" s="1938" t="s">
        <v>97</v>
      </c>
      <c r="E99" s="1938">
        <f t="shared" si="32"/>
        <v>67.260000000000005</v>
      </c>
      <c r="F99" s="1938">
        <f t="shared" si="33"/>
        <v>792.99999999999989</v>
      </c>
      <c r="G99" s="1938">
        <f t="shared" si="33"/>
        <v>2.9999999999999991</v>
      </c>
      <c r="H99" s="1938">
        <f>IF(SUM(H107,H114)=0,"NO",SUM(H107,H114))</f>
        <v>6.6184020342586303E-2</v>
      </c>
      <c r="I99" s="1938">
        <f>IF(SUM(I107,I114)=0,"NO",SUM(I107,I114))</f>
        <v>7.8031412625142625E-4</v>
      </c>
      <c r="J99" s="1938">
        <f>IF(SUM(J107,J114)=0,"NO",SUM(J107,J114))</f>
        <v>2.9520080438263284E-6</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11882.945417771401</v>
      </c>
      <c r="D108" s="1938" t="s">
        <v>97</v>
      </c>
      <c r="E108" s="1957"/>
      <c r="F108" s="1957"/>
      <c r="G108" s="1957"/>
      <c r="H108" s="3057">
        <f>H109</f>
        <v>827.39892461234956</v>
      </c>
      <c r="I108" s="3057">
        <f>I109</f>
        <v>2.8504465377779512E-2</v>
      </c>
      <c r="J108" s="3088">
        <f>J109</f>
        <v>2.3215144807204369E-2</v>
      </c>
      <c r="K108" s="2931"/>
    </row>
    <row r="109" spans="2:11" ht="18" customHeight="1" x14ac:dyDescent="0.2">
      <c r="B109" s="3103" t="s">
        <v>339</v>
      </c>
      <c r="C109" s="3077">
        <f>IF(SUM(C110:C114)=0,"NO",SUM(C110:C114))</f>
        <v>11882.945417771401</v>
      </c>
      <c r="D109" s="1938" t="s">
        <v>97</v>
      </c>
      <c r="E109" s="615"/>
      <c r="F109" s="615"/>
      <c r="G109" s="615"/>
      <c r="H109" s="3077">
        <f>IF(SUM(H110:H113)=0,"NO",SUM(H110:H113))</f>
        <v>827.39892461234956</v>
      </c>
      <c r="I109" s="3077">
        <f>IF(SUM(I110:I114)=0,"NO",SUM(I110:I114))</f>
        <v>2.8504465377779512E-2</v>
      </c>
      <c r="J109" s="3077">
        <f>IF(SUM(J110:J114)=0,"NO",SUM(J110:J114))</f>
        <v>2.3215144807204369E-2</v>
      </c>
      <c r="K109" s="2931"/>
    </row>
    <row r="110" spans="2:11" ht="18" customHeight="1" x14ac:dyDescent="0.2">
      <c r="B110" s="282" t="s">
        <v>243</v>
      </c>
      <c r="C110" s="699">
        <v>11881.961415090125</v>
      </c>
      <c r="D110" s="1938" t="s">
        <v>97</v>
      </c>
      <c r="E110" s="1938">
        <f t="shared" ref="E110:E114" si="37">IFERROR(H110*1000/$C110,"NA")</f>
        <v>69.634877248595558</v>
      </c>
      <c r="F110" s="1938">
        <f t="shared" ref="F110:G114" si="38">IFERROR(I110*1000000/$C110,"NA")</f>
        <v>2.3332975325368701</v>
      </c>
      <c r="G110" s="1938">
        <f t="shared" si="38"/>
        <v>1.953565744598446</v>
      </c>
      <c r="H110" s="699">
        <v>827.39892461234956</v>
      </c>
      <c r="I110" s="699">
        <v>2.7724151251528086E-2</v>
      </c>
      <c r="J110" s="699">
        <v>2.3212192799160543E-2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0.9840026812754431</v>
      </c>
      <c r="D114" s="2891" t="s">
        <v>97</v>
      </c>
      <c r="E114" s="2891">
        <f t="shared" si="37"/>
        <v>67.260000000000005</v>
      </c>
      <c r="F114" s="2891">
        <f t="shared" si="38"/>
        <v>792.99999999999989</v>
      </c>
      <c r="G114" s="2891">
        <f t="shared" si="38"/>
        <v>2.9999999999999991</v>
      </c>
      <c r="H114" s="1562">
        <v>6.6184020342586303E-2</v>
      </c>
      <c r="I114" s="1562">
        <v>7.8031412625142625E-4</v>
      </c>
      <c r="J114" s="1562">
        <v>2.9520080438263284E-6</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977074.64086200006</v>
      </c>
      <c r="G11" s="3326">
        <v>940493.39850000013</v>
      </c>
      <c r="H11" s="3326">
        <v>613741.73649001005</v>
      </c>
      <c r="I11" s="3346"/>
      <c r="J11" s="3326">
        <v>-6726.9481731500127</v>
      </c>
      <c r="K11" s="3334">
        <f t="shared" ref="K11:K28" si="0">IF((SUM(F11:G11)-SUM(H11:J11))=0,"NO",(SUM(F11:G11)-SUM(H11:J11)))</f>
        <v>1310553.2510451402</v>
      </c>
      <c r="L11" s="2597">
        <f>IF(K11="NO","NA",1)</f>
        <v>1</v>
      </c>
      <c r="M11" s="5" t="s">
        <v>97</v>
      </c>
      <c r="N11" s="3334">
        <f>K11</f>
        <v>1310553.2510451402</v>
      </c>
      <c r="O11" s="3307">
        <v>18.980716253443529</v>
      </c>
      <c r="P11" s="3334">
        <f>IFERROR(N11*O11/1000,"NA")</f>
        <v>24875.239393115753</v>
      </c>
      <c r="Q11" s="3334" t="str">
        <f>'Table1.A(d)'!G11</f>
        <v>NA</v>
      </c>
      <c r="R11" s="3334">
        <f>IF(SUM(P11,-SUM(Q11))=0,"NO",SUM(P11,-SUM(Q11)))</f>
        <v>24875.239393115753</v>
      </c>
      <c r="S11" s="2597">
        <f>IF(R11="NO","NA",1)</f>
        <v>1</v>
      </c>
      <c r="T11" s="3340">
        <f>IF(R11="NO","NO",R11*S11*44/12)</f>
        <v>91209.211108091098</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126080.35500000001</v>
      </c>
      <c r="G13" s="3326" t="s">
        <v>199</v>
      </c>
      <c r="H13" s="3326" t="s">
        <v>199</v>
      </c>
      <c r="I13" s="3346"/>
      <c r="J13" s="3326" t="s">
        <v>199</v>
      </c>
      <c r="K13" s="3334">
        <f t="shared" si="0"/>
        <v>126080.35500000001</v>
      </c>
      <c r="L13" s="2597">
        <f t="shared" si="1"/>
        <v>1</v>
      </c>
      <c r="M13" s="5" t="s">
        <v>97</v>
      </c>
      <c r="N13" s="3334">
        <f t="shared" si="2"/>
        <v>126080.35500000001</v>
      </c>
      <c r="O13" s="3307">
        <v>16.236330230178861</v>
      </c>
      <c r="P13" s="3334">
        <f t="shared" si="3"/>
        <v>2047.0822793181828</v>
      </c>
      <c r="Q13" s="3334" t="str">
        <f>'Table1.A(d)'!G13</f>
        <v>NA</v>
      </c>
      <c r="R13" s="3334">
        <f>IF(SUM(P13,-SUM(Q13))=0,"NO",SUM(P13,-SUM(Q13)))</f>
        <v>2047.0822793181828</v>
      </c>
      <c r="S13" s="2597">
        <f t="shared" si="4"/>
        <v>1</v>
      </c>
      <c r="T13" s="3340">
        <f t="shared" si="5"/>
        <v>7505.9683575000045</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139790.78999999998</v>
      </c>
      <c r="H15" s="3326">
        <v>10193.3899</v>
      </c>
      <c r="I15" s="3326" t="s">
        <v>199</v>
      </c>
      <c r="J15" s="3326">
        <v>4143.8317646666683</v>
      </c>
      <c r="K15" s="3334">
        <f t="shared" si="0"/>
        <v>125453.56833533332</v>
      </c>
      <c r="L15" s="2597">
        <f>IF(K15="NO","NA",1)</f>
        <v>1</v>
      </c>
      <c r="M15" s="5" t="s">
        <v>97</v>
      </c>
      <c r="N15" s="3334">
        <f t="shared" si="2"/>
        <v>125453.56833533332</v>
      </c>
      <c r="O15" s="3307">
        <v>18.38324844783974</v>
      </c>
      <c r="P15" s="3334">
        <f t="shared" si="3"/>
        <v>2306.244115376473</v>
      </c>
      <c r="Q15" s="3334" t="str">
        <f>'Table1.A(d)'!G15</f>
        <v>NA</v>
      </c>
      <c r="R15" s="3334">
        <f>IF(SUM(P15,-SUM(Q15))=0,"NO",SUM(P15,-SUM(Q15)))</f>
        <v>2306.244115376473</v>
      </c>
      <c r="S15" s="2597">
        <f>IF(R15="NO","NA",1)</f>
        <v>1</v>
      </c>
      <c r="T15" s="3340">
        <f>IF(R15="NO","NO",R15*S15*44/12)</f>
        <v>8456.2284230470668</v>
      </c>
    </row>
    <row r="16" spans="2:20" ht="18" customHeight="1" x14ac:dyDescent="0.2">
      <c r="B16" s="1730"/>
      <c r="C16" s="1570"/>
      <c r="D16" s="36" t="s">
        <v>293</v>
      </c>
      <c r="E16" s="2595" t="s">
        <v>374</v>
      </c>
      <c r="F16" s="3347"/>
      <c r="G16" s="3326">
        <v>74573.433600000004</v>
      </c>
      <c r="H16" s="3326">
        <v>3913.5328</v>
      </c>
      <c r="I16" s="3326">
        <v>136121.02879999997</v>
      </c>
      <c r="J16" s="3326">
        <v>399.02111519999863</v>
      </c>
      <c r="K16" s="3334">
        <f t="shared" si="0"/>
        <v>-65860.149115199965</v>
      </c>
      <c r="L16" s="2597">
        <f t="shared" ref="L16:L28" si="6">IF(K16="NO","NA",1)</f>
        <v>1</v>
      </c>
      <c r="M16" s="5" t="s">
        <v>97</v>
      </c>
      <c r="N16" s="3334">
        <f t="shared" si="2"/>
        <v>-65860.149115199965</v>
      </c>
      <c r="O16" s="3307">
        <v>18.981818181818181</v>
      </c>
      <c r="P16" s="3334">
        <f t="shared" si="3"/>
        <v>-1250.1453759321594</v>
      </c>
      <c r="Q16" s="3334" t="str">
        <f>'Table1.A(d)'!G16</f>
        <v>NA</v>
      </c>
      <c r="R16" s="3334">
        <f t="shared" ref="R16:R44" si="7">IF(SUM(P16,-SUM(Q16))=0,"NO",SUM(P16,-SUM(Q16)))</f>
        <v>-1250.1453759321594</v>
      </c>
      <c r="S16" s="2597">
        <f t="shared" ref="S16:S28" si="8">IF(R16="NO","NA",1)</f>
        <v>1</v>
      </c>
      <c r="T16" s="3340">
        <f t="shared" ref="T16:T28" si="9">IF(R16="NO","NO",R16*S16*44/12)</f>
        <v>-4583.866378417918</v>
      </c>
    </row>
    <row r="17" spans="2:20" ht="18" customHeight="1" x14ac:dyDescent="0.2">
      <c r="B17" s="1730"/>
      <c r="C17" s="1570"/>
      <c r="D17" s="36" t="s">
        <v>379</v>
      </c>
      <c r="E17" s="2595" t="s">
        <v>374</v>
      </c>
      <c r="F17" s="3346"/>
      <c r="G17" s="3326" t="s">
        <v>199</v>
      </c>
      <c r="H17" s="3326" t="s">
        <v>199</v>
      </c>
      <c r="I17" s="3326" t="s">
        <v>199</v>
      </c>
      <c r="J17" s="3326">
        <v>-0.61380000000000001</v>
      </c>
      <c r="K17" s="3334">
        <f t="shared" si="0"/>
        <v>0.61380000000000001</v>
      </c>
      <c r="L17" s="2597">
        <f t="shared" si="6"/>
        <v>1</v>
      </c>
      <c r="M17" s="5" t="s">
        <v>97</v>
      </c>
      <c r="N17" s="3334">
        <f t="shared" si="2"/>
        <v>0.61380000000000001</v>
      </c>
      <c r="O17" s="3307">
        <v>18.790909090909089</v>
      </c>
      <c r="P17" s="3334">
        <f t="shared" si="3"/>
        <v>1.1533859999999998E-2</v>
      </c>
      <c r="Q17" s="3334" t="str">
        <f>'Table1.A(d)'!G17</f>
        <v>NA</v>
      </c>
      <c r="R17" s="3334">
        <f t="shared" si="7"/>
        <v>1.1533859999999998E-2</v>
      </c>
      <c r="S17" s="2597">
        <f t="shared" si="8"/>
        <v>1</v>
      </c>
      <c r="T17" s="3340">
        <f t="shared" si="9"/>
        <v>4.229082E-2</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318291.35399999999</v>
      </c>
      <c r="H19" s="3326">
        <v>13789.695599999999</v>
      </c>
      <c r="I19" s="3326">
        <v>2480</v>
      </c>
      <c r="J19" s="3326">
        <v>973.41593439999463</v>
      </c>
      <c r="K19" s="3334">
        <f t="shared" si="0"/>
        <v>301048.24246560002</v>
      </c>
      <c r="L19" s="2597">
        <f t="shared" si="6"/>
        <v>1</v>
      </c>
      <c r="M19" s="5" t="s">
        <v>97</v>
      </c>
      <c r="N19" s="3334">
        <f t="shared" si="2"/>
        <v>301048.24246560002</v>
      </c>
      <c r="O19" s="3307">
        <v>19.06363636363637</v>
      </c>
      <c r="P19" s="3334">
        <f t="shared" si="3"/>
        <v>5739.0742222760309</v>
      </c>
      <c r="Q19" s="3334" t="str">
        <f>'Table1.A(d)'!G19</f>
        <v>NA</v>
      </c>
      <c r="R19" s="3334">
        <f t="shared" si="7"/>
        <v>5739.0742222760309</v>
      </c>
      <c r="S19" s="2597">
        <f t="shared" si="8"/>
        <v>1</v>
      </c>
      <c r="T19" s="3340">
        <f t="shared" si="9"/>
        <v>21043.272148345448</v>
      </c>
    </row>
    <row r="20" spans="2:20" ht="18" customHeight="1" x14ac:dyDescent="0.2">
      <c r="B20" s="1730"/>
      <c r="C20" s="1570"/>
      <c r="D20" s="36" t="s">
        <v>306</v>
      </c>
      <c r="E20" s="2595" t="s">
        <v>374</v>
      </c>
      <c r="F20" s="3346"/>
      <c r="G20" s="3326">
        <v>66782.426900000006</v>
      </c>
      <c r="H20" s="3326">
        <v>7474.2395999999999</v>
      </c>
      <c r="I20" s="3326">
        <v>34519.999999999993</v>
      </c>
      <c r="J20" s="3326">
        <v>374.96655625000017</v>
      </c>
      <c r="K20" s="3334">
        <f t="shared" si="0"/>
        <v>24413.220743750011</v>
      </c>
      <c r="L20" s="2597">
        <f t="shared" si="6"/>
        <v>1</v>
      </c>
      <c r="M20" s="5" t="s">
        <v>97</v>
      </c>
      <c r="N20" s="3334">
        <f t="shared" si="2"/>
        <v>24413.220743750011</v>
      </c>
      <c r="O20" s="3307">
        <v>20.072727272727271</v>
      </c>
      <c r="P20" s="3334">
        <f t="shared" si="3"/>
        <v>490.03992183818195</v>
      </c>
      <c r="Q20" s="3334" t="str">
        <f>'Table1.A(d)'!G20</f>
        <v>NA</v>
      </c>
      <c r="R20" s="3334">
        <f t="shared" si="7"/>
        <v>490.03992183818195</v>
      </c>
      <c r="S20" s="2597">
        <f t="shared" si="8"/>
        <v>1</v>
      </c>
      <c r="T20" s="3340">
        <f t="shared" si="9"/>
        <v>1796.8130467400006</v>
      </c>
    </row>
    <row r="21" spans="2:20" ht="18" customHeight="1" x14ac:dyDescent="0.2">
      <c r="B21" s="1730"/>
      <c r="C21" s="1570"/>
      <c r="D21" s="36" t="s">
        <v>283</v>
      </c>
      <c r="E21" s="2595" t="s">
        <v>374</v>
      </c>
      <c r="F21" s="3346"/>
      <c r="G21" s="3326">
        <v>25740.760200000001</v>
      </c>
      <c r="H21" s="3326">
        <v>65742.36716139999</v>
      </c>
      <c r="I21" s="3346"/>
      <c r="J21" s="3326">
        <v>632.42219600000033</v>
      </c>
      <c r="K21" s="3334">
        <f t="shared" si="0"/>
        <v>-40634.029157399986</v>
      </c>
      <c r="L21" s="2597">
        <f t="shared" si="6"/>
        <v>1</v>
      </c>
      <c r="M21" s="5" t="s">
        <v>97</v>
      </c>
      <c r="N21" s="3334">
        <f t="shared" si="2"/>
        <v>-40634.029157399986</v>
      </c>
      <c r="O21" s="3307">
        <v>16.418181818181822</v>
      </c>
      <c r="P21" s="3334">
        <f t="shared" si="3"/>
        <v>-667.13687871149455</v>
      </c>
      <c r="Q21" s="3334" t="str">
        <f>'Table1.A(d)'!G21</f>
        <v>NA</v>
      </c>
      <c r="R21" s="3334">
        <f t="shared" si="7"/>
        <v>-667.13687871149455</v>
      </c>
      <c r="S21" s="2597">
        <f t="shared" si="8"/>
        <v>1</v>
      </c>
      <c r="T21" s="3340">
        <f t="shared" si="9"/>
        <v>-2446.1685552754802</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349.7925580909091</v>
      </c>
      <c r="R22" s="3334">
        <f t="shared" si="7"/>
        <v>-349.7925580909091</v>
      </c>
      <c r="S22" s="2597">
        <f t="shared" si="8"/>
        <v>1</v>
      </c>
      <c r="T22" s="3340">
        <f t="shared" si="9"/>
        <v>-1282.572713</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16566.8976</v>
      </c>
      <c r="H24" s="3326" t="s">
        <v>199</v>
      </c>
      <c r="I24" s="3346"/>
      <c r="J24" s="3326">
        <v>-336.00252816666682</v>
      </c>
      <c r="K24" s="3334">
        <f t="shared" si="0"/>
        <v>16902.900128166668</v>
      </c>
      <c r="L24" s="2597">
        <f t="shared" si="6"/>
        <v>1</v>
      </c>
      <c r="M24" s="5" t="s">
        <v>97</v>
      </c>
      <c r="N24" s="3334">
        <f t="shared" si="2"/>
        <v>16902.900128166668</v>
      </c>
      <c r="O24" s="3307">
        <v>22.009090909090911</v>
      </c>
      <c r="P24" s="3334">
        <f t="shared" si="3"/>
        <v>372.01746554810461</v>
      </c>
      <c r="Q24" s="3334">
        <f>'Table1.A(d)'!G24</f>
        <v>783.43339909090912</v>
      </c>
      <c r="R24" s="3334">
        <f t="shared" si="7"/>
        <v>-411.41593354280451</v>
      </c>
      <c r="S24" s="2597">
        <f t="shared" si="8"/>
        <v>1</v>
      </c>
      <c r="T24" s="3340">
        <f t="shared" si="9"/>
        <v>-1508.5250896569498</v>
      </c>
    </row>
    <row r="25" spans="2:20" ht="18" customHeight="1" x14ac:dyDescent="0.2">
      <c r="B25" s="1730"/>
      <c r="C25" s="1570"/>
      <c r="D25" s="36" t="s">
        <v>297</v>
      </c>
      <c r="E25" s="2595" t="s">
        <v>374</v>
      </c>
      <c r="F25" s="3346"/>
      <c r="G25" s="3326">
        <v>14300.399599999999</v>
      </c>
      <c r="H25" s="3326">
        <v>7089.6135999999988</v>
      </c>
      <c r="I25" s="3326" t="s">
        <v>199</v>
      </c>
      <c r="J25" s="3326">
        <v>140.47208921666683</v>
      </c>
      <c r="K25" s="3334">
        <f t="shared" si="0"/>
        <v>7070.3139107833331</v>
      </c>
      <c r="L25" s="2597">
        <f t="shared" si="6"/>
        <v>1</v>
      </c>
      <c r="M25" s="5" t="s">
        <v>97</v>
      </c>
      <c r="N25" s="3334">
        <f t="shared" si="2"/>
        <v>7070.3139107833331</v>
      </c>
      <c r="O25" s="3307">
        <v>18.991363636363641</v>
      </c>
      <c r="P25" s="3334">
        <f t="shared" si="3"/>
        <v>134.27490250292658</v>
      </c>
      <c r="Q25" s="3334">
        <f>'Table1.A(d)'!G25</f>
        <v>323.21971513636367</v>
      </c>
      <c r="R25" s="3334">
        <f t="shared" si="7"/>
        <v>-188.9448126334371</v>
      </c>
      <c r="S25" s="2597">
        <f t="shared" si="8"/>
        <v>1</v>
      </c>
      <c r="T25" s="3340">
        <f t="shared" si="9"/>
        <v>-692.79764632260265</v>
      </c>
    </row>
    <row r="26" spans="2:20" ht="18" customHeight="1" x14ac:dyDescent="0.2">
      <c r="B26" s="1730"/>
      <c r="C26" s="1570"/>
      <c r="D26" s="36" t="s">
        <v>384</v>
      </c>
      <c r="E26" s="2595" t="s">
        <v>374</v>
      </c>
      <c r="F26" s="3346"/>
      <c r="G26" s="3326">
        <v>27743.362886108236</v>
      </c>
      <c r="H26" s="3326" t="s">
        <v>199</v>
      </c>
      <c r="I26" s="3346"/>
      <c r="J26" s="3326" t="s">
        <v>199</v>
      </c>
      <c r="K26" s="3334">
        <f t="shared" si="0"/>
        <v>27743.362886108236</v>
      </c>
      <c r="L26" s="2597">
        <f t="shared" si="6"/>
        <v>1</v>
      </c>
      <c r="M26" s="5" t="s">
        <v>97</v>
      </c>
      <c r="N26" s="3334">
        <f t="shared" si="2"/>
        <v>27743.362886108236</v>
      </c>
      <c r="O26" s="3307">
        <v>25.26136363636364</v>
      </c>
      <c r="P26" s="3334">
        <f t="shared" si="3"/>
        <v>700.83517836157523</v>
      </c>
      <c r="Q26" s="3334">
        <f>'Table1.A(d)'!G26</f>
        <v>700.83517836157512</v>
      </c>
      <c r="R26" s="3334">
        <f t="shared" si="7"/>
        <v>1.1368683772161603E-13</v>
      </c>
      <c r="S26" s="2597">
        <f t="shared" si="8"/>
        <v>1</v>
      </c>
      <c r="T26" s="3340">
        <f t="shared" si="9"/>
        <v>4.1685173831259209E-13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65401.582169600006</v>
      </c>
      <c r="H28" s="3326">
        <v>1591.0688000000002</v>
      </c>
      <c r="I28" s="3346"/>
      <c r="J28" s="3326">
        <v>-2962.5830266333314</v>
      </c>
      <c r="K28" s="3334">
        <f t="shared" si="0"/>
        <v>66773.096396233334</v>
      </c>
      <c r="L28" s="2597">
        <f t="shared" si="6"/>
        <v>1</v>
      </c>
      <c r="M28" s="5" t="s">
        <v>97</v>
      </c>
      <c r="N28" s="3334">
        <f t="shared" si="2"/>
        <v>66773.096396233334</v>
      </c>
      <c r="O28" s="3307">
        <v>19.03636901661795</v>
      </c>
      <c r="P28" s="3334">
        <f t="shared" si="3"/>
        <v>1271.1173033808998</v>
      </c>
      <c r="Q28" s="3334">
        <f>'Table1.A(d)'!G28</f>
        <v>468.91028502545453</v>
      </c>
      <c r="R28" s="3334">
        <f t="shared" si="7"/>
        <v>802.20701835544526</v>
      </c>
      <c r="S28" s="2597">
        <f t="shared" si="8"/>
        <v>1</v>
      </c>
      <c r="T28" s="3340">
        <f t="shared" si="9"/>
        <v>2941.4257339699657</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1899544.7464385151</v>
      </c>
      <c r="O31" s="3329"/>
      <c r="P31" s="3336">
        <f>SUM(P11:P29)</f>
        <v>36018.654060934474</v>
      </c>
      <c r="Q31" s="3336">
        <f>SUM(Q11:Q29)</f>
        <v>2626.1911357052113</v>
      </c>
      <c r="R31" s="3334">
        <f t="shared" si="7"/>
        <v>33392.462925229265</v>
      </c>
      <c r="S31" s="2598"/>
      <c r="T31" s="3342">
        <f>SUM(T11:T29)</f>
        <v>122439.03072584064</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8945139.7653227001</v>
      </c>
      <c r="G35" s="3326" t="s">
        <v>199</v>
      </c>
      <c r="H35" s="3326">
        <v>7410600</v>
      </c>
      <c r="I35" s="3326" t="s">
        <v>199</v>
      </c>
      <c r="J35" s="3326">
        <v>-5500</v>
      </c>
      <c r="K35" s="3334">
        <f t="shared" si="10"/>
        <v>1540039.7653227001</v>
      </c>
      <c r="L35" s="2597">
        <f t="shared" si="11"/>
        <v>1</v>
      </c>
      <c r="M35" s="55" t="s">
        <v>97</v>
      </c>
      <c r="N35" s="3334">
        <f t="shared" si="12"/>
        <v>1540039.7653227001</v>
      </c>
      <c r="O35" s="3307">
        <v>24.4216727171004</v>
      </c>
      <c r="P35" s="3334">
        <f t="shared" si="13"/>
        <v>37610.347120031089</v>
      </c>
      <c r="Q35" s="3334">
        <f>'Table1.A(d)'!G35</f>
        <v>645.62195781818184</v>
      </c>
      <c r="R35" s="3334">
        <f t="shared" si="7"/>
        <v>36964.725162212904</v>
      </c>
      <c r="S35" s="2597">
        <f t="shared" si="14"/>
        <v>1</v>
      </c>
      <c r="T35" s="3340">
        <f t="shared" si="15"/>
        <v>135537.32559478065</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661063.20152587397</v>
      </c>
      <c r="G37" s="3326" t="s">
        <v>199</v>
      </c>
      <c r="H37" s="3326" t="s">
        <v>199</v>
      </c>
      <c r="I37" s="3346"/>
      <c r="J37" s="3326">
        <v>-78700</v>
      </c>
      <c r="K37" s="3334">
        <f t="shared" si="10"/>
        <v>739763.20152587397</v>
      </c>
      <c r="L37" s="2597">
        <f t="shared" si="11"/>
        <v>1</v>
      </c>
      <c r="M37" s="55" t="s">
        <v>97</v>
      </c>
      <c r="N37" s="3334">
        <f t="shared" si="12"/>
        <v>739763.20152587397</v>
      </c>
      <c r="O37" s="3307">
        <v>25.32522644468148</v>
      </c>
      <c r="P37" s="3334">
        <f t="shared" si="13"/>
        <v>18734.670594085299</v>
      </c>
      <c r="Q37" s="3334" t="str">
        <f>'Table1.A(d)'!G37</f>
        <v>NO</v>
      </c>
      <c r="R37" s="3334">
        <f t="shared" si="7"/>
        <v>18734.670594085299</v>
      </c>
      <c r="S37" s="2597">
        <f t="shared" si="14"/>
        <v>1</v>
      </c>
      <c r="T37" s="3340">
        <f t="shared" si="15"/>
        <v>68693.792178312768</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200</v>
      </c>
      <c r="H41" s="3326" t="s">
        <v>199</v>
      </c>
      <c r="I41" s="3346"/>
      <c r="J41" s="3326">
        <v>6000</v>
      </c>
      <c r="K41" s="3334">
        <f t="shared" si="16"/>
        <v>-5800</v>
      </c>
      <c r="L41" s="2597">
        <f t="shared" si="17"/>
        <v>1</v>
      </c>
      <c r="M41" s="55" t="s">
        <v>97</v>
      </c>
      <c r="N41" s="3334">
        <f t="shared" si="18"/>
        <v>-5800</v>
      </c>
      <c r="O41" s="3307">
        <v>29.51209855742939</v>
      </c>
      <c r="P41" s="3334">
        <f t="shared" si="19"/>
        <v>-171.17017163309046</v>
      </c>
      <c r="Q41" s="3334">
        <f>'Table1.A(d)'!G41</f>
        <v>1770.7478802204926</v>
      </c>
      <c r="R41" s="3334">
        <f t="shared" si="7"/>
        <v>-1941.9180518535829</v>
      </c>
      <c r="S41" s="2597">
        <f t="shared" si="20"/>
        <v>1</v>
      </c>
      <c r="T41" s="3340">
        <f t="shared" si="21"/>
        <v>-7120.3661901298037</v>
      </c>
    </row>
    <row r="42" spans="2:20" ht="18" customHeight="1" x14ac:dyDescent="0.2">
      <c r="B42" s="1730"/>
      <c r="C42" s="1571"/>
      <c r="D42" s="31" t="s">
        <v>398</v>
      </c>
      <c r="E42" s="2595" t="s">
        <v>374</v>
      </c>
      <c r="F42" s="3346"/>
      <c r="G42" s="3326" t="s">
        <v>199</v>
      </c>
      <c r="H42" s="3326" t="s">
        <v>199</v>
      </c>
      <c r="I42" s="3346"/>
      <c r="J42" s="3326">
        <v>-2200</v>
      </c>
      <c r="K42" s="3334">
        <f t="shared" si="16"/>
        <v>2200</v>
      </c>
      <c r="L42" s="2597">
        <f t="shared" si="17"/>
        <v>1</v>
      </c>
      <c r="M42" s="55" t="s">
        <v>97</v>
      </c>
      <c r="N42" s="3334">
        <f t="shared" si="18"/>
        <v>2200</v>
      </c>
      <c r="O42" s="3307">
        <v>22.309090909090909</v>
      </c>
      <c r="P42" s="3334">
        <f t="shared" si="19"/>
        <v>49.08</v>
      </c>
      <c r="Q42" s="3334">
        <f>'Table1.A(d)'!G42</f>
        <v>167.34989234444637</v>
      </c>
      <c r="R42" s="3334">
        <f t="shared" si="7"/>
        <v>-118.26989234444638</v>
      </c>
      <c r="S42" s="2597">
        <f t="shared" si="20"/>
        <v>1</v>
      </c>
      <c r="T42" s="3340">
        <f t="shared" si="21"/>
        <v>-433.65627192963672</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2276202.9668485741</v>
      </c>
      <c r="O45" s="3329"/>
      <c r="P45" s="3336">
        <f>SUM(P33:P43)</f>
        <v>56222.927542483296</v>
      </c>
      <c r="Q45" s="3336">
        <f>SUM(Q33:Q43)</f>
        <v>2583.7197303831208</v>
      </c>
      <c r="R45" s="3336">
        <f>SUM(R33:R43)</f>
        <v>53639.207812100176</v>
      </c>
      <c r="S45" s="41"/>
      <c r="T45" s="3342">
        <f>SUM(T33:T43)</f>
        <v>196677.09531103395</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1925306.4387703207</v>
      </c>
      <c r="G47" s="3326">
        <v>242337.64304099997</v>
      </c>
      <c r="H47" s="3326">
        <v>838297.132238816</v>
      </c>
      <c r="I47" s="3326" t="s">
        <v>199</v>
      </c>
      <c r="J47" s="3326">
        <v>99246.735496975365</v>
      </c>
      <c r="K47" s="3334">
        <f t="shared" ref="K47" si="22">IF((SUM(F47:G47)-SUM(H47:J47))=0,"NO",(SUM(F47:G47)-SUM(H47:J47)))</f>
        <v>1230100.214075529</v>
      </c>
      <c r="L47" s="2597">
        <f t="shared" ref="L47" si="23">IF(K47="NO","NA",1)</f>
        <v>1</v>
      </c>
      <c r="M47" s="55" t="s">
        <v>97</v>
      </c>
      <c r="N47" s="3334">
        <f t="shared" ref="N47" si="24">K47</f>
        <v>1230100.214075529</v>
      </c>
      <c r="O47" s="3307">
        <v>14.011049239008599</v>
      </c>
      <c r="P47" s="3334">
        <f t="shared" ref="P47" si="25">IFERROR(N47*O47/1000,"NA")</f>
        <v>17234.994668327257</v>
      </c>
      <c r="Q47" s="3334">
        <f>'Table1.A(d)'!G47</f>
        <v>547.39808505008659</v>
      </c>
      <c r="R47" s="3334">
        <f t="shared" ref="R47" si="26">IF(SUM(P47,-SUM(Q47))=0,"NO",SUM(P47,-SUM(Q47)))</f>
        <v>16687.596583277169</v>
      </c>
      <c r="S47" s="2597">
        <f t="shared" ref="S47" si="27">IF(R47="NO","NA",1)</f>
        <v>1</v>
      </c>
      <c r="T47" s="3340">
        <f t="shared" ref="T47" si="28">IF(R47="NO","NO",R47*S47*44/12)</f>
        <v>61187.854138682953</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1230100.214075529</v>
      </c>
      <c r="O50" s="3331"/>
      <c r="P50" s="3336">
        <f>SUM(P47:P48)</f>
        <v>17234.994668327257</v>
      </c>
      <c r="Q50" s="3336">
        <f>SUM(Q47:Q48)</f>
        <v>547.39808505008659</v>
      </c>
      <c r="R50" s="3336">
        <f>SUM(R47:R48)</f>
        <v>16687.596583277169</v>
      </c>
      <c r="S50" s="2379"/>
      <c r="T50" s="3342">
        <f>SUM(T47:T48)</f>
        <v>61187.854138682953</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5405847.927362618</v>
      </c>
      <c r="O55" s="3332"/>
      <c r="P55" s="3338">
        <f>SUM(P31,P45,P50,P54)</f>
        <v>109476.57627174503</v>
      </c>
      <c r="Q55" s="3338">
        <f>SUM(Q31,Q45,Q50,Q54)</f>
        <v>5757.3089511384187</v>
      </c>
      <c r="R55" s="3338">
        <f>SUM(R31,R45,R50,R54)</f>
        <v>103719.2673206066</v>
      </c>
      <c r="S55" s="2399"/>
      <c r="T55" s="3344">
        <f>SUM(T31,T45,T50,T54)</f>
        <v>380303.98017555755</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1899.5447464385152</v>
      </c>
      <c r="D10" s="4127">
        <f>C10-'Table1.A(d)'!E31/1000</f>
        <v>1769.8185507405426</v>
      </c>
      <c r="E10" s="4126">
        <f>'Table1.A(b)'!T31</f>
        <v>122439.03072584064</v>
      </c>
      <c r="F10" s="4126">
        <f>'Table1.A(a)s1'!C11/1000</f>
        <v>1739.9633098445602</v>
      </c>
      <c r="G10" s="4126">
        <f>'Table1.A(a)s1'!H11</f>
        <v>118648.19675241421</v>
      </c>
      <c r="H10" s="4126">
        <f>100*((D10-F10)/F10)</f>
        <v>1.7158546233167156</v>
      </c>
      <c r="I10" s="4128">
        <f>100*((E10-G10)/G10)</f>
        <v>3.1950203013509308</v>
      </c>
      <c r="L10"/>
    </row>
    <row r="11" spans="2:12" ht="18" customHeight="1" x14ac:dyDescent="0.2">
      <c r="B11" s="50" t="s">
        <v>430</v>
      </c>
      <c r="C11" s="4126">
        <f>'Table1.A(b)'!N45/1000</f>
        <v>2276.2029668485743</v>
      </c>
      <c r="D11" s="4126">
        <f>C11-'Table1.A(d)'!E45/1000</f>
        <v>2182.0018053153344</v>
      </c>
      <c r="E11" s="4126">
        <f>'Table1.A(b)'!T45</f>
        <v>196677.09531103395</v>
      </c>
      <c r="F11" s="4126">
        <f>'Table1.A(a)s1'!C12/1000</f>
        <v>2183.7115172176555</v>
      </c>
      <c r="G11" s="4126">
        <f>'Table1.A(a)s1'!H12</f>
        <v>196909.12448969478</v>
      </c>
      <c r="H11" s="4126">
        <f t="shared" ref="H11:H13" si="0">100*((D11-F11)/F11)</f>
        <v>-7.8293853782455541E-2</v>
      </c>
      <c r="I11" s="4128">
        <f t="shared" ref="I11:I13" si="1">100*((E11-G11)/G11)</f>
        <v>-0.1178356662049817</v>
      </c>
      <c r="L11"/>
    </row>
    <row r="12" spans="2:12" ht="18" customHeight="1" x14ac:dyDescent="0.2">
      <c r="B12" s="50" t="s">
        <v>431</v>
      </c>
      <c r="C12" s="4126">
        <f>'Table1.A(b)'!N50/1000</f>
        <v>1230.100214075529</v>
      </c>
      <c r="D12" s="4126">
        <f>C12-'Table1.A(d)'!E50/1000</f>
        <v>1191.0601164350289</v>
      </c>
      <c r="E12" s="4126">
        <f>'Table1.A(b)'!T50</f>
        <v>61187.854138682953</v>
      </c>
      <c r="F12" s="4126">
        <f>'Table1.A(a)s1'!C13/1000</f>
        <v>1170.5516824036724</v>
      </c>
      <c r="G12" s="4126">
        <f>'Table1.A(a)s1'!H13</f>
        <v>60035.623109229302</v>
      </c>
      <c r="H12" s="4126">
        <f t="shared" si="0"/>
        <v>1.7520314856361918</v>
      </c>
      <c r="I12" s="4128">
        <f t="shared" si="1"/>
        <v>1.9192455575205283</v>
      </c>
      <c r="L12"/>
    </row>
    <row r="13" spans="2:12" ht="18" customHeight="1" x14ac:dyDescent="0.2">
      <c r="B13" s="50" t="s">
        <v>432</v>
      </c>
      <c r="C13" s="4126">
        <f>'Table1.A(b)'!N54/1000</f>
        <v>0</v>
      </c>
      <c r="D13" s="4126">
        <f>C13-SUM('Table1.A(d)'!E54)/1000</f>
        <v>0</v>
      </c>
      <c r="E13" s="4126">
        <f>'Table1.A(b)'!T54</f>
        <v>0</v>
      </c>
      <c r="F13" s="4126">
        <f>'Table1.A(a)s1'!C14/1000</f>
        <v>4.8584758668587718</v>
      </c>
      <c r="G13" s="4126">
        <f>'Table1.A(a)s1'!H14</f>
        <v>436.9542810407479</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5405.847927362619</v>
      </c>
      <c r="D15" s="4196">
        <f>SUM(D10:D14)</f>
        <v>5142.880472490906</v>
      </c>
      <c r="E15" s="4196">
        <f>SUM(E10:E14)</f>
        <v>380303.98017555755</v>
      </c>
      <c r="F15" s="4196">
        <f>SUM(F10:F14)</f>
        <v>5099.0849853327463</v>
      </c>
      <c r="G15" s="4196">
        <f>SUM(G10:G14)</f>
        <v>376029.89863237907</v>
      </c>
      <c r="H15" s="4197">
        <f t="shared" ref="H15" si="2">100*((D15-F15)/F15)</f>
        <v>0.85888913960318525</v>
      </c>
      <c r="I15" s="4198">
        <f t="shared" ref="I15" si="3">100*((E15-G15)/G15)</f>
        <v>1.1366334322678353</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f3ac41a9-262d-4755-bd43-8a680e000c6c"/>
    <ds:schemaRef ds:uri="81c01dc6-2c49-4730-b140-874c95cac377"/>
    <ds:schemaRef ds:uri="http://purl.org/dc/elements/1.1/"/>
    <ds:schemaRef ds:uri="http://schemas.microsoft.com/office/2006/metadata/properties"/>
    <ds:schemaRef ds:uri="3c3f7c97-9070-4768-a3ac-fb4f4af74aa6"/>
    <ds:schemaRef ds:uri="http://www.w3.org/XML/1998/namespace"/>
    <ds:schemaRef ds:uri="http://purl.org/dc/dcmitype/"/>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y fmtid="{D5CDD505-2E9C-101B-9397-08002B2CF9AE}" pid="14" name="SV_QUERY_LIST_4F35BF76-6C0D-4D9B-82B2-816C12CF3733">
    <vt:lpwstr>empty_477D106A-C0D6-4607-AEBD-E2C9D60EA279</vt:lpwstr>
  </property>
  <property fmtid="{D5CDD505-2E9C-101B-9397-08002B2CF9AE}" pid="15" name="SV_HIDDEN_GRID_QUERY_LIST_4F35BF76-6C0D-4D9B-82B2-816C12CF3733">
    <vt:lpwstr>empty_477D106A-C0D6-4607-AEBD-E2C9D60EA279</vt:lpwstr>
  </property>
</Properties>
</file>