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5" documentId="13_ncr:1_{06B9C2E5-6788-4FD6-949C-AE3A2352158F}" xr6:coauthVersionLast="47" xr6:coauthVersionMax="47" xr10:uidLastSave="{6B304D1C-7340-486D-A466-4C79A3750BB9}"/>
  <bookViews>
    <workbookView xWindow="330" yWindow="345" windowWidth="28140" windowHeight="1444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O12" i="70" l="1"/>
  <c r="O22" i="70"/>
  <c r="C30" i="70"/>
  <c r="Q26" i="70"/>
  <c r="I18" i="70"/>
  <c r="I41" i="70"/>
  <c r="I30" i="70"/>
  <c r="I22" i="70" l="1"/>
  <c r="O11" i="70"/>
  <c r="R26" i="70"/>
  <c r="T26" i="70"/>
  <c r="S26" i="70"/>
  <c r="O50" i="70"/>
  <c r="C18" i="70"/>
  <c r="I12" i="70"/>
  <c r="I11" i="70" s="1"/>
  <c r="I10" i="70" s="1"/>
  <c r="I50" i="70"/>
  <c r="O41" i="70"/>
  <c r="C41" i="70"/>
  <c r="O30" i="70"/>
  <c r="O18" i="70"/>
  <c r="C12" i="70"/>
  <c r="C22" i="70"/>
  <c r="C11" i="70" l="1"/>
  <c r="C10" i="70" s="1"/>
  <c r="O10" i="70"/>
  <c r="C10" i="73" l="1"/>
  <c r="E34" i="73" s="1"/>
  <c r="E35" i="73" s="1"/>
  <c r="D282" i="56" l="1"/>
  <c r="D302" i="56"/>
  <c r="D281" i="56"/>
  <c r="D423" i="56"/>
  <c r="D415" i="56"/>
  <c r="C17" i="124"/>
  <c r="C11" i="124"/>
  <c r="C10" i="124" s="1"/>
  <c r="D277" i="56" l="1"/>
  <c r="D411" i="56"/>
  <c r="D331" i="56"/>
  <c r="D327" i="56" s="1"/>
  <c r="R18" i="50"/>
  <c r="R13" i="50" s="1"/>
  <c r="R10" i="50" s="1"/>
  <c r="Q17" i="52"/>
  <c r="Q11" i="52" s="1"/>
  <c r="Q10" i="52" s="1"/>
  <c r="Q11" i="53"/>
  <c r="P11" i="53"/>
  <c r="R21" i="51"/>
  <c r="R15" i="51" s="1"/>
  <c r="R10" i="51" s="1"/>
  <c r="S22" i="51" l="1"/>
  <c r="S21" i="51" s="1"/>
  <c r="Q21" i="51"/>
  <c r="K12" i="51"/>
  <c r="D12" i="51"/>
  <c r="D18" i="52"/>
  <c r="K18" i="52"/>
  <c r="F18" i="50"/>
  <c r="L19" i="50"/>
  <c r="D22" i="51"/>
  <c r="E21" i="51"/>
  <c r="K22" i="51"/>
  <c r="F21" i="51"/>
  <c r="L22" i="51"/>
  <c r="I35" i="47"/>
  <c r="D15" i="52"/>
  <c r="K15" i="52"/>
  <c r="E14" i="52"/>
  <c r="D16" i="52"/>
  <c r="K16" i="52"/>
  <c r="S19" i="50"/>
  <c r="S18" i="50" s="1"/>
  <c r="Q18" i="50"/>
  <c r="N11" i="53"/>
  <c r="E18" i="50"/>
  <c r="K18" i="50" s="1"/>
  <c r="K19" i="50"/>
  <c r="D19" i="50"/>
  <c r="P17" i="52"/>
  <c r="P11" i="52" s="1"/>
  <c r="P10" i="52" s="1"/>
  <c r="P11" i="51"/>
  <c r="N11" i="51" l="1"/>
  <c r="D21" i="51"/>
  <c r="J22" i="51"/>
  <c r="H22" i="51"/>
  <c r="G22" i="51"/>
  <c r="I22" i="51"/>
  <c r="N17" i="52"/>
  <c r="N11" i="52" s="1"/>
  <c r="G16" i="52"/>
  <c r="H16" i="52"/>
  <c r="I16" i="52"/>
  <c r="J16" i="52"/>
  <c r="M17" i="52"/>
  <c r="M11" i="52" s="1"/>
  <c r="O18" i="52"/>
  <c r="L18" i="50"/>
  <c r="F13" i="50"/>
  <c r="D18" i="50"/>
  <c r="I19" i="50"/>
  <c r="G19" i="50"/>
  <c r="J19" i="50"/>
  <c r="H19" i="50"/>
  <c r="K14" i="52"/>
  <c r="H15" i="52"/>
  <c r="I15" i="52"/>
  <c r="J15" i="52"/>
  <c r="D14" i="52"/>
  <c r="G15" i="52"/>
  <c r="J18" i="52"/>
  <c r="H18" i="52"/>
  <c r="G18" i="52"/>
  <c r="O12" i="51"/>
  <c r="O12" i="53"/>
  <c r="M11" i="53"/>
  <c r="G12" i="51"/>
  <c r="H12" i="51"/>
  <c r="J12" i="51"/>
  <c r="I12" i="51"/>
  <c r="F15" i="51"/>
  <c r="L21" i="51"/>
  <c r="P14" i="49"/>
  <c r="K21" i="51"/>
  <c r="G45" i="59"/>
  <c r="G22" i="59"/>
  <c r="G16" i="59"/>
  <c r="F17" i="59" l="1"/>
  <c r="G17" i="59" s="1"/>
  <c r="G18" i="59"/>
  <c r="F38" i="59"/>
  <c r="G39" i="59"/>
  <c r="I14" i="52"/>
  <c r="H14" i="52"/>
  <c r="J14" i="52"/>
  <c r="G14" i="52"/>
  <c r="G18" i="50"/>
  <c r="J18" i="50"/>
  <c r="I18" i="50"/>
  <c r="H18" i="50"/>
  <c r="F50" i="59"/>
  <c r="G51" i="59"/>
  <c r="F10" i="50"/>
  <c r="L10" i="50" s="1"/>
  <c r="L13" i="50"/>
  <c r="O19" i="52"/>
  <c r="S19" i="52" s="1"/>
  <c r="G14" i="59"/>
  <c r="S12" i="53"/>
  <c r="S11" i="53" s="1"/>
  <c r="O11" i="53"/>
  <c r="I18" i="52"/>
  <c r="S18" i="52"/>
  <c r="S17" i="52" s="1"/>
  <c r="S11" i="52" s="1"/>
  <c r="S12" i="51"/>
  <c r="O11" i="51"/>
  <c r="I21" i="51"/>
  <c r="H21" i="51"/>
  <c r="G21" i="51"/>
  <c r="J21" i="51"/>
  <c r="G24" i="59"/>
  <c r="F23" i="59"/>
  <c r="G23" i="59" s="1"/>
  <c r="P15" i="49"/>
  <c r="U15" i="49" s="1"/>
  <c r="O18" i="51"/>
  <c r="S18" i="51" s="1"/>
  <c r="P22" i="49"/>
  <c r="U22" i="49" s="1"/>
  <c r="L15" i="51"/>
  <c r="F10" i="51"/>
  <c r="L10" i="51" s="1"/>
  <c r="M11" i="51"/>
  <c r="O14" i="51"/>
  <c r="S14" i="51" s="1"/>
  <c r="O17" i="52" l="1"/>
  <c r="O11" i="52" s="1"/>
  <c r="F49" i="59"/>
  <c r="G50" i="59"/>
  <c r="C21" i="47"/>
  <c r="C24" i="47"/>
  <c r="G38" i="59"/>
  <c r="F37" i="59"/>
  <c r="T23" i="49"/>
  <c r="T16" i="49" s="1"/>
  <c r="T10" i="49" s="1"/>
  <c r="Q16" i="51"/>
  <c r="Q15" i="51" s="1"/>
  <c r="D21" i="49"/>
  <c r="Q14" i="53"/>
  <c r="Q13" i="53" s="1"/>
  <c r="Q10" i="53" s="1"/>
  <c r="R14" i="53"/>
  <c r="R13" i="53" s="1"/>
  <c r="R10" i="53" s="1"/>
  <c r="Q14" i="50"/>
  <c r="Q13" i="50" s="1"/>
  <c r="S25" i="49"/>
  <c r="S17" i="49"/>
  <c r="E16" i="51" l="1"/>
  <c r="D17" i="51"/>
  <c r="K17" i="51"/>
  <c r="G15" i="59"/>
  <c r="F13" i="59"/>
  <c r="G37" i="59"/>
  <c r="S11" i="49"/>
  <c r="L13" i="49"/>
  <c r="D13" i="49"/>
  <c r="F23" i="49"/>
  <c r="D24" i="49"/>
  <c r="M24" i="49"/>
  <c r="F32" i="59"/>
  <c r="G33" i="59"/>
  <c r="D12" i="49"/>
  <c r="L12" i="49"/>
  <c r="K16" i="53"/>
  <c r="D16" i="53"/>
  <c r="E14" i="53"/>
  <c r="D18" i="49"/>
  <c r="E17" i="49"/>
  <c r="L18" i="49"/>
  <c r="D15" i="50"/>
  <c r="E14" i="50"/>
  <c r="K15" i="50"/>
  <c r="F66" i="59"/>
  <c r="G67" i="59"/>
  <c r="F43" i="59"/>
  <c r="G44" i="59"/>
  <c r="E36" i="52"/>
  <c r="D37" i="52"/>
  <c r="K37" i="52"/>
  <c r="G21" i="59"/>
  <c r="H21" i="59"/>
  <c r="I21" i="59"/>
  <c r="F20" i="59"/>
  <c r="F48" i="59"/>
  <c r="G48" i="59" s="1"/>
  <c r="G49" i="59"/>
  <c r="E25" i="49"/>
  <c r="D26" i="49"/>
  <c r="L26" i="49"/>
  <c r="D15" i="53"/>
  <c r="F14" i="53"/>
  <c r="L15" i="53"/>
  <c r="Q17" i="49"/>
  <c r="R25" i="49"/>
  <c r="R17" i="49"/>
  <c r="O25" i="49"/>
  <c r="N14" i="50"/>
  <c r="N13" i="50" s="1"/>
  <c r="N16" i="51"/>
  <c r="N15" i="51" s="1"/>
  <c r="N10" i="51" s="1"/>
  <c r="N36" i="52"/>
  <c r="N35" i="52" s="1"/>
  <c r="N23" i="52" s="1"/>
  <c r="N10" i="52" s="1"/>
  <c r="O17" i="49"/>
  <c r="P14" i="50"/>
  <c r="P13" i="50" s="1"/>
  <c r="P10" i="50" s="1"/>
  <c r="O23" i="49"/>
  <c r="Q23" i="49"/>
  <c r="Q25" i="49"/>
  <c r="Q19" i="49"/>
  <c r="Q16" i="49" s="1"/>
  <c r="J21" i="49"/>
  <c r="R23" i="49"/>
  <c r="P13" i="49"/>
  <c r="K21" i="49"/>
  <c r="L21" i="49"/>
  <c r="O11" i="49"/>
  <c r="O15" i="50" l="1"/>
  <c r="M14" i="50"/>
  <c r="M13" i="50" s="1"/>
  <c r="G66" i="59"/>
  <c r="F65" i="59"/>
  <c r="H13" i="49"/>
  <c r="K13" i="49"/>
  <c r="J13" i="49"/>
  <c r="I13" i="49"/>
  <c r="G13" i="49"/>
  <c r="L20" i="49"/>
  <c r="E19" i="49"/>
  <c r="D20" i="49"/>
  <c r="F13" i="53"/>
  <c r="L14" i="53"/>
  <c r="G15" i="53"/>
  <c r="H15" i="53"/>
  <c r="D14" i="53"/>
  <c r="J15" i="53"/>
  <c r="N11" i="49"/>
  <c r="P12" i="49"/>
  <c r="S19" i="49"/>
  <c r="S16" i="49" s="1"/>
  <c r="S10" i="49" s="1"/>
  <c r="N25" i="49"/>
  <c r="P26" i="49"/>
  <c r="I26" i="49" s="1"/>
  <c r="D36" i="52"/>
  <c r="H37" i="52"/>
  <c r="G37" i="52"/>
  <c r="J37" i="52"/>
  <c r="I37" i="52"/>
  <c r="E35" i="52"/>
  <c r="K36" i="52"/>
  <c r="H12" i="49"/>
  <c r="J12" i="49"/>
  <c r="K12" i="49"/>
  <c r="G12" i="49"/>
  <c r="I12" i="49"/>
  <c r="C23" i="57"/>
  <c r="E13" i="50"/>
  <c r="K13" i="50" s="1"/>
  <c r="K14" i="50"/>
  <c r="R19" i="49"/>
  <c r="R16" i="49" s="1"/>
  <c r="P16" i="51"/>
  <c r="P15" i="51" s="1"/>
  <c r="P10" i="51" s="1"/>
  <c r="H15" i="50"/>
  <c r="J15" i="50"/>
  <c r="I15" i="50"/>
  <c r="D14" i="50"/>
  <c r="G15" i="50"/>
  <c r="O17" i="51"/>
  <c r="M16" i="51"/>
  <c r="M15" i="51" s="1"/>
  <c r="M10" i="51" s="1"/>
  <c r="J16" i="53"/>
  <c r="O16" i="53"/>
  <c r="S16" i="53" s="1"/>
  <c r="L25" i="49"/>
  <c r="C18" i="57"/>
  <c r="N14" i="53"/>
  <c r="N13" i="53" s="1"/>
  <c r="N10" i="53" s="1"/>
  <c r="O15" i="53"/>
  <c r="M14" i="53"/>
  <c r="M13" i="53" s="1"/>
  <c r="M10" i="53" s="1"/>
  <c r="N17" i="49"/>
  <c r="P18" i="49"/>
  <c r="F12" i="59"/>
  <c r="G13" i="59"/>
  <c r="P14" i="53"/>
  <c r="P13" i="53" s="1"/>
  <c r="P10" i="53" s="1"/>
  <c r="P24" i="49"/>
  <c r="N23" i="49"/>
  <c r="D25" i="49"/>
  <c r="K26" i="49"/>
  <c r="G26" i="49"/>
  <c r="H26" i="49"/>
  <c r="J26" i="49"/>
  <c r="U13" i="49"/>
  <c r="O37" i="52"/>
  <c r="M36" i="52"/>
  <c r="M35" i="52" s="1"/>
  <c r="M23" i="52" s="1"/>
  <c r="M10" i="52" s="1"/>
  <c r="L22" i="52"/>
  <c r="D22" i="52"/>
  <c r="F21" i="52"/>
  <c r="G43" i="59"/>
  <c r="F42" i="59"/>
  <c r="C15" i="57"/>
  <c r="L17" i="49"/>
  <c r="E16" i="49"/>
  <c r="L16" i="49" s="1"/>
  <c r="F31" i="59"/>
  <c r="G32" i="59"/>
  <c r="R11" i="49"/>
  <c r="H21" i="49"/>
  <c r="G18" i="49"/>
  <c r="D17" i="49"/>
  <c r="H18" i="49"/>
  <c r="J18" i="49"/>
  <c r="K18" i="49"/>
  <c r="F19" i="59"/>
  <c r="G20" i="59"/>
  <c r="K14" i="53"/>
  <c r="E13" i="53"/>
  <c r="K13" i="53" s="1"/>
  <c r="C50" i="57"/>
  <c r="G24" i="49"/>
  <c r="J24" i="49"/>
  <c r="D23" i="49"/>
  <c r="K24" i="49"/>
  <c r="H24" i="49"/>
  <c r="D16" i="51"/>
  <c r="H17" i="51"/>
  <c r="G17" i="51"/>
  <c r="I17" i="51"/>
  <c r="H16" i="53"/>
  <c r="G16" i="53"/>
  <c r="I16" i="53"/>
  <c r="M23" i="49"/>
  <c r="F16" i="49"/>
  <c r="K16" i="51"/>
  <c r="C32" i="57"/>
  <c r="E15" i="51"/>
  <c r="K15" i="51" s="1"/>
  <c r="U18" i="49" l="1"/>
  <c r="U17" i="49" s="1"/>
  <c r="P17" i="49"/>
  <c r="D13" i="50"/>
  <c r="H14" i="50"/>
  <c r="G14" i="50"/>
  <c r="J14" i="50"/>
  <c r="J17" i="49"/>
  <c r="G17" i="49"/>
  <c r="H17" i="49"/>
  <c r="K17" i="49"/>
  <c r="C48" i="57"/>
  <c r="U12" i="49"/>
  <c r="P11" i="49"/>
  <c r="J17" i="51"/>
  <c r="P21" i="49"/>
  <c r="G21" i="49"/>
  <c r="G42" i="59"/>
  <c r="F36" i="59"/>
  <c r="G36" i="59" s="1"/>
  <c r="K25" i="49"/>
  <c r="J25" i="49"/>
  <c r="H25" i="49"/>
  <c r="G25" i="49"/>
  <c r="S15" i="53"/>
  <c r="S14" i="53" s="1"/>
  <c r="S13" i="53" s="1"/>
  <c r="O14" i="53"/>
  <c r="O13" i="53" s="1"/>
  <c r="O10" i="53" s="1"/>
  <c r="D13" i="53"/>
  <c r="H14" i="53"/>
  <c r="G14" i="53"/>
  <c r="J14" i="53"/>
  <c r="I14" i="53"/>
  <c r="N19" i="49"/>
  <c r="N16" i="49" s="1"/>
  <c r="N10" i="49" s="1"/>
  <c r="P20" i="49"/>
  <c r="K35" i="52"/>
  <c r="E23" i="52"/>
  <c r="K23" i="52" s="1"/>
  <c r="H22" i="52"/>
  <c r="J22" i="52"/>
  <c r="G22" i="52"/>
  <c r="D21" i="52"/>
  <c r="I22" i="52"/>
  <c r="P23" i="49"/>
  <c r="I23" i="49" s="1"/>
  <c r="U24" i="49"/>
  <c r="U23" i="49" s="1"/>
  <c r="R10" i="49"/>
  <c r="L21" i="52"/>
  <c r="F17" i="52"/>
  <c r="O19" i="49"/>
  <c r="O16" i="49" s="1"/>
  <c r="O10" i="49" s="1"/>
  <c r="H16" i="51"/>
  <c r="G16" i="51"/>
  <c r="D15" i="51"/>
  <c r="J16" i="51"/>
  <c r="I16" i="51"/>
  <c r="C30" i="57"/>
  <c r="I24" i="49"/>
  <c r="I15" i="53"/>
  <c r="I18" i="49"/>
  <c r="G31" i="59"/>
  <c r="F25" i="59"/>
  <c r="G25" i="59" s="1"/>
  <c r="S37" i="52"/>
  <c r="S36" i="52" s="1"/>
  <c r="S35" i="52" s="1"/>
  <c r="S23" i="52" s="1"/>
  <c r="O36" i="52"/>
  <c r="O35" i="52" s="1"/>
  <c r="O23" i="52" s="1"/>
  <c r="O10" i="52" s="1"/>
  <c r="C21" i="57"/>
  <c r="F59" i="59"/>
  <c r="G65" i="59"/>
  <c r="H36" i="52"/>
  <c r="D35" i="52"/>
  <c r="J36" i="52"/>
  <c r="G36" i="52"/>
  <c r="L13" i="53"/>
  <c r="F10" i="53"/>
  <c r="L10" i="53" s="1"/>
  <c r="F10" i="49"/>
  <c r="M10" i="49" s="1"/>
  <c r="M16" i="49"/>
  <c r="H23" i="49"/>
  <c r="K23" i="49"/>
  <c r="J23" i="49"/>
  <c r="G23" i="49"/>
  <c r="S17" i="51"/>
  <c r="S16" i="51" s="1"/>
  <c r="S15" i="51" s="1"/>
  <c r="C19" i="47" s="1"/>
  <c r="O16" i="51"/>
  <c r="O15" i="51" s="1"/>
  <c r="O10" i="51" s="1"/>
  <c r="P25" i="49"/>
  <c r="I25" i="49" s="1"/>
  <c r="U26" i="49"/>
  <c r="U25" i="49" s="1"/>
  <c r="J20" i="49"/>
  <c r="K20" i="49"/>
  <c r="G20" i="49"/>
  <c r="H20" i="49"/>
  <c r="I20" i="49"/>
  <c r="D19" i="49"/>
  <c r="C13" i="57"/>
  <c r="G12" i="59"/>
  <c r="F11" i="59"/>
  <c r="L19" i="49"/>
  <c r="C16" i="57"/>
  <c r="O14" i="50"/>
  <c r="O13" i="50" s="1"/>
  <c r="S15" i="50"/>
  <c r="S14" i="50" s="1"/>
  <c r="S13" i="50" s="1"/>
  <c r="C16" i="47" s="1"/>
  <c r="J35" i="52" l="1"/>
  <c r="G35" i="52"/>
  <c r="D23" i="52"/>
  <c r="H35" i="52"/>
  <c r="I35" i="52"/>
  <c r="L17" i="52"/>
  <c r="F11" i="52"/>
  <c r="D16" i="49"/>
  <c r="J19" i="49"/>
  <c r="K19" i="49"/>
  <c r="H19" i="49"/>
  <c r="G19" i="49"/>
  <c r="U20" i="49"/>
  <c r="U19" i="49" s="1"/>
  <c r="U16" i="49" s="1"/>
  <c r="C13" i="47" s="1"/>
  <c r="P19" i="49"/>
  <c r="I19" i="49" s="1"/>
  <c r="G59" i="59"/>
  <c r="I14" i="50"/>
  <c r="C20" i="57"/>
  <c r="E11" i="53"/>
  <c r="D12" i="53"/>
  <c r="K12" i="53"/>
  <c r="U21" i="49"/>
  <c r="I21" i="49"/>
  <c r="I36" i="52"/>
  <c r="C22" i="47"/>
  <c r="C20" i="47" s="1"/>
  <c r="S10" i="52"/>
  <c r="J21" i="52"/>
  <c r="G21" i="52"/>
  <c r="H21" i="52"/>
  <c r="I21" i="52"/>
  <c r="G13" i="53"/>
  <c r="I13" i="53"/>
  <c r="H13" i="53"/>
  <c r="J13" i="53"/>
  <c r="P10" i="49"/>
  <c r="G13" i="50"/>
  <c r="J13" i="50"/>
  <c r="I13" i="50"/>
  <c r="H13" i="50"/>
  <c r="G15" i="51"/>
  <c r="J15" i="51"/>
  <c r="I15" i="51"/>
  <c r="H15" i="51"/>
  <c r="F10" i="59"/>
  <c r="C25" i="47"/>
  <c r="S10" i="53"/>
  <c r="I17" i="49"/>
  <c r="P16" i="49"/>
  <c r="H20" i="48"/>
  <c r="H21" i="48" s="1"/>
  <c r="M15" i="48"/>
  <c r="J20" i="48"/>
  <c r="M13" i="48"/>
  <c r="F20" i="48"/>
  <c r="F21" i="48" s="1"/>
  <c r="M17" i="48"/>
  <c r="M12" i="48"/>
  <c r="J21" i="48" l="1"/>
  <c r="D14" i="49"/>
  <c r="L14" i="49"/>
  <c r="E11" i="49"/>
  <c r="D12" i="50"/>
  <c r="E11" i="50"/>
  <c r="H16" i="49"/>
  <c r="G16" i="49"/>
  <c r="K16" i="49"/>
  <c r="J16" i="49"/>
  <c r="I16" i="49"/>
  <c r="C46" i="109"/>
  <c r="L11" i="52"/>
  <c r="F10" i="52"/>
  <c r="L10" i="52" s="1"/>
  <c r="D20" i="52"/>
  <c r="K20" i="52"/>
  <c r="E17" i="52"/>
  <c r="E20" i="48"/>
  <c r="E21" i="48" s="1"/>
  <c r="D32" i="57"/>
  <c r="D30" i="57" s="1"/>
  <c r="F30" i="57" s="1"/>
  <c r="H30" i="57"/>
  <c r="C23" i="47"/>
  <c r="M18" i="48"/>
  <c r="K20" i="48"/>
  <c r="K21" i="48" s="1"/>
  <c r="E10" i="54"/>
  <c r="D11" i="54"/>
  <c r="D10" i="54" s="1"/>
  <c r="G23" i="52"/>
  <c r="J23" i="52"/>
  <c r="H23" i="52"/>
  <c r="I23" i="52"/>
  <c r="C20" i="48"/>
  <c r="M10" i="48"/>
  <c r="D13" i="51"/>
  <c r="E11" i="51"/>
  <c r="D11" i="53"/>
  <c r="H12" i="53"/>
  <c r="J12" i="53"/>
  <c r="I12" i="53"/>
  <c r="G12" i="53"/>
  <c r="C47" i="57"/>
  <c r="E10" i="53"/>
  <c r="K10" i="53" s="1"/>
  <c r="K11" i="53"/>
  <c r="G72" i="34"/>
  <c r="I72" i="34"/>
  <c r="G76" i="34"/>
  <c r="G67" i="34"/>
  <c r="G69" i="34"/>
  <c r="H67" i="34"/>
  <c r="I67" i="34"/>
  <c r="I69" i="34"/>
  <c r="H66" i="34"/>
  <c r="H73" i="34"/>
  <c r="H75" i="34"/>
  <c r="G65" i="34"/>
  <c r="I66" i="34"/>
  <c r="G68" i="34"/>
  <c r="G70" i="34"/>
  <c r="G80" i="34"/>
  <c r="G82" i="34"/>
  <c r="G84" i="34"/>
  <c r="G86" i="34"/>
  <c r="G88" i="34"/>
  <c r="H78" i="34"/>
  <c r="H80" i="34"/>
  <c r="I80" i="34"/>
  <c r="I84" i="34"/>
  <c r="I86" i="34"/>
  <c r="G85" i="34"/>
  <c r="G87" i="34"/>
  <c r="G89" i="34"/>
  <c r="H79" i="34"/>
  <c r="I81" i="34"/>
  <c r="I55" i="34"/>
  <c r="H59" i="34"/>
  <c r="G61" i="34"/>
  <c r="H61" i="34"/>
  <c r="I61" i="34"/>
  <c r="I52" i="34"/>
  <c r="G54" i="34"/>
  <c r="G58" i="34"/>
  <c r="H54" i="34"/>
  <c r="I54" i="34"/>
  <c r="I56" i="34"/>
  <c r="H60" i="34"/>
  <c r="H52" i="34"/>
  <c r="H53" i="34"/>
  <c r="G55" i="34"/>
  <c r="G57" i="34"/>
  <c r="I53" i="34"/>
  <c r="H55" i="34"/>
  <c r="H57" i="34"/>
  <c r="G59" i="34"/>
  <c r="I92" i="34"/>
  <c r="I94" i="34"/>
  <c r="I100" i="34"/>
  <c r="J109" i="34"/>
  <c r="J113" i="34"/>
  <c r="J115" i="34"/>
  <c r="K107" i="34"/>
  <c r="K109" i="34"/>
  <c r="K111" i="34"/>
  <c r="K113" i="34"/>
  <c r="K115" i="34"/>
  <c r="M107" i="34"/>
  <c r="M109" i="34"/>
  <c r="M111" i="34"/>
  <c r="M113" i="34"/>
  <c r="M115" i="34"/>
  <c r="I93" i="34"/>
  <c r="I95" i="34"/>
  <c r="I99" i="34"/>
  <c r="J112" i="34"/>
  <c r="J114" i="34"/>
  <c r="J116" i="34"/>
  <c r="K106" i="34"/>
  <c r="K108" i="34"/>
  <c r="K110" i="34"/>
  <c r="K112" i="34"/>
  <c r="K114" i="34"/>
  <c r="K116" i="34"/>
  <c r="M106" i="34"/>
  <c r="M108" i="34"/>
  <c r="M110" i="34"/>
  <c r="M112" i="34"/>
  <c r="M114" i="34"/>
  <c r="M116" i="34"/>
  <c r="G123" i="34"/>
  <c r="H121" i="34"/>
  <c r="H127" i="34"/>
  <c r="I129" i="34"/>
  <c r="G129" i="34"/>
  <c r="G127" i="34"/>
  <c r="G120" i="34"/>
  <c r="G122" i="34"/>
  <c r="G124" i="34"/>
  <c r="I119" i="34"/>
  <c r="H120" i="34"/>
  <c r="H29" i="25"/>
  <c r="H128" i="34"/>
  <c r="I120" i="34"/>
  <c r="I122" i="34"/>
  <c r="I126" i="34"/>
  <c r="G118" i="34"/>
  <c r="I128" i="34"/>
  <c r="G121" i="34"/>
  <c r="I118" i="34"/>
  <c r="H132" i="34"/>
  <c r="G137" i="34"/>
  <c r="H137" i="34"/>
  <c r="G134" i="34"/>
  <c r="H142" i="34"/>
  <c r="H134" i="34"/>
  <c r="G139" i="34"/>
  <c r="H139" i="34"/>
  <c r="G132" i="34"/>
  <c r="H141" i="34"/>
  <c r="M131" i="34"/>
  <c r="M130" i="34" s="1"/>
  <c r="F30" i="25"/>
  <c r="G136" i="34"/>
  <c r="G141" i="34"/>
  <c r="G133" i="34"/>
  <c r="G138" i="34"/>
  <c r="G140" i="34"/>
  <c r="H133" i="34"/>
  <c r="R30" i="25"/>
  <c r="G143" i="34"/>
  <c r="G135" i="34"/>
  <c r="D30" i="25"/>
  <c r="H140" i="34"/>
  <c r="O30" i="25"/>
  <c r="G142" i="34"/>
  <c r="H147" i="34"/>
  <c r="I156" i="34"/>
  <c r="H149" i="34"/>
  <c r="H158" i="34"/>
  <c r="I149" i="34"/>
  <c r="I158" i="34"/>
  <c r="I151" i="34"/>
  <c r="H153" i="34"/>
  <c r="I155" i="34"/>
  <c r="H148" i="34"/>
  <c r="H150" i="34"/>
  <c r="H152" i="34"/>
  <c r="H154" i="34"/>
  <c r="I16" i="59"/>
  <c r="D18" i="57"/>
  <c r="J47" i="34"/>
  <c r="M48" i="34"/>
  <c r="K50" i="34"/>
  <c r="L41" i="34"/>
  <c r="M50" i="34"/>
  <c r="M41" i="34"/>
  <c r="K43" i="34"/>
  <c r="M43" i="34"/>
  <c r="K45" i="34"/>
  <c r="K47" i="34"/>
  <c r="M47" i="34"/>
  <c r="K42" i="34"/>
  <c r="M45" i="34"/>
  <c r="L47" i="34"/>
  <c r="J49" i="34"/>
  <c r="K49" i="34"/>
  <c r="J40" i="34"/>
  <c r="K40" i="34"/>
  <c r="M49" i="34"/>
  <c r="M40" i="34"/>
  <c r="K41" i="34"/>
  <c r="L50" i="34"/>
  <c r="M42" i="34"/>
  <c r="K44" i="34"/>
  <c r="J46" i="34"/>
  <c r="M46" i="34"/>
  <c r="L44" i="34"/>
  <c r="K46" i="34"/>
  <c r="M44" i="34"/>
  <c r="K48" i="34"/>
  <c r="J50" i="34"/>
  <c r="L42" i="34"/>
  <c r="L45" i="34"/>
  <c r="L43" i="34"/>
  <c r="L48" i="34"/>
  <c r="L49" i="34"/>
  <c r="L46" i="34"/>
  <c r="L40" i="34"/>
  <c r="G35" i="34"/>
  <c r="H33" i="34"/>
  <c r="H35" i="34"/>
  <c r="G37" i="34"/>
  <c r="H26" i="34"/>
  <c r="G28" i="34"/>
  <c r="H28" i="34"/>
  <c r="G30" i="34"/>
  <c r="J25" i="34"/>
  <c r="I28" i="34"/>
  <c r="I32" i="34"/>
  <c r="H34" i="34"/>
  <c r="G36" i="34"/>
  <c r="I34" i="34"/>
  <c r="H36" i="34"/>
  <c r="G29" i="34"/>
  <c r="H27" i="34"/>
  <c r="H29" i="34"/>
  <c r="G31" i="34"/>
  <c r="L25" i="34"/>
  <c r="D16" i="57"/>
  <c r="I22" i="59"/>
  <c r="I45" i="59"/>
  <c r="K20" i="59"/>
  <c r="I15" i="59"/>
  <c r="H16" i="59"/>
  <c r="H22" i="59"/>
  <c r="H15" i="59"/>
  <c r="H45" i="59"/>
  <c r="D12" i="57"/>
  <c r="I12" i="57"/>
  <c r="Q11" i="50"/>
  <c r="Q10" i="50" s="1"/>
  <c r="G94" i="34" l="1"/>
  <c r="D107" i="34"/>
  <c r="G107" i="34" s="1"/>
  <c r="I79" i="34"/>
  <c r="G79" i="34"/>
  <c r="K77" i="34"/>
  <c r="I78" i="34"/>
  <c r="I75" i="34"/>
  <c r="J117" i="34"/>
  <c r="C29" i="25"/>
  <c r="K105" i="34"/>
  <c r="K104" i="34" s="1"/>
  <c r="K91" i="34"/>
  <c r="K90" i="34" s="1"/>
  <c r="I33" i="34"/>
  <c r="I31" i="34"/>
  <c r="H15" i="34"/>
  <c r="E41" i="34"/>
  <c r="H41" i="34" s="1"/>
  <c r="J42" i="34"/>
  <c r="G27" i="25"/>
  <c r="D50" i="34"/>
  <c r="G50" i="34" s="1"/>
  <c r="G24" i="34"/>
  <c r="L146" i="34"/>
  <c r="H151" i="34"/>
  <c r="H136" i="34"/>
  <c r="U29" i="25"/>
  <c r="R29" i="25"/>
  <c r="U28" i="25"/>
  <c r="H103" i="34"/>
  <c r="E116" i="34"/>
  <c r="H116" i="34" s="1"/>
  <c r="T28" i="25"/>
  <c r="E115" i="34"/>
  <c r="H115" i="34" s="1"/>
  <c r="H102" i="34"/>
  <c r="G53" i="34"/>
  <c r="I63" i="34"/>
  <c r="G63" i="34"/>
  <c r="L77" i="34"/>
  <c r="H89" i="34"/>
  <c r="H88" i="34"/>
  <c r="I73" i="34"/>
  <c r="G71" i="34"/>
  <c r="H74" i="34"/>
  <c r="M20" i="48"/>
  <c r="M21" i="48"/>
  <c r="C21" i="48"/>
  <c r="J45" i="34"/>
  <c r="K27" i="25" s="1"/>
  <c r="K26" i="25" s="1"/>
  <c r="G154" i="34"/>
  <c r="M31" i="25"/>
  <c r="D106" i="34"/>
  <c r="G106" i="34" s="1"/>
  <c r="G93" i="34"/>
  <c r="K13" i="59"/>
  <c r="H14" i="59"/>
  <c r="L13" i="59"/>
  <c r="I14" i="59"/>
  <c r="H37" i="34"/>
  <c r="I37" i="34"/>
  <c r="H13" i="34"/>
  <c r="E39" i="34"/>
  <c r="H39" i="34" s="1"/>
  <c r="H21" i="34"/>
  <c r="E47" i="34"/>
  <c r="H47" i="34" s="1"/>
  <c r="G150" i="34"/>
  <c r="G31" i="25"/>
  <c r="U31" i="25"/>
  <c r="G158" i="34"/>
  <c r="U30" i="25"/>
  <c r="H143" i="34"/>
  <c r="H138" i="34"/>
  <c r="O29" i="25"/>
  <c r="M29" i="25"/>
  <c r="R28" i="25"/>
  <c r="E114" i="34"/>
  <c r="H114" i="34" s="1"/>
  <c r="H101" i="34"/>
  <c r="O28" i="25"/>
  <c r="H100" i="34"/>
  <c r="E113" i="34"/>
  <c r="H113" i="34" s="1"/>
  <c r="H58" i="34"/>
  <c r="H87" i="34"/>
  <c r="H86" i="34"/>
  <c r="G75" i="34"/>
  <c r="M64" i="34"/>
  <c r="H69" i="34"/>
  <c r="I30" i="34"/>
  <c r="D11" i="57"/>
  <c r="L17" i="59"/>
  <c r="I17" i="59" s="1"/>
  <c r="I18" i="59"/>
  <c r="K25" i="34"/>
  <c r="G32" i="34"/>
  <c r="L12" i="34"/>
  <c r="L39" i="34"/>
  <c r="L38" i="34" s="1"/>
  <c r="I17" i="34"/>
  <c r="F43" i="34"/>
  <c r="I43" i="34" s="1"/>
  <c r="D27" i="25"/>
  <c r="G14" i="34"/>
  <c r="D40" i="34"/>
  <c r="G40" i="34" s="1"/>
  <c r="G21" i="34"/>
  <c r="D47" i="34"/>
  <c r="G47" i="34" s="1"/>
  <c r="G153" i="34"/>
  <c r="K31" i="25"/>
  <c r="K146" i="34"/>
  <c r="H30" i="25"/>
  <c r="M30" i="25"/>
  <c r="T30" i="25"/>
  <c r="I30" i="25"/>
  <c r="J131" i="34"/>
  <c r="J130" i="34" s="1"/>
  <c r="C30" i="25"/>
  <c r="L117" i="34"/>
  <c r="K29" i="25"/>
  <c r="G126" i="34"/>
  <c r="G125" i="34"/>
  <c r="I29" i="25"/>
  <c r="H125" i="34"/>
  <c r="M28" i="25"/>
  <c r="H99" i="34"/>
  <c r="E112" i="34"/>
  <c r="H112" i="34" s="1"/>
  <c r="J111" i="34"/>
  <c r="K28" i="25"/>
  <c r="E111" i="34"/>
  <c r="H111" i="34" s="1"/>
  <c r="H98" i="34"/>
  <c r="I62" i="34"/>
  <c r="L51" i="34"/>
  <c r="H56" i="34"/>
  <c r="I59" i="34"/>
  <c r="H85" i="34"/>
  <c r="H84" i="34"/>
  <c r="G73" i="34"/>
  <c r="H72" i="34"/>
  <c r="C46" i="57"/>
  <c r="K17" i="52"/>
  <c r="E11" i="52"/>
  <c r="H20" i="59"/>
  <c r="H20" i="34"/>
  <c r="E46" i="34"/>
  <c r="H46" i="34" s="1"/>
  <c r="I35" i="34"/>
  <c r="U27" i="25"/>
  <c r="I15" i="34"/>
  <c r="F41" i="34"/>
  <c r="I41" i="34" s="1"/>
  <c r="J44" i="34"/>
  <c r="I27" i="25"/>
  <c r="G20" i="34"/>
  <c r="D46" i="34"/>
  <c r="G46" i="34" s="1"/>
  <c r="D39" i="34"/>
  <c r="G39" i="34" s="1"/>
  <c r="G13" i="34"/>
  <c r="D45" i="34"/>
  <c r="G45" i="34" s="1"/>
  <c r="G19" i="34"/>
  <c r="G157" i="34"/>
  <c r="T31" i="25"/>
  <c r="I148" i="34"/>
  <c r="I147" i="34"/>
  <c r="F29" i="25"/>
  <c r="H119" i="34"/>
  <c r="G29" i="25"/>
  <c r="H123" i="34"/>
  <c r="J110" i="34"/>
  <c r="I28" i="25" s="1"/>
  <c r="E110" i="34"/>
  <c r="H110" i="34" s="1"/>
  <c r="H97" i="34"/>
  <c r="H28" i="25"/>
  <c r="H96" i="34"/>
  <c r="E109" i="34"/>
  <c r="H109" i="34" s="1"/>
  <c r="I60" i="34"/>
  <c r="H83" i="34"/>
  <c r="H82" i="34"/>
  <c r="J64" i="34"/>
  <c r="I70" i="34"/>
  <c r="K12" i="50"/>
  <c r="I18" i="57"/>
  <c r="E18" i="57"/>
  <c r="E42" i="34"/>
  <c r="H42" i="34" s="1"/>
  <c r="H16" i="34"/>
  <c r="M39" i="34"/>
  <c r="M38" i="34" s="1"/>
  <c r="M12" i="34"/>
  <c r="I18" i="34"/>
  <c r="F44" i="34"/>
  <c r="I44" i="34" s="1"/>
  <c r="E50" i="34"/>
  <c r="H50" i="34" s="1"/>
  <c r="H24" i="34"/>
  <c r="G156" i="34"/>
  <c r="R31" i="25"/>
  <c r="D29" i="25"/>
  <c r="J108" i="34"/>
  <c r="G28" i="25" s="1"/>
  <c r="H95" i="34"/>
  <c r="E108" i="34"/>
  <c r="H108" i="34" s="1"/>
  <c r="J107" i="34"/>
  <c r="F28" i="25" s="1"/>
  <c r="E107" i="34"/>
  <c r="H107" i="34" s="1"/>
  <c r="H94" i="34"/>
  <c r="G62" i="34"/>
  <c r="J51" i="34"/>
  <c r="H81" i="34"/>
  <c r="L64" i="34"/>
  <c r="H76" i="34"/>
  <c r="H20" i="52"/>
  <c r="G20" i="52"/>
  <c r="I20" i="52"/>
  <c r="J20" i="52"/>
  <c r="D17" i="52"/>
  <c r="K11" i="50"/>
  <c r="E10" i="50"/>
  <c r="K10" i="50" s="1"/>
  <c r="E49" i="34"/>
  <c r="H49" i="34" s="1"/>
  <c r="H23" i="34"/>
  <c r="L38" i="59"/>
  <c r="I39" i="59"/>
  <c r="L23" i="59"/>
  <c r="I23" i="59" s="1"/>
  <c r="I24" i="59"/>
  <c r="H17" i="34"/>
  <c r="E43" i="34"/>
  <c r="H43" i="34" s="1"/>
  <c r="I26" i="34"/>
  <c r="E44" i="34"/>
  <c r="H44" i="34" s="1"/>
  <c r="H18" i="34"/>
  <c r="D49" i="34"/>
  <c r="G49" i="34" s="1"/>
  <c r="G23" i="34"/>
  <c r="H157" i="34"/>
  <c r="K131" i="34"/>
  <c r="K130" i="34" s="1"/>
  <c r="K117" i="34"/>
  <c r="L91" i="34"/>
  <c r="L90" i="34" s="1"/>
  <c r="J106" i="34"/>
  <c r="D28" i="25" s="1"/>
  <c r="E106" i="34"/>
  <c r="H106" i="34" s="1"/>
  <c r="H93" i="34"/>
  <c r="M91" i="34"/>
  <c r="M90" i="34" s="1"/>
  <c r="M105" i="34"/>
  <c r="M104" i="34" s="1"/>
  <c r="J105" i="34"/>
  <c r="C28" i="25" s="1"/>
  <c r="J91" i="34"/>
  <c r="E105" i="34"/>
  <c r="H105" i="34" s="1"/>
  <c r="H92" i="34"/>
  <c r="G60" i="34"/>
  <c r="M77" i="34"/>
  <c r="J77" i="34"/>
  <c r="H71" i="34"/>
  <c r="I74" i="34"/>
  <c r="H65" i="34"/>
  <c r="J12" i="50"/>
  <c r="D11" i="50"/>
  <c r="I14" i="34"/>
  <c r="F40" i="34"/>
  <c r="I40" i="34" s="1"/>
  <c r="K12" i="34"/>
  <c r="K39" i="34"/>
  <c r="K38" i="34" s="1"/>
  <c r="F42" i="34"/>
  <c r="I42" i="34" s="1"/>
  <c r="I16" i="34"/>
  <c r="G13" i="57"/>
  <c r="I15" i="57"/>
  <c r="E15" i="57"/>
  <c r="I16" i="57"/>
  <c r="E16" i="57"/>
  <c r="G33" i="34"/>
  <c r="F48" i="34"/>
  <c r="I48" i="34" s="1"/>
  <c r="I22" i="34"/>
  <c r="F46" i="34"/>
  <c r="I46" i="34" s="1"/>
  <c r="I20" i="34"/>
  <c r="F49" i="34"/>
  <c r="I49" i="34" s="1"/>
  <c r="I23" i="34"/>
  <c r="J41" i="34"/>
  <c r="F27" i="25"/>
  <c r="L20" i="59"/>
  <c r="U14" i="49"/>
  <c r="U11" i="49" s="1"/>
  <c r="Q11" i="49"/>
  <c r="Q10" i="49" s="1"/>
  <c r="G27" i="34"/>
  <c r="G34" i="34"/>
  <c r="H31" i="34"/>
  <c r="D43" i="34"/>
  <c r="G43" i="34" s="1"/>
  <c r="G17" i="34"/>
  <c r="M27" i="25"/>
  <c r="M26" i="25" s="1"/>
  <c r="T27" i="25"/>
  <c r="F47" i="34"/>
  <c r="I47" i="34" s="1"/>
  <c r="I21" i="34"/>
  <c r="J12" i="34"/>
  <c r="J39" i="34"/>
  <c r="C27" i="25"/>
  <c r="I152" i="34"/>
  <c r="G155" i="34"/>
  <c r="O31" i="25"/>
  <c r="G149" i="34"/>
  <c r="F31" i="25"/>
  <c r="H156" i="34"/>
  <c r="G128" i="34"/>
  <c r="H126" i="34"/>
  <c r="H129" i="34"/>
  <c r="H118" i="34"/>
  <c r="I103" i="34"/>
  <c r="G103" i="34"/>
  <c r="D116" i="34"/>
  <c r="G116" i="34" s="1"/>
  <c r="I102" i="34"/>
  <c r="D105" i="34"/>
  <c r="G105" i="34" s="1"/>
  <c r="G92" i="34"/>
  <c r="G52" i="34"/>
  <c r="I58" i="34"/>
  <c r="H63" i="34"/>
  <c r="I89" i="34"/>
  <c r="I88" i="34"/>
  <c r="G78" i="34"/>
  <c r="G66" i="34"/>
  <c r="E10" i="49"/>
  <c r="L10" i="49" s="1"/>
  <c r="L11" i="49"/>
  <c r="C12" i="57"/>
  <c r="H14" i="34"/>
  <c r="E40" i="34"/>
  <c r="H40" i="34" s="1"/>
  <c r="L43" i="59"/>
  <c r="I44" i="59"/>
  <c r="E45" i="34"/>
  <c r="H45" i="34" s="1"/>
  <c r="H19" i="34"/>
  <c r="G21" i="57"/>
  <c r="I23" i="57"/>
  <c r="E23" i="57"/>
  <c r="G30" i="57"/>
  <c r="I32" i="57"/>
  <c r="E32" i="57"/>
  <c r="I36" i="34"/>
  <c r="M25" i="34"/>
  <c r="H32" i="34"/>
  <c r="I29" i="34"/>
  <c r="I24" i="34"/>
  <c r="F50" i="34"/>
  <c r="I50" i="34" s="1"/>
  <c r="H22" i="34"/>
  <c r="E48" i="34"/>
  <c r="H48" i="34" s="1"/>
  <c r="I19" i="34"/>
  <c r="F45" i="34"/>
  <c r="I45" i="34" s="1"/>
  <c r="O27" i="25"/>
  <c r="I150" i="34"/>
  <c r="M146" i="34"/>
  <c r="I154" i="34"/>
  <c r="H124" i="34"/>
  <c r="I127" i="34"/>
  <c r="T29" i="25"/>
  <c r="I101" i="34"/>
  <c r="D114" i="34"/>
  <c r="G114" i="34" s="1"/>
  <c r="G101" i="34"/>
  <c r="G102" i="34"/>
  <c r="D115" i="34"/>
  <c r="G115" i="34" s="1"/>
  <c r="M51" i="34"/>
  <c r="I87" i="34"/>
  <c r="G74" i="34"/>
  <c r="G11" i="53"/>
  <c r="J11" i="53"/>
  <c r="H11" i="53"/>
  <c r="I11" i="53"/>
  <c r="D10" i="53"/>
  <c r="S13" i="51"/>
  <c r="S11" i="51" s="1"/>
  <c r="Q11" i="51"/>
  <c r="Q10" i="51" s="1"/>
  <c r="D23" i="57"/>
  <c r="D21" i="57" s="1"/>
  <c r="H21" i="57"/>
  <c r="H20" i="57" s="1"/>
  <c r="G28" i="57"/>
  <c r="K17" i="59"/>
  <c r="H17" i="59" s="1"/>
  <c r="H18" i="59"/>
  <c r="D15" i="57"/>
  <c r="D13" i="57" s="1"/>
  <c r="H13" i="57"/>
  <c r="H11" i="57" s="1"/>
  <c r="G26" i="34"/>
  <c r="H30" i="34"/>
  <c r="I27" i="34"/>
  <c r="J48" i="34"/>
  <c r="R27" i="25" s="1"/>
  <c r="R26" i="25" s="1"/>
  <c r="J43" i="34"/>
  <c r="H27" i="25"/>
  <c r="F39" i="34"/>
  <c r="I39" i="34" s="1"/>
  <c r="I13" i="34"/>
  <c r="G148" i="34"/>
  <c r="D31" i="25"/>
  <c r="H155" i="34"/>
  <c r="I31" i="25"/>
  <c r="G152" i="34"/>
  <c r="I124" i="34"/>
  <c r="H122" i="34"/>
  <c r="I125" i="34"/>
  <c r="D112" i="34"/>
  <c r="G112" i="34" s="1"/>
  <c r="G99" i="34"/>
  <c r="I98" i="34"/>
  <c r="G100" i="34"/>
  <c r="D113" i="34"/>
  <c r="G113" i="34" s="1"/>
  <c r="I85" i="34"/>
  <c r="K64" i="34"/>
  <c r="C29" i="57"/>
  <c r="E10" i="51"/>
  <c r="K10" i="51" s="1"/>
  <c r="K11" i="51"/>
  <c r="C46" i="65"/>
  <c r="G14" i="49"/>
  <c r="J14" i="49"/>
  <c r="K14" i="49"/>
  <c r="I14" i="49"/>
  <c r="H14" i="49"/>
  <c r="D11" i="49"/>
  <c r="K38" i="59"/>
  <c r="H39" i="59"/>
  <c r="K23" i="59"/>
  <c r="H23" i="59" s="1"/>
  <c r="H24" i="59"/>
  <c r="D41" i="34"/>
  <c r="G41" i="34" s="1"/>
  <c r="G15" i="34"/>
  <c r="G22" i="34"/>
  <c r="D48" i="34"/>
  <c r="G48" i="34" s="1"/>
  <c r="D44" i="34"/>
  <c r="G44" i="34" s="1"/>
  <c r="G18" i="34"/>
  <c r="G16" i="34"/>
  <c r="D42" i="34"/>
  <c r="G42" i="34" s="1"/>
  <c r="I153" i="34"/>
  <c r="G147" i="34"/>
  <c r="C31" i="25"/>
  <c r="F50" i="22" s="1"/>
  <c r="J146" i="34"/>
  <c r="K30" i="25"/>
  <c r="G30" i="25"/>
  <c r="G119" i="34"/>
  <c r="I123" i="34"/>
  <c r="I97" i="34"/>
  <c r="D110" i="34"/>
  <c r="G110" i="34" s="1"/>
  <c r="G97" i="34"/>
  <c r="I96" i="34"/>
  <c r="D111" i="34"/>
  <c r="G111" i="34" s="1"/>
  <c r="G98" i="34"/>
  <c r="H62" i="34"/>
  <c r="K51" i="34"/>
  <c r="G56" i="34"/>
  <c r="I57" i="34"/>
  <c r="I83" i="34"/>
  <c r="G83" i="34"/>
  <c r="I82" i="34"/>
  <c r="H68" i="34"/>
  <c r="I76" i="34"/>
  <c r="H70" i="34"/>
  <c r="K13" i="51"/>
  <c r="C47" i="109"/>
  <c r="I157" i="34"/>
  <c r="H31" i="25"/>
  <c r="G151" i="34"/>
  <c r="H135" i="34"/>
  <c r="M117" i="34"/>
  <c r="I121" i="34"/>
  <c r="D108" i="34"/>
  <c r="G108" i="34" s="1"/>
  <c r="G95" i="34"/>
  <c r="D109" i="34"/>
  <c r="G109" i="34" s="1"/>
  <c r="G96" i="34"/>
  <c r="G81" i="34"/>
  <c r="I71" i="34"/>
  <c r="I65" i="34"/>
  <c r="I68" i="34"/>
  <c r="H13" i="51"/>
  <c r="J13" i="51"/>
  <c r="I13" i="51"/>
  <c r="G13" i="51"/>
  <c r="D11" i="51"/>
  <c r="F14" i="124"/>
  <c r="D14" i="124" s="1"/>
  <c r="C26" i="25" l="1"/>
  <c r="C43" i="25" s="1"/>
  <c r="F47" i="22"/>
  <c r="K10" i="25"/>
  <c r="K43" i="25"/>
  <c r="K39" i="25" s="1"/>
  <c r="R10" i="25"/>
  <c r="R43" i="25"/>
  <c r="R39" i="25" s="1"/>
  <c r="J11" i="51"/>
  <c r="I11" i="51"/>
  <c r="H11" i="51"/>
  <c r="G11" i="51"/>
  <c r="D10" i="51"/>
  <c r="C11" i="57"/>
  <c r="E12" i="57"/>
  <c r="O26" i="25"/>
  <c r="I30" i="57"/>
  <c r="E30" i="57"/>
  <c r="L37" i="59"/>
  <c r="I38" i="59"/>
  <c r="K19" i="59"/>
  <c r="F11" i="57"/>
  <c r="F48" i="22"/>
  <c r="J302" i="56"/>
  <c r="J281" i="56"/>
  <c r="G306" i="56"/>
  <c r="G281" i="56" s="1"/>
  <c r="H26" i="25"/>
  <c r="F46" i="22"/>
  <c r="F21" i="57"/>
  <c r="D20" i="57"/>
  <c r="F20" i="57" s="1"/>
  <c r="J38" i="34"/>
  <c r="J11" i="34" s="1"/>
  <c r="C12" i="47"/>
  <c r="U10" i="49"/>
  <c r="K11" i="52"/>
  <c r="E10" i="52"/>
  <c r="K10" i="52" s="1"/>
  <c r="J415" i="56"/>
  <c r="J423" i="56"/>
  <c r="J416" i="56" s="1"/>
  <c r="G427" i="56"/>
  <c r="L19" i="59"/>
  <c r="I19" i="59" s="1"/>
  <c r="I20" i="59"/>
  <c r="F49" i="22"/>
  <c r="J282" i="56"/>
  <c r="G307" i="56"/>
  <c r="G282" i="56" s="1"/>
  <c r="J11" i="50"/>
  <c r="D10" i="50"/>
  <c r="J10" i="50" s="1"/>
  <c r="I26" i="25"/>
  <c r="D26" i="25"/>
  <c r="I31" i="47"/>
  <c r="E30" i="47"/>
  <c r="E50" i="109" s="1"/>
  <c r="E50" i="65" s="1"/>
  <c r="P49" i="70" s="1"/>
  <c r="Q49" i="70" s="1"/>
  <c r="K43" i="59"/>
  <c r="H44" i="59"/>
  <c r="L32" i="59"/>
  <c r="I33" i="59"/>
  <c r="D45" i="70"/>
  <c r="E45" i="70" s="1"/>
  <c r="S10" i="51"/>
  <c r="C18" i="47"/>
  <c r="G20" i="57"/>
  <c r="I21" i="57"/>
  <c r="E21" i="57"/>
  <c r="F26" i="25"/>
  <c r="J104" i="34"/>
  <c r="J90" i="34" s="1"/>
  <c r="K50" i="59"/>
  <c r="H51" i="59"/>
  <c r="J10" i="53"/>
  <c r="I10" i="53"/>
  <c r="G10" i="53"/>
  <c r="H10" i="53"/>
  <c r="G11" i="57"/>
  <c r="I13" i="57"/>
  <c r="E13" i="57"/>
  <c r="G26" i="25"/>
  <c r="O50" i="22"/>
  <c r="D25" i="73"/>
  <c r="E25" i="73" s="1"/>
  <c r="T26" i="25"/>
  <c r="J17" i="52"/>
  <c r="H17" i="52"/>
  <c r="I17" i="52"/>
  <c r="G17" i="52"/>
  <c r="D11" i="52"/>
  <c r="L12" i="59"/>
  <c r="I13" i="59"/>
  <c r="K32" i="59"/>
  <c r="H33" i="59"/>
  <c r="C10" i="127"/>
  <c r="L50" i="59"/>
  <c r="I51" i="59"/>
  <c r="C47" i="65"/>
  <c r="E29" i="57"/>
  <c r="C28" i="57"/>
  <c r="E28" i="57" s="1"/>
  <c r="K37" i="59"/>
  <c r="H38" i="59"/>
  <c r="L42" i="59"/>
  <c r="I42" i="59" s="1"/>
  <c r="I43" i="59"/>
  <c r="U26" i="25"/>
  <c r="L11" i="34"/>
  <c r="L10" i="34" s="1"/>
  <c r="M43" i="25"/>
  <c r="M39" i="25" s="1"/>
  <c r="M10" i="25"/>
  <c r="M11" i="34"/>
  <c r="M10" i="34" s="1"/>
  <c r="I29" i="57"/>
  <c r="H28" i="57"/>
  <c r="I28" i="57" s="1"/>
  <c r="D29" i="57"/>
  <c r="D28" i="57" s="1"/>
  <c r="F28" i="57" s="1"/>
  <c r="I32" i="47"/>
  <c r="C30" i="47"/>
  <c r="J11" i="49"/>
  <c r="D10" i="49"/>
  <c r="I11" i="49"/>
  <c r="G11" i="49"/>
  <c r="H11" i="49"/>
  <c r="K11" i="49"/>
  <c r="F13" i="57"/>
  <c r="K11" i="34"/>
  <c r="K10" i="34" s="1"/>
  <c r="K12" i="59"/>
  <c r="H13" i="59"/>
  <c r="G10" i="126"/>
  <c r="H10" i="126"/>
  <c r="C30" i="128"/>
  <c r="C23" i="128"/>
  <c r="C67" i="109"/>
  <c r="F16" i="124"/>
  <c r="D16" i="124" s="1"/>
  <c r="D46" i="70" l="1"/>
  <c r="E46" i="70" s="1"/>
  <c r="N11" i="50"/>
  <c r="H12" i="50"/>
  <c r="C10" i="57"/>
  <c r="E11" i="57"/>
  <c r="F45" i="70"/>
  <c r="J277" i="56"/>
  <c r="J295" i="56"/>
  <c r="G302" i="56"/>
  <c r="H10" i="51"/>
  <c r="I10" i="51"/>
  <c r="J10" i="51"/>
  <c r="G10" i="51"/>
  <c r="L49" i="59"/>
  <c r="I50" i="59"/>
  <c r="O48" i="22"/>
  <c r="D23" i="73"/>
  <c r="E23" i="73" s="1"/>
  <c r="F11" i="126"/>
  <c r="F10" i="126" s="1"/>
  <c r="D12" i="1" s="1"/>
  <c r="T10" i="25"/>
  <c r="T43" i="25"/>
  <c r="T39" i="25" s="1"/>
  <c r="L31" i="59"/>
  <c r="I32" i="59"/>
  <c r="U43" i="25"/>
  <c r="U39" i="25" s="1"/>
  <c r="U10" i="25"/>
  <c r="F25" i="73"/>
  <c r="K49" i="59"/>
  <c r="H50" i="59"/>
  <c r="I10" i="49"/>
  <c r="G10" i="49"/>
  <c r="K10" i="49"/>
  <c r="J10" i="49"/>
  <c r="H10" i="49"/>
  <c r="K42" i="59"/>
  <c r="H43" i="59"/>
  <c r="O49" i="22"/>
  <c r="D24" i="73"/>
  <c r="E24" i="73" s="1"/>
  <c r="C11" i="47"/>
  <c r="D13" i="47"/>
  <c r="H19" i="59"/>
  <c r="C66" i="65"/>
  <c r="O67" i="109"/>
  <c r="G10" i="25"/>
  <c r="G43" i="25"/>
  <c r="G39" i="25" s="1"/>
  <c r="F43" i="25"/>
  <c r="F39" i="25" s="1"/>
  <c r="F10" i="25"/>
  <c r="R49" i="70"/>
  <c r="J10" i="34"/>
  <c r="I30" i="47"/>
  <c r="C50" i="109"/>
  <c r="K31" i="59"/>
  <c r="H32" i="59"/>
  <c r="L36" i="59"/>
  <c r="I36" i="59" s="1"/>
  <c r="I37" i="59"/>
  <c r="G423" i="56"/>
  <c r="G415" i="56"/>
  <c r="D10" i="25"/>
  <c r="D43" i="25"/>
  <c r="D39" i="25" s="1"/>
  <c r="C21" i="128"/>
  <c r="C10" i="128" s="1"/>
  <c r="L11" i="59"/>
  <c r="I12" i="59"/>
  <c r="E12" i="47"/>
  <c r="E11" i="47" s="1"/>
  <c r="E13" i="47"/>
  <c r="I20" i="57"/>
  <c r="E20" i="57"/>
  <c r="I10" i="25"/>
  <c r="I43" i="25"/>
  <c r="I39" i="25" s="1"/>
  <c r="F45" i="22"/>
  <c r="O46" i="22"/>
  <c r="D21" i="73"/>
  <c r="E21" i="73" s="1"/>
  <c r="E19" i="47"/>
  <c r="D18" i="47"/>
  <c r="H37" i="59"/>
  <c r="G11" i="52"/>
  <c r="H11" i="52"/>
  <c r="I11" i="52"/>
  <c r="J11" i="52"/>
  <c r="D10" i="52"/>
  <c r="I11" i="57"/>
  <c r="C17" i="47"/>
  <c r="J331" i="56"/>
  <c r="J327" i="56" s="1"/>
  <c r="J320" i="56" s="1"/>
  <c r="D22" i="47" s="1"/>
  <c r="I22" i="47" s="1"/>
  <c r="J411" i="56"/>
  <c r="J404" i="56" s="1"/>
  <c r="H10" i="25"/>
  <c r="H43" i="25"/>
  <c r="H39" i="25" s="1"/>
  <c r="O10" i="25"/>
  <c r="O43" i="25"/>
  <c r="O39" i="25" s="1"/>
  <c r="D22" i="73"/>
  <c r="E22" i="73" s="1"/>
  <c r="O47" i="22"/>
  <c r="G11" i="124"/>
  <c r="F13" i="124"/>
  <c r="C11" i="126"/>
  <c r="D12" i="47"/>
  <c r="D11" i="47" s="1"/>
  <c r="K11" i="59"/>
  <c r="H12" i="59"/>
  <c r="E18" i="47"/>
  <c r="E17" i="47" s="1"/>
  <c r="E45" i="109" s="1"/>
  <c r="E45" i="65" s="1"/>
  <c r="P44" i="70" s="1"/>
  <c r="Q44" i="70" s="1"/>
  <c r="O12" i="50"/>
  <c r="M11" i="50"/>
  <c r="G12" i="50"/>
  <c r="F18" i="124"/>
  <c r="E11" i="126" l="1"/>
  <c r="C10" i="126"/>
  <c r="E10" i="126" s="1"/>
  <c r="K66" i="65"/>
  <c r="D65" i="70"/>
  <c r="E65" i="70" s="1"/>
  <c r="M10" i="50"/>
  <c r="G10" i="50" s="1"/>
  <c r="G11" i="50"/>
  <c r="K25" i="59"/>
  <c r="H25" i="59" s="1"/>
  <c r="D16" i="47"/>
  <c r="H31" i="59"/>
  <c r="E16" i="47"/>
  <c r="E14" i="47" s="1"/>
  <c r="E44" i="109" s="1"/>
  <c r="E44" i="65" s="1"/>
  <c r="P43" i="70" s="1"/>
  <c r="Q43" i="70" s="1"/>
  <c r="L25" i="59"/>
  <c r="I25" i="59" s="1"/>
  <c r="I31" i="59"/>
  <c r="C50" i="65"/>
  <c r="O50" i="109"/>
  <c r="I13" i="47"/>
  <c r="E43" i="109"/>
  <c r="E43" i="65" s="1"/>
  <c r="P42" i="70" s="1"/>
  <c r="Q42" i="70" s="1"/>
  <c r="R44" i="70"/>
  <c r="I12" i="47"/>
  <c r="J270" i="56"/>
  <c r="J269" i="56" s="1"/>
  <c r="J10" i="56" s="1"/>
  <c r="G277" i="56"/>
  <c r="I11" i="59"/>
  <c r="C43" i="109"/>
  <c r="I11" i="47"/>
  <c r="J12" i="1"/>
  <c r="D11" i="1"/>
  <c r="S12" i="50"/>
  <c r="S11" i="50" s="1"/>
  <c r="O11" i="50"/>
  <c r="I12" i="50"/>
  <c r="F24" i="73"/>
  <c r="K48" i="59"/>
  <c r="H48" i="59" s="1"/>
  <c r="D21" i="47"/>
  <c r="H49" i="59"/>
  <c r="F23" i="73"/>
  <c r="H11" i="59"/>
  <c r="D43" i="109"/>
  <c r="D43" i="65" s="1"/>
  <c r="J42" i="70" s="1"/>
  <c r="K42" i="70" s="1"/>
  <c r="I18" i="47"/>
  <c r="F21" i="73"/>
  <c r="K36" i="59"/>
  <c r="H36" i="59" s="1"/>
  <c r="D19" i="47"/>
  <c r="I19" i="47" s="1"/>
  <c r="H42" i="59"/>
  <c r="L48" i="59"/>
  <c r="I48" i="59" s="1"/>
  <c r="E21" i="47"/>
  <c r="E20" i="47" s="1"/>
  <c r="E46" i="109" s="1"/>
  <c r="E46" i="65" s="1"/>
  <c r="P45" i="70" s="1"/>
  <c r="Q45" i="70" s="1"/>
  <c r="I49" i="59"/>
  <c r="N10" i="50"/>
  <c r="H10" i="50" s="1"/>
  <c r="H11" i="50"/>
  <c r="D13" i="124"/>
  <c r="D11" i="124" s="1"/>
  <c r="F11" i="124"/>
  <c r="F28" i="109"/>
  <c r="O45" i="22"/>
  <c r="C45" i="109"/>
  <c r="G411" i="56"/>
  <c r="G331" i="56"/>
  <c r="G327" i="56" s="1"/>
  <c r="F17" i="124"/>
  <c r="G17" i="124" s="1"/>
  <c r="G10" i="124" s="1"/>
  <c r="C29" i="47" s="1"/>
  <c r="D18" i="124"/>
  <c r="D17" i="124" s="1"/>
  <c r="J10" i="52"/>
  <c r="H10" i="52"/>
  <c r="I10" i="52"/>
  <c r="G10" i="52"/>
  <c r="W43" i="25"/>
  <c r="F22" i="73"/>
  <c r="F46" i="70"/>
  <c r="D10" i="124" l="1"/>
  <c r="R43" i="70"/>
  <c r="L42" i="70"/>
  <c r="D17" i="47"/>
  <c r="D14" i="47"/>
  <c r="I16" i="47"/>
  <c r="O10" i="50"/>
  <c r="I10" i="50" s="1"/>
  <c r="I11" i="50"/>
  <c r="C15" i="47"/>
  <c r="S10" i="50"/>
  <c r="R45" i="70"/>
  <c r="D52" i="109"/>
  <c r="J11" i="1"/>
  <c r="R42" i="70"/>
  <c r="F65" i="70"/>
  <c r="C49" i="109"/>
  <c r="I29" i="47"/>
  <c r="C45" i="65"/>
  <c r="F28" i="65"/>
  <c r="K28" i="65" s="1"/>
  <c r="O28" i="109"/>
  <c r="D20" i="47"/>
  <c r="I21" i="47"/>
  <c r="F10" i="124"/>
  <c r="C43" i="65"/>
  <c r="O43" i="109"/>
  <c r="K50" i="65"/>
  <c r="D49" i="70"/>
  <c r="E49" i="70" s="1"/>
  <c r="D27" i="128" l="1"/>
  <c r="C14" i="47"/>
  <c r="I15" i="47"/>
  <c r="K43" i="65"/>
  <c r="D42" i="70"/>
  <c r="E42" i="70" s="1"/>
  <c r="F11" i="129"/>
  <c r="D23" i="1"/>
  <c r="J23" i="1" s="1"/>
  <c r="D46" i="109"/>
  <c r="I20" i="47"/>
  <c r="D44" i="109"/>
  <c r="D44" i="65" s="1"/>
  <c r="J43" i="70" s="1"/>
  <c r="K43" i="70" s="1"/>
  <c r="D45" i="109"/>
  <c r="I17" i="47"/>
  <c r="G10" i="127"/>
  <c r="E11" i="127"/>
  <c r="F10" i="129"/>
  <c r="D22" i="1"/>
  <c r="H21" i="128"/>
  <c r="E22" i="128"/>
  <c r="D52" i="65"/>
  <c r="O52" i="109"/>
  <c r="D44" i="70"/>
  <c r="E44" i="70" s="1"/>
  <c r="F49" i="70"/>
  <c r="H49" i="70"/>
  <c r="D31" i="128"/>
  <c r="G30" i="128"/>
  <c r="D30" i="128" s="1"/>
  <c r="D22" i="128"/>
  <c r="G10" i="129"/>
  <c r="E22" i="1"/>
  <c r="E21" i="1" s="1"/>
  <c r="E55" i="109" s="1"/>
  <c r="E55" i="65" s="1"/>
  <c r="P54" i="70" s="1"/>
  <c r="Q54" i="70" s="1"/>
  <c r="F22" i="128"/>
  <c r="I21" i="128"/>
  <c r="F10" i="127"/>
  <c r="D11" i="127"/>
  <c r="D12" i="43"/>
  <c r="O49" i="109"/>
  <c r="C49" i="65"/>
  <c r="E10" i="46"/>
  <c r="C45" i="38" s="1"/>
  <c r="E14" i="43"/>
  <c r="C46" i="38"/>
  <c r="E38" i="38"/>
  <c r="J38" i="38" s="1"/>
  <c r="E37" i="38"/>
  <c r="J37" i="38" s="1"/>
  <c r="E23" i="43"/>
  <c r="D12" i="46"/>
  <c r="E39" i="38"/>
  <c r="J39" i="38" s="1"/>
  <c r="D13" i="46" l="1"/>
  <c r="J45" i="38"/>
  <c r="C38" i="109"/>
  <c r="C10" i="38"/>
  <c r="E17" i="43"/>
  <c r="L43" i="70"/>
  <c r="F12" i="43"/>
  <c r="E36" i="38" s="1"/>
  <c r="J36" i="38" s="1"/>
  <c r="E11" i="43"/>
  <c r="E35" i="38"/>
  <c r="D48" i="70"/>
  <c r="E48" i="70" s="1"/>
  <c r="K49" i="65"/>
  <c r="E21" i="128"/>
  <c r="H10" i="128"/>
  <c r="D46" i="65"/>
  <c r="O46" i="109"/>
  <c r="J22" i="1"/>
  <c r="D21" i="1"/>
  <c r="E22" i="43"/>
  <c r="F21" i="43"/>
  <c r="E42" i="38" s="1"/>
  <c r="J42" i="38" s="1"/>
  <c r="E13" i="43"/>
  <c r="F42" i="70"/>
  <c r="E16" i="1"/>
  <c r="E15" i="1" s="1"/>
  <c r="E10" i="127"/>
  <c r="D16" i="1"/>
  <c r="D10" i="127"/>
  <c r="F44" i="70"/>
  <c r="D11" i="46"/>
  <c r="F21" i="128"/>
  <c r="I10" i="128"/>
  <c r="E16" i="43"/>
  <c r="E18" i="43"/>
  <c r="I14" i="47"/>
  <c r="C44" i="109"/>
  <c r="C10" i="47"/>
  <c r="J46" i="38"/>
  <c r="C39" i="109"/>
  <c r="G23" i="128"/>
  <c r="E40" i="38"/>
  <c r="J40" i="38" s="1"/>
  <c r="E19" i="43"/>
  <c r="R54" i="70"/>
  <c r="J51" i="70"/>
  <c r="K51" i="70" s="1"/>
  <c r="K52" i="65"/>
  <c r="D45" i="65"/>
  <c r="O45" i="109"/>
  <c r="P22" i="12"/>
  <c r="K25" i="12"/>
  <c r="K15" i="12"/>
  <c r="K42" i="12"/>
  <c r="K20" i="12"/>
  <c r="K19" i="12"/>
  <c r="F42" i="15"/>
  <c r="K21" i="12"/>
  <c r="K26" i="12"/>
  <c r="K13" i="12"/>
  <c r="K17" i="12"/>
  <c r="K52" i="12"/>
  <c r="F41" i="15"/>
  <c r="K11" i="12"/>
  <c r="P34" i="12"/>
  <c r="E50" i="15"/>
  <c r="K37" i="12"/>
  <c r="F13" i="33"/>
  <c r="Q41" i="12" l="1"/>
  <c r="H41" i="15"/>
  <c r="L52" i="12"/>
  <c r="N52" i="12"/>
  <c r="E31" i="15"/>
  <c r="Q26" i="12"/>
  <c r="H26" i="15"/>
  <c r="H28" i="15"/>
  <c r="Q28" i="12"/>
  <c r="F48" i="70"/>
  <c r="I50" i="15"/>
  <c r="F50" i="15" s="1"/>
  <c r="F47" i="15"/>
  <c r="K35" i="12"/>
  <c r="K28" i="12"/>
  <c r="F35" i="15"/>
  <c r="I45" i="15"/>
  <c r="F45" i="15" s="1"/>
  <c r="E12" i="43"/>
  <c r="F10" i="43"/>
  <c r="E64" i="132"/>
  <c r="H64" i="132"/>
  <c r="C31" i="22" s="1"/>
  <c r="H22" i="15"/>
  <c r="Q22" i="12"/>
  <c r="G31" i="15"/>
  <c r="H36" i="132"/>
  <c r="H35" i="132"/>
  <c r="C24" i="22" s="1"/>
  <c r="H39" i="132"/>
  <c r="H45" i="132"/>
  <c r="H42" i="132" s="1"/>
  <c r="C25" i="42"/>
  <c r="Q34" i="12"/>
  <c r="G45" i="15"/>
  <c r="H45" i="15" s="1"/>
  <c r="H34" i="15"/>
  <c r="E19" i="1"/>
  <c r="E18" i="1" s="1"/>
  <c r="E54" i="109" s="1"/>
  <c r="E54" i="65" s="1"/>
  <c r="P53" i="70" s="1"/>
  <c r="F10" i="128"/>
  <c r="J35" i="38"/>
  <c r="E34" i="38"/>
  <c r="Q37" i="12"/>
  <c r="R37" i="12" s="1"/>
  <c r="S37" i="12" s="1"/>
  <c r="T37" i="12" s="1"/>
  <c r="H37" i="15"/>
  <c r="F26" i="15"/>
  <c r="I31" i="15"/>
  <c r="N15" i="12"/>
  <c r="P15" i="12" s="1"/>
  <c r="R15" i="12" s="1"/>
  <c r="S15" i="12" s="1"/>
  <c r="T15" i="12" s="1"/>
  <c r="L15" i="12"/>
  <c r="N21" i="12"/>
  <c r="P21" i="12" s="1"/>
  <c r="R21" i="12" s="1"/>
  <c r="S21" i="12" s="1"/>
  <c r="T21" i="12" s="1"/>
  <c r="L21" i="12"/>
  <c r="N25" i="12"/>
  <c r="P25" i="12" s="1"/>
  <c r="L25" i="12"/>
  <c r="D23" i="128"/>
  <c r="G21" i="128"/>
  <c r="K41" i="12"/>
  <c r="E45" i="15"/>
  <c r="C53" i="11"/>
  <c r="J21" i="1"/>
  <c r="D55" i="109"/>
  <c r="N11" i="12"/>
  <c r="L11" i="12"/>
  <c r="L37" i="12"/>
  <c r="N37" i="12"/>
  <c r="P37" i="12" s="1"/>
  <c r="N17" i="12"/>
  <c r="P17" i="12" s="1"/>
  <c r="R17" i="12" s="1"/>
  <c r="S17" i="12" s="1"/>
  <c r="T17" i="12" s="1"/>
  <c r="L17" i="12"/>
  <c r="L42" i="12"/>
  <c r="N42" i="12"/>
  <c r="P42" i="12" s="1"/>
  <c r="K40" i="12"/>
  <c r="C39" i="65"/>
  <c r="O39" i="109"/>
  <c r="L13" i="12"/>
  <c r="N13" i="12"/>
  <c r="P13" i="12" s="1"/>
  <c r="R13" i="12" s="1"/>
  <c r="S13" i="12" s="1"/>
  <c r="T13" i="12" s="1"/>
  <c r="K16" i="12"/>
  <c r="J44" i="70"/>
  <c r="K44" i="70" s="1"/>
  <c r="K45" i="65"/>
  <c r="J16" i="1"/>
  <c r="D15" i="1"/>
  <c r="J45" i="70"/>
  <c r="K45" i="70" s="1"/>
  <c r="K46" i="65"/>
  <c r="C31" i="109"/>
  <c r="L20" i="12"/>
  <c r="N20" i="12"/>
  <c r="P20" i="12" s="1"/>
  <c r="R20" i="12" s="1"/>
  <c r="S20" i="12" s="1"/>
  <c r="T20" i="12" s="1"/>
  <c r="G50" i="15"/>
  <c r="H50" i="15" s="1"/>
  <c r="Q47" i="12"/>
  <c r="H47" i="15"/>
  <c r="H25" i="15"/>
  <c r="Q25" i="12"/>
  <c r="F28" i="15"/>
  <c r="Q42" i="12"/>
  <c r="R42" i="12" s="1"/>
  <c r="S42" i="12" s="1"/>
  <c r="T42" i="12" s="1"/>
  <c r="H42" i="15"/>
  <c r="H35" i="15"/>
  <c r="Q35" i="12"/>
  <c r="C42" i="109"/>
  <c r="E10" i="128"/>
  <c r="D19" i="1"/>
  <c r="D18" i="1" s="1"/>
  <c r="D54" i="109" s="1"/>
  <c r="D54" i="65" s="1"/>
  <c r="J53" i="70" s="1"/>
  <c r="O38" i="109"/>
  <c r="C38" i="65"/>
  <c r="C13" i="25"/>
  <c r="C12" i="25" s="1"/>
  <c r="C11" i="25" s="1"/>
  <c r="G12" i="33"/>
  <c r="G11" i="33" s="1"/>
  <c r="G10" i="33" s="1"/>
  <c r="N26" i="12"/>
  <c r="P26" i="12" s="1"/>
  <c r="L26" i="12"/>
  <c r="K24" i="12"/>
  <c r="K47" i="12"/>
  <c r="H24" i="15"/>
  <c r="Q24" i="12"/>
  <c r="L51" i="70"/>
  <c r="C44" i="65"/>
  <c r="O44" i="109"/>
  <c r="E10" i="1"/>
  <c r="E51" i="109" s="1"/>
  <c r="E51" i="65" s="1"/>
  <c r="P50" i="70" s="1"/>
  <c r="Q50" i="70" s="1"/>
  <c r="E53" i="109"/>
  <c r="E53" i="65" s="1"/>
  <c r="P52" i="70" s="1"/>
  <c r="Q52" i="70" s="1"/>
  <c r="L19" i="12"/>
  <c r="N19" i="12"/>
  <c r="P19" i="12" s="1"/>
  <c r="R19" i="12" s="1"/>
  <c r="S19" i="12" s="1"/>
  <c r="T19" i="12" s="1"/>
  <c r="E33" i="132"/>
  <c r="K22" i="132"/>
  <c r="L22" i="132"/>
  <c r="E73" i="132"/>
  <c r="I164" i="34"/>
  <c r="F28" i="33"/>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L20" i="41"/>
  <c r="L15" i="41" s="1"/>
  <c r="L10" i="41" s="1"/>
  <c r="J28" i="41"/>
  <c r="J27" i="41" s="1"/>
  <c r="J30" i="41"/>
  <c r="M20" i="41"/>
  <c r="M15" i="41" s="1"/>
  <c r="M10" i="41" s="1"/>
  <c r="K28" i="41"/>
  <c r="K27" i="41" s="1"/>
  <c r="K30" i="41"/>
  <c r="R22" i="41"/>
  <c r="L28" i="41"/>
  <c r="L27" i="41" s="1"/>
  <c r="L30" i="41"/>
  <c r="O28" i="41"/>
  <c r="O27" i="41" s="1"/>
  <c r="Q28" i="41"/>
  <c r="Q27" i="41" s="1"/>
  <c r="N30" i="41"/>
  <c r="N48" i="41" s="1"/>
  <c r="O30" i="41"/>
  <c r="R33" i="41"/>
  <c r="Q30" i="41"/>
  <c r="G22" i="40"/>
  <c r="E22" i="41" s="1"/>
  <c r="G29" i="40"/>
  <c r="E29" i="41" s="1"/>
  <c r="G23" i="40"/>
  <c r="E23" i="41" s="1"/>
  <c r="G26" i="40"/>
  <c r="E26" i="41" s="1"/>
  <c r="G21" i="40"/>
  <c r="E21" i="41" s="1"/>
  <c r="J49" i="41"/>
  <c r="K49" i="41"/>
  <c r="L49" i="41"/>
  <c r="V47" i="41"/>
  <c r="C22" i="10"/>
  <c r="C27" i="10"/>
  <c r="C15" i="10" s="1"/>
  <c r="C104" i="10"/>
  <c r="H98" i="132"/>
  <c r="C58" i="22" s="1"/>
  <c r="G28" i="39"/>
  <c r="G27" i="39" s="1"/>
  <c r="D19" i="38" s="1"/>
  <c r="J19" i="38" s="1"/>
  <c r="G45" i="39"/>
  <c r="K28" i="40"/>
  <c r="K27" i="40" s="1"/>
  <c r="D29" i="38" s="1"/>
  <c r="K39" i="40"/>
  <c r="C22" i="22"/>
  <c r="O22" i="22" s="1"/>
  <c r="G25" i="39"/>
  <c r="G24" i="39" s="1"/>
  <c r="D18" i="38" s="1"/>
  <c r="J18" i="38" s="1"/>
  <c r="K25" i="40"/>
  <c r="K24" i="40" s="1"/>
  <c r="D28" i="38" s="1"/>
  <c r="J28" i="38" s="1"/>
  <c r="K45" i="40"/>
  <c r="X30" i="41"/>
  <c r="E30" i="38" s="1"/>
  <c r="Y17" i="25"/>
  <c r="Y16" i="25" s="1"/>
  <c r="X20" i="41" l="1"/>
  <c r="C16" i="10"/>
  <c r="F22" i="39"/>
  <c r="C22" i="41"/>
  <c r="C22" i="40"/>
  <c r="J22" i="40" s="1"/>
  <c r="R46" i="41"/>
  <c r="M45" i="41"/>
  <c r="R45" i="41" s="1"/>
  <c r="E63" i="132"/>
  <c r="C10" i="25"/>
  <c r="C40" i="25"/>
  <c r="R25" i="12"/>
  <c r="S25" i="12" s="1"/>
  <c r="T25" i="12" s="1"/>
  <c r="H31" i="15"/>
  <c r="G55" i="15"/>
  <c r="H55" i="15" s="1"/>
  <c r="C43" i="40"/>
  <c r="C43" i="41"/>
  <c r="F43" i="39"/>
  <c r="L48" i="41"/>
  <c r="F26" i="33"/>
  <c r="F25" i="33"/>
  <c r="H164" i="34"/>
  <c r="F46" i="132"/>
  <c r="E46" i="132"/>
  <c r="D43" i="70"/>
  <c r="E43" i="70" s="1"/>
  <c r="K44" i="65"/>
  <c r="K38" i="65"/>
  <c r="D37" i="70"/>
  <c r="E37" i="70" s="1"/>
  <c r="Q31" i="12"/>
  <c r="R22" i="12"/>
  <c r="S22" i="12" s="1"/>
  <c r="T22" i="12" s="1"/>
  <c r="C46" i="41"/>
  <c r="C45" i="41" s="1"/>
  <c r="C45" i="39"/>
  <c r="F45" i="39" s="1"/>
  <c r="C46" i="40"/>
  <c r="F46" i="39"/>
  <c r="O58" i="22"/>
  <c r="C57" i="22"/>
  <c r="W47" i="41"/>
  <c r="L66" i="59"/>
  <c r="I67" i="59"/>
  <c r="C38" i="40"/>
  <c r="J38" i="40" s="1"/>
  <c r="C38" i="41"/>
  <c r="U38" i="41" s="1"/>
  <c r="R38" i="41"/>
  <c r="I30" i="41"/>
  <c r="I48" i="41" s="1"/>
  <c r="I49" i="41" s="1"/>
  <c r="F27" i="45"/>
  <c r="L44" i="70"/>
  <c r="C23" i="40"/>
  <c r="J23" i="40" s="1"/>
  <c r="C23" i="41"/>
  <c r="U23" i="41" s="1"/>
  <c r="F23" i="39"/>
  <c r="I35" i="132"/>
  <c r="I45" i="132"/>
  <c r="I42" i="132" s="1"/>
  <c r="C68" i="10"/>
  <c r="C60" i="10" s="1"/>
  <c r="F69" i="10"/>
  <c r="G69" i="10"/>
  <c r="C29" i="10"/>
  <c r="C40" i="10"/>
  <c r="C36" i="40"/>
  <c r="J36" i="40" s="1"/>
  <c r="C36" i="41"/>
  <c r="F36" i="39"/>
  <c r="G164" i="34"/>
  <c r="E23" i="132"/>
  <c r="F23" i="132"/>
  <c r="G23" i="132"/>
  <c r="Q50" i="12"/>
  <c r="L16" i="12"/>
  <c r="N16" i="12"/>
  <c r="P16" i="12" s="1"/>
  <c r="R16" i="12" s="1"/>
  <c r="S16" i="12" s="1"/>
  <c r="T16" i="12" s="1"/>
  <c r="AJ34" i="25"/>
  <c r="J162" i="34"/>
  <c r="I53" i="22"/>
  <c r="C26" i="10"/>
  <c r="C30" i="22"/>
  <c r="U29" i="41"/>
  <c r="X28" i="41"/>
  <c r="E31" i="38"/>
  <c r="J31" i="38" s="1"/>
  <c r="C36" i="22"/>
  <c r="H72" i="132"/>
  <c r="C37" i="41"/>
  <c r="C37" i="40"/>
  <c r="J37" i="40" s="1"/>
  <c r="F37" i="39"/>
  <c r="C17" i="22"/>
  <c r="C105" i="10"/>
  <c r="C102" i="10"/>
  <c r="C23" i="10"/>
  <c r="C34" i="41"/>
  <c r="F34" i="39"/>
  <c r="C34" i="40"/>
  <c r="J34" i="40" s="1"/>
  <c r="C35" i="40"/>
  <c r="J35" i="40" s="1"/>
  <c r="F35" i="39"/>
  <c r="C35" i="41"/>
  <c r="R23" i="41"/>
  <c r="K20" i="41"/>
  <c r="K15" i="41" s="1"/>
  <c r="K10" i="41" s="1"/>
  <c r="K48" i="41" s="1"/>
  <c r="R43" i="41"/>
  <c r="M39" i="41"/>
  <c r="R39" i="41" s="1"/>
  <c r="F21" i="45"/>
  <c r="G24" i="132"/>
  <c r="C100" i="10"/>
  <c r="C112" i="10"/>
  <c r="C111" i="10" s="1"/>
  <c r="K30" i="40"/>
  <c r="D30" i="38" s="1"/>
  <c r="J30" i="38" s="1"/>
  <c r="X17" i="25"/>
  <c r="X16" i="25" s="1"/>
  <c r="G24" i="33"/>
  <c r="G23" i="33" s="1"/>
  <c r="G22" i="33" s="1"/>
  <c r="G39" i="39"/>
  <c r="G30" i="39" s="1"/>
  <c r="D20" i="38" s="1"/>
  <c r="J20" i="38" s="1"/>
  <c r="C33" i="40"/>
  <c r="J33" i="40" s="1"/>
  <c r="F33" i="39"/>
  <c r="C33" i="41"/>
  <c r="P11" i="12"/>
  <c r="Q45" i="12"/>
  <c r="R34" i="12"/>
  <c r="F84" i="10"/>
  <c r="G84" i="10"/>
  <c r="C12" i="10"/>
  <c r="C96" i="10"/>
  <c r="C88" i="10" s="1"/>
  <c r="N49" i="41"/>
  <c r="Q48" i="41"/>
  <c r="Q49" i="41" s="1"/>
  <c r="AJ18" i="25"/>
  <c r="AJ16" i="25" s="1"/>
  <c r="I31" i="22"/>
  <c r="C50" i="10"/>
  <c r="C29" i="40"/>
  <c r="F29" i="39"/>
  <c r="C29" i="41"/>
  <c r="C28" i="41" s="1"/>
  <c r="C27" i="41" s="1"/>
  <c r="C28" i="39"/>
  <c r="R29" i="41"/>
  <c r="F28" i="41"/>
  <c r="C42" i="65"/>
  <c r="O55" i="109"/>
  <c r="D55" i="65"/>
  <c r="R26" i="12"/>
  <c r="S26" i="12" s="1"/>
  <c r="T26" i="12" s="1"/>
  <c r="M25" i="41"/>
  <c r="R26" i="41"/>
  <c r="L47" i="12"/>
  <c r="N47" i="12"/>
  <c r="K39" i="65"/>
  <c r="D38" i="70"/>
  <c r="E38" i="70" s="1"/>
  <c r="F31" i="15"/>
  <c r="I55" i="15"/>
  <c r="E55" i="15"/>
  <c r="C81" i="10"/>
  <c r="C32" i="40"/>
  <c r="F32" i="39"/>
  <c r="C32" i="41"/>
  <c r="K20" i="40"/>
  <c r="K15" i="40" s="1"/>
  <c r="F98" i="10"/>
  <c r="G98" i="10"/>
  <c r="F26" i="39"/>
  <c r="C26" i="40"/>
  <c r="C25" i="39"/>
  <c r="C26" i="41"/>
  <c r="C25" i="41" s="1"/>
  <c r="C24" i="41" s="1"/>
  <c r="O48" i="41"/>
  <c r="F20" i="41"/>
  <c r="R21" i="41"/>
  <c r="N24" i="12"/>
  <c r="P24" i="12" s="1"/>
  <c r="R24" i="12" s="1"/>
  <c r="S24" i="12" s="1"/>
  <c r="T24" i="12" s="1"/>
  <c r="L24" i="12"/>
  <c r="C31" i="65"/>
  <c r="L40" i="12"/>
  <c r="N40" i="12"/>
  <c r="P40" i="12" s="1"/>
  <c r="R40" i="12" s="1"/>
  <c r="S40" i="12" s="1"/>
  <c r="T40" i="12" s="1"/>
  <c r="N54" i="12"/>
  <c r="C13" i="13" s="1"/>
  <c r="D13" i="13" s="1"/>
  <c r="P52" i="12"/>
  <c r="G20" i="39"/>
  <c r="G15" i="39" s="1"/>
  <c r="H48" i="57"/>
  <c r="D50" i="57"/>
  <c r="D48" i="57" s="1"/>
  <c r="F48" i="57" s="1"/>
  <c r="Y10" i="25"/>
  <c r="Y41" i="25"/>
  <c r="Y39" i="25" s="1"/>
  <c r="C21" i="10"/>
  <c r="C30" i="10"/>
  <c r="J20" i="41"/>
  <c r="J15" i="41" s="1"/>
  <c r="J10" i="41" s="1"/>
  <c r="J48" i="41" s="1"/>
  <c r="J22" i="132"/>
  <c r="E18" i="22"/>
  <c r="G120" i="10"/>
  <c r="F120" i="10"/>
  <c r="C103" i="10"/>
  <c r="F21" i="39"/>
  <c r="C21" i="40"/>
  <c r="C21" i="41"/>
  <c r="C20" i="41" s="1"/>
  <c r="C15" i="41" s="1"/>
  <c r="C10" i="41" s="1"/>
  <c r="C15" i="39"/>
  <c r="R32" i="41"/>
  <c r="M30" i="41"/>
  <c r="R30" i="41" s="1"/>
  <c r="AJ35" i="25"/>
  <c r="I54" i="22"/>
  <c r="F14" i="45"/>
  <c r="F10" i="45" s="1"/>
  <c r="N28" i="12"/>
  <c r="P28" i="12" s="1"/>
  <c r="R28" i="12" s="1"/>
  <c r="S28" i="12" s="1"/>
  <c r="T28" i="12" s="1"/>
  <c r="L28" i="12"/>
  <c r="R52" i="70"/>
  <c r="L45" i="70"/>
  <c r="L41" i="12"/>
  <c r="N41" i="12"/>
  <c r="P41" i="12" s="1"/>
  <c r="R41" i="12" s="1"/>
  <c r="S41" i="12" s="1"/>
  <c r="T41" i="12" s="1"/>
  <c r="L35" i="12"/>
  <c r="N35" i="12"/>
  <c r="R50" i="70"/>
  <c r="J15" i="1"/>
  <c r="D53" i="109"/>
  <c r="D10" i="1"/>
  <c r="D21" i="128"/>
  <c r="G10" i="128"/>
  <c r="J34" i="38"/>
  <c r="E33" i="38"/>
  <c r="C99" i="11"/>
  <c r="D16" i="20"/>
  <c r="C10" i="20"/>
  <c r="M9" i="20" s="1"/>
  <c r="L9" i="20" s="1"/>
  <c r="G24" i="114"/>
  <c r="E38" i="7"/>
  <c r="F23" i="114"/>
  <c r="G26" i="114"/>
  <c r="G23" i="114"/>
  <c r="F26" i="114"/>
  <c r="H14" i="114"/>
  <c r="F25" i="114"/>
  <c r="F38" i="114"/>
  <c r="G30" i="114"/>
  <c r="G11" i="114"/>
  <c r="F11" i="16"/>
  <c r="I27" i="114"/>
  <c r="J27" i="114"/>
  <c r="D15" i="16"/>
  <c r="H38" i="114"/>
  <c r="F24" i="114"/>
  <c r="C10" i="16"/>
  <c r="E35" i="114"/>
  <c r="I70" i="132"/>
  <c r="I67" i="132" s="1"/>
  <c r="H70" i="132"/>
  <c r="H67" i="132" s="1"/>
  <c r="C34" i="22" s="1"/>
  <c r="J70" i="132"/>
  <c r="J67" i="132" s="1"/>
  <c r="H50" i="132"/>
  <c r="H47" i="132" s="1"/>
  <c r="C26" i="22" s="1"/>
  <c r="O26" i="22" s="1"/>
  <c r="F91" i="10"/>
  <c r="G94" i="10"/>
  <c r="E61" i="10"/>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I27" i="8" l="1"/>
  <c r="J66" i="8"/>
  <c r="I32" i="114"/>
  <c r="F35" i="114"/>
  <c r="C20" i="40"/>
  <c r="J21" i="40"/>
  <c r="R20" i="41"/>
  <c r="R15" i="41" s="1"/>
  <c r="R10" i="41" s="1"/>
  <c r="F15" i="41"/>
  <c r="F10" i="41" s="1"/>
  <c r="J32" i="40"/>
  <c r="C28" i="40"/>
  <c r="J29" i="40"/>
  <c r="N31" i="12"/>
  <c r="F29" i="10"/>
  <c r="G29" i="10"/>
  <c r="C28" i="10"/>
  <c r="C14" i="10" s="1"/>
  <c r="C45" i="40"/>
  <c r="J45" i="40" s="1"/>
  <c r="J46" i="40"/>
  <c r="G108" i="10"/>
  <c r="J105" i="10"/>
  <c r="J102" i="10"/>
  <c r="G102" i="10" s="1"/>
  <c r="J16" i="10"/>
  <c r="E25" i="7" s="1"/>
  <c r="G17" i="10"/>
  <c r="G89" i="10"/>
  <c r="I96" i="10"/>
  <c r="I14" i="10" s="1"/>
  <c r="F14" i="10" s="1"/>
  <c r="F97" i="10"/>
  <c r="J24" i="9"/>
  <c r="E18" i="7" s="1"/>
  <c r="F17" i="10"/>
  <c r="I16" i="10"/>
  <c r="D25" i="7" s="1"/>
  <c r="J22" i="10"/>
  <c r="G22" i="10" s="1"/>
  <c r="G32" i="10"/>
  <c r="J50" i="10"/>
  <c r="G51" i="10"/>
  <c r="E108" i="10"/>
  <c r="H105" i="10"/>
  <c r="H102" i="10"/>
  <c r="E102" i="10" s="1"/>
  <c r="J26" i="8"/>
  <c r="I30" i="8"/>
  <c r="J13" i="9"/>
  <c r="J45" i="9"/>
  <c r="E21" i="7" s="1"/>
  <c r="F11" i="114"/>
  <c r="I10" i="114"/>
  <c r="C43" i="7" s="1"/>
  <c r="E19" i="16"/>
  <c r="G18" i="16"/>
  <c r="E18" i="16" s="1"/>
  <c r="J16" i="114"/>
  <c r="G18" i="114"/>
  <c r="C14" i="20"/>
  <c r="M10" i="20" s="1"/>
  <c r="L10" i="20" s="1"/>
  <c r="J54" i="70"/>
  <c r="K54" i="70" s="1"/>
  <c r="K55" i="65"/>
  <c r="R11" i="12"/>
  <c r="S11" i="12" s="1"/>
  <c r="T11" i="12" s="1"/>
  <c r="T31" i="12" s="1"/>
  <c r="P31" i="12"/>
  <c r="U28" i="41"/>
  <c r="X27" i="41"/>
  <c r="I67" i="9"/>
  <c r="I60" i="9"/>
  <c r="J11" i="9"/>
  <c r="J17" i="9"/>
  <c r="E17" i="7" s="1"/>
  <c r="E121" i="10"/>
  <c r="H104" i="10"/>
  <c r="E104" i="10" s="1"/>
  <c r="F89" i="10"/>
  <c r="I88" i="10"/>
  <c r="D28" i="7" s="1"/>
  <c r="H96" i="10"/>
  <c r="H88" i="10" s="1"/>
  <c r="C28" i="7" s="1"/>
  <c r="E97" i="10"/>
  <c r="E120" i="10"/>
  <c r="H103" i="10"/>
  <c r="E103" i="10" s="1"/>
  <c r="G37" i="10"/>
  <c r="J27" i="10"/>
  <c r="E17" i="10"/>
  <c r="H16" i="10"/>
  <c r="C25" i="7" s="1"/>
  <c r="J95" i="9"/>
  <c r="E19" i="132"/>
  <c r="I52" i="9"/>
  <c r="D22" i="7" s="1"/>
  <c r="G13" i="114"/>
  <c r="C109" i="11"/>
  <c r="C108" i="11" s="1"/>
  <c r="C94" i="11"/>
  <c r="C93" i="11" s="1"/>
  <c r="F103" i="10"/>
  <c r="G103" i="10"/>
  <c r="G10" i="39"/>
  <c r="D17" i="38"/>
  <c r="V14" i="73"/>
  <c r="I27" i="22"/>
  <c r="C11" i="10"/>
  <c r="F113" i="10"/>
  <c r="I112" i="10"/>
  <c r="I111" i="10" s="1"/>
  <c r="I100" i="10"/>
  <c r="F37" i="10"/>
  <c r="I27" i="10"/>
  <c r="I10" i="20"/>
  <c r="E53" i="7" s="1"/>
  <c r="F11" i="20"/>
  <c r="H99" i="11"/>
  <c r="E99" i="11" s="1"/>
  <c r="E114" i="11"/>
  <c r="J100" i="10"/>
  <c r="G113" i="10"/>
  <c r="J112" i="10"/>
  <c r="J111" i="10" s="1"/>
  <c r="I22" i="10"/>
  <c r="F22" i="10" s="1"/>
  <c r="F32" i="10"/>
  <c r="I50" i="10"/>
  <c r="F51" i="10"/>
  <c r="H24" i="9"/>
  <c r="C18" i="7" s="1"/>
  <c r="I61" i="9"/>
  <c r="G38" i="114"/>
  <c r="E19" i="109"/>
  <c r="E19" i="65" s="1"/>
  <c r="P19" i="70" s="1"/>
  <c r="Q19" i="70" s="1"/>
  <c r="P35" i="12"/>
  <c r="N45" i="12"/>
  <c r="C11" i="13" s="1"/>
  <c r="D11" i="13" s="1"/>
  <c r="P54" i="12"/>
  <c r="R52" i="12"/>
  <c r="F25" i="39"/>
  <c r="C24" i="39"/>
  <c r="F24" i="39" s="1"/>
  <c r="F55" i="15"/>
  <c r="AJ41" i="25"/>
  <c r="F20" i="45"/>
  <c r="H52" i="132"/>
  <c r="C39" i="39"/>
  <c r="I95" i="9"/>
  <c r="J102" i="9"/>
  <c r="K32" i="114"/>
  <c r="H37" i="114"/>
  <c r="K36" i="114"/>
  <c r="C25" i="40"/>
  <c r="J26" i="40"/>
  <c r="D41" i="70"/>
  <c r="E41" i="70" s="1"/>
  <c r="C27" i="22"/>
  <c r="Q55" i="12"/>
  <c r="R31" i="12"/>
  <c r="J36" i="114"/>
  <c r="G37" i="114"/>
  <c r="G14" i="114"/>
  <c r="K10" i="114"/>
  <c r="E43" i="7" s="1"/>
  <c r="H11" i="114"/>
  <c r="E35" i="109"/>
  <c r="J33" i="38"/>
  <c r="E16" i="22"/>
  <c r="O18" i="22"/>
  <c r="F38" i="70"/>
  <c r="H22" i="132"/>
  <c r="I22" i="132"/>
  <c r="D24" i="22"/>
  <c r="F37" i="70"/>
  <c r="C39" i="41"/>
  <c r="E32" i="10"/>
  <c r="H22" i="10"/>
  <c r="E22" i="10" s="1"/>
  <c r="J26" i="10"/>
  <c r="G36" i="10"/>
  <c r="E51" i="10"/>
  <c r="H50" i="10"/>
  <c r="I81" i="9"/>
  <c r="H30" i="8"/>
  <c r="J119" i="9"/>
  <c r="J118" i="9" s="1"/>
  <c r="H11" i="9"/>
  <c r="I36" i="114"/>
  <c r="F37" i="114"/>
  <c r="K21" i="114"/>
  <c r="E44" i="7" s="1"/>
  <c r="H22" i="114"/>
  <c r="V28" i="73"/>
  <c r="W28" i="73" s="1"/>
  <c r="O54" i="22"/>
  <c r="O17" i="22"/>
  <c r="C16" i="22"/>
  <c r="J62" i="9"/>
  <c r="H102" i="9"/>
  <c r="I23" i="10"/>
  <c r="F23" i="10" s="1"/>
  <c r="F33" i="10"/>
  <c r="H26" i="10"/>
  <c r="E36" i="10"/>
  <c r="J52" i="9"/>
  <c r="E22" i="7" s="1"/>
  <c r="J43" i="40"/>
  <c r="C39" i="40"/>
  <c r="J39" i="40" s="1"/>
  <c r="E33" i="10"/>
  <c r="H23" i="10"/>
  <c r="E23" i="10" s="1"/>
  <c r="J104" i="10"/>
  <c r="G104" i="10" s="1"/>
  <c r="G121" i="10"/>
  <c r="I102" i="9"/>
  <c r="H61" i="9"/>
  <c r="H67" i="9"/>
  <c r="H60" i="9"/>
  <c r="E41" i="10"/>
  <c r="H40" i="10"/>
  <c r="D13" i="16"/>
  <c r="D14" i="16"/>
  <c r="E15" i="19"/>
  <c r="C49" i="7" s="1"/>
  <c r="E27" i="19"/>
  <c r="E28" i="19" s="1"/>
  <c r="D10" i="128"/>
  <c r="C19" i="1"/>
  <c r="R28" i="41"/>
  <c r="F27" i="41"/>
  <c r="G12" i="10"/>
  <c r="F12" i="10"/>
  <c r="E12" i="10"/>
  <c r="C13" i="10"/>
  <c r="L65" i="59"/>
  <c r="I66" i="59"/>
  <c r="N62" i="109"/>
  <c r="G35" i="114"/>
  <c r="J32" i="114"/>
  <c r="J31" i="114" s="1"/>
  <c r="D45" i="7" s="1"/>
  <c r="D30" i="70"/>
  <c r="E30" i="70" s="1"/>
  <c r="K10" i="40"/>
  <c r="D27" i="38"/>
  <c r="N50" i="12"/>
  <c r="C12" i="13" s="1"/>
  <c r="D12" i="13" s="1"/>
  <c r="P47" i="12"/>
  <c r="X10" i="25"/>
  <c r="X41" i="25"/>
  <c r="V27" i="73"/>
  <c r="W27" i="73" s="1"/>
  <c r="I52" i="22"/>
  <c r="O53" i="22"/>
  <c r="F43" i="70"/>
  <c r="F36" i="10"/>
  <c r="I26" i="10"/>
  <c r="G82" i="10"/>
  <c r="J81" i="10"/>
  <c r="E27" i="7" s="1"/>
  <c r="J61" i="9"/>
  <c r="G31" i="10"/>
  <c r="J21" i="10"/>
  <c r="J67" i="9"/>
  <c r="J60" i="9"/>
  <c r="K66" i="59"/>
  <c r="H67" i="59"/>
  <c r="H25" i="8"/>
  <c r="H68" i="10"/>
  <c r="H60" i="10" s="1"/>
  <c r="E69" i="10"/>
  <c r="H29" i="10"/>
  <c r="F121" i="10"/>
  <c r="I104" i="10"/>
  <c r="F104" i="10" s="1"/>
  <c r="I30" i="10"/>
  <c r="I21" i="10"/>
  <c r="F31" i="10"/>
  <c r="H31" i="9"/>
  <c r="C19" i="7" s="1"/>
  <c r="H45" i="9"/>
  <c r="C21" i="7" s="1"/>
  <c r="H81" i="9"/>
  <c r="J25" i="8"/>
  <c r="I26" i="8"/>
  <c r="D47" i="57"/>
  <c r="D46" i="57" s="1"/>
  <c r="H46" i="57"/>
  <c r="H10" i="57" s="1"/>
  <c r="J52" i="132"/>
  <c r="E34" i="22"/>
  <c r="E27" i="22" s="1"/>
  <c r="E25" i="109" s="1"/>
  <c r="E25" i="65" s="1"/>
  <c r="P25" i="70" s="1"/>
  <c r="Q25" i="70" s="1"/>
  <c r="E15" i="16"/>
  <c r="G12" i="114"/>
  <c r="G22" i="114"/>
  <c r="F14" i="114"/>
  <c r="D51" i="109"/>
  <c r="D51" i="65" s="1"/>
  <c r="J50" i="70" s="1"/>
  <c r="K50" i="70" s="1"/>
  <c r="C15" i="68"/>
  <c r="C20" i="10"/>
  <c r="C27" i="39"/>
  <c r="F27" i="39" s="1"/>
  <c r="F28" i="39"/>
  <c r="O57" i="22"/>
  <c r="C30" i="109"/>
  <c r="J40" i="10"/>
  <c r="G41" i="10"/>
  <c r="I40" i="10"/>
  <c r="F41" i="10"/>
  <c r="J60" i="10"/>
  <c r="G61" i="10"/>
  <c r="G97" i="10"/>
  <c r="J96" i="10"/>
  <c r="J14" i="10" s="1"/>
  <c r="G14" i="10" s="1"/>
  <c r="I81" i="10"/>
  <c r="D27" i="7" s="1"/>
  <c r="F82" i="10"/>
  <c r="I38" i="9"/>
  <c r="D20" i="7" s="1"/>
  <c r="I62" i="9"/>
  <c r="H13" i="9"/>
  <c r="J81" i="9"/>
  <c r="G48" i="57"/>
  <c r="I50" i="57"/>
  <c r="E50" i="57"/>
  <c r="J38" i="9"/>
  <c r="E20" i="7" s="1"/>
  <c r="O34" i="22"/>
  <c r="G11" i="16"/>
  <c r="E12" i="16"/>
  <c r="F18" i="16"/>
  <c r="D18" i="16" s="1"/>
  <c r="D19" i="16"/>
  <c r="C16" i="19"/>
  <c r="C17" i="19"/>
  <c r="C11" i="19"/>
  <c r="C58" i="7"/>
  <c r="L24" i="114"/>
  <c r="L21" i="114" s="1"/>
  <c r="E23" i="19"/>
  <c r="E29" i="19" s="1"/>
  <c r="D53" i="65"/>
  <c r="O53" i="109"/>
  <c r="C10" i="39"/>
  <c r="F10" i="39" s="1"/>
  <c r="F15" i="39"/>
  <c r="C30" i="41"/>
  <c r="U30" i="41" s="1"/>
  <c r="S34" i="12"/>
  <c r="T34" i="12" s="1"/>
  <c r="AJ33" i="25"/>
  <c r="AJ44" i="25" s="1"/>
  <c r="W40" i="25"/>
  <c r="C39" i="25"/>
  <c r="U21" i="41"/>
  <c r="I119" i="9"/>
  <c r="I118" i="9" s="1"/>
  <c r="I105" i="10"/>
  <c r="F108" i="10"/>
  <c r="I102" i="10"/>
  <c r="F102" i="10" s="1"/>
  <c r="H100" i="10"/>
  <c r="H112" i="10"/>
  <c r="H111" i="10" s="1"/>
  <c r="E113" i="10"/>
  <c r="I60" i="10"/>
  <c r="F61" i="10"/>
  <c r="E31" i="10"/>
  <c r="H21" i="10"/>
  <c r="H30" i="10"/>
  <c r="H119" i="9"/>
  <c r="H118" i="9" s="1"/>
  <c r="J65" i="9"/>
  <c r="J12" i="9"/>
  <c r="H38" i="9"/>
  <c r="C20" i="7" s="1"/>
  <c r="J20" i="7" s="1"/>
  <c r="I47" i="57"/>
  <c r="E24" i="47" s="1"/>
  <c r="I24" i="47" s="1"/>
  <c r="G46" i="57"/>
  <c r="E47" i="57"/>
  <c r="I65" i="9"/>
  <c r="I52" i="132"/>
  <c r="D34" i="22"/>
  <c r="D27" i="22" s="1"/>
  <c r="D25" i="109" s="1"/>
  <c r="D25" i="65" s="1"/>
  <c r="J25" i="70" s="1"/>
  <c r="K25" i="70" s="1"/>
  <c r="G25" i="114"/>
  <c r="F22" i="114"/>
  <c r="I21" i="114"/>
  <c r="C44" i="7" s="1"/>
  <c r="R25" i="41"/>
  <c r="M24" i="41"/>
  <c r="R24" i="41" s="1"/>
  <c r="C99" i="10"/>
  <c r="C35" i="22"/>
  <c r="O36" i="22"/>
  <c r="O31" i="22"/>
  <c r="X15" i="41"/>
  <c r="U20" i="41"/>
  <c r="E20" i="132"/>
  <c r="E21" i="132"/>
  <c r="J30" i="10"/>
  <c r="J31" i="9"/>
  <c r="E19" i="7" s="1"/>
  <c r="H62" i="9"/>
  <c r="H53" i="8"/>
  <c r="C14" i="7" s="1"/>
  <c r="E47" i="10"/>
  <c r="N63" i="109"/>
  <c r="E95" i="10"/>
  <c r="M63" i="109"/>
  <c r="K63" i="109"/>
  <c r="L63" i="109"/>
  <c r="J63" i="8" l="1"/>
  <c r="H27" i="8"/>
  <c r="H44" i="11"/>
  <c r="D21" i="38"/>
  <c r="D22" i="38"/>
  <c r="J30" i="8"/>
  <c r="H17" i="9"/>
  <c r="C17" i="7" s="1"/>
  <c r="H12" i="9"/>
  <c r="E21" i="10"/>
  <c r="L50" i="70"/>
  <c r="C25" i="109"/>
  <c r="I99" i="10"/>
  <c r="D29" i="7" s="1"/>
  <c r="F100" i="10"/>
  <c r="I59" i="9"/>
  <c r="D23" i="7" s="1"/>
  <c r="C13" i="22"/>
  <c r="O13" i="22" s="1"/>
  <c r="E12" i="132"/>
  <c r="J59" i="9"/>
  <c r="E23" i="7" s="1"/>
  <c r="H95" i="9"/>
  <c r="G21" i="10"/>
  <c r="J13" i="10"/>
  <c r="G13" i="10" s="1"/>
  <c r="G26" i="10"/>
  <c r="R54" i="12"/>
  <c r="S52" i="12"/>
  <c r="T52" i="12" s="1"/>
  <c r="T54" i="12" s="1"/>
  <c r="E13" i="13" s="1"/>
  <c r="H11" i="10"/>
  <c r="I13" i="10"/>
  <c r="F13" i="10" s="1"/>
  <c r="F26" i="10"/>
  <c r="H66" i="8"/>
  <c r="E37" i="10"/>
  <c r="H27" i="10"/>
  <c r="H82" i="8"/>
  <c r="C14" i="22"/>
  <c r="O14" i="22" s="1"/>
  <c r="E13" i="132"/>
  <c r="K53" i="65"/>
  <c r="J52" i="70"/>
  <c r="K52" i="70" s="1"/>
  <c r="I75" i="8"/>
  <c r="I63" i="8"/>
  <c r="I12" i="9"/>
  <c r="I11" i="9"/>
  <c r="I17" i="9"/>
  <c r="D17" i="7" s="1"/>
  <c r="J21" i="114"/>
  <c r="D44" i="7" s="1"/>
  <c r="D42" i="7" s="1"/>
  <c r="D20" i="109" s="1"/>
  <c r="D20" i="65" s="1"/>
  <c r="J20" i="70" s="1"/>
  <c r="K20" i="70" s="1"/>
  <c r="J19" i="7"/>
  <c r="I29" i="109"/>
  <c r="O52" i="22"/>
  <c r="F10" i="16"/>
  <c r="D39" i="7" s="1"/>
  <c r="D38" i="7" s="1"/>
  <c r="C24" i="109"/>
  <c r="F41" i="70"/>
  <c r="J25" i="7"/>
  <c r="E29" i="38"/>
  <c r="J29" i="38" s="1"/>
  <c r="U27" i="41"/>
  <c r="C15" i="40"/>
  <c r="J20" i="40"/>
  <c r="E100" i="10"/>
  <c r="H99" i="10"/>
  <c r="C29" i="7" s="1"/>
  <c r="I13" i="9"/>
  <c r="H65" i="9"/>
  <c r="I62" i="8"/>
  <c r="G14" i="20"/>
  <c r="C54" i="7" s="1"/>
  <c r="D15" i="20"/>
  <c r="H61" i="8"/>
  <c r="H18" i="8" s="1"/>
  <c r="H68" i="8"/>
  <c r="J61" i="8"/>
  <c r="J18" i="8" s="1"/>
  <c r="J82" i="8"/>
  <c r="I31" i="9"/>
  <c r="D19" i="7" s="1"/>
  <c r="H52" i="9"/>
  <c r="C22" i="7" s="1"/>
  <c r="J22" i="7" s="1"/>
  <c r="H11" i="16"/>
  <c r="D12" i="16"/>
  <c r="L25" i="70"/>
  <c r="C57" i="7"/>
  <c r="J58" i="7"/>
  <c r="X27" i="73"/>
  <c r="R27" i="41"/>
  <c r="F48" i="41"/>
  <c r="F39" i="39"/>
  <c r="C30" i="39"/>
  <c r="F30" i="39" s="1"/>
  <c r="J99" i="10"/>
  <c r="E29" i="7" s="1"/>
  <c r="G100" i="10"/>
  <c r="C10" i="10"/>
  <c r="H32" i="8"/>
  <c r="H26" i="8"/>
  <c r="H24" i="8" s="1"/>
  <c r="C13" i="7" s="1"/>
  <c r="J53" i="8"/>
  <c r="E14" i="7" s="1"/>
  <c r="J21" i="8"/>
  <c r="H52" i="7"/>
  <c r="M61" i="109" s="1"/>
  <c r="M62" i="109"/>
  <c r="H16" i="9"/>
  <c r="H10" i="20"/>
  <c r="D53" i="7" s="1"/>
  <c r="E11" i="20"/>
  <c r="I66" i="8"/>
  <c r="H75" i="8"/>
  <c r="J16" i="9"/>
  <c r="J10" i="9" s="1"/>
  <c r="F25" i="22"/>
  <c r="W39" i="25"/>
  <c r="I48" i="57"/>
  <c r="E25" i="47" s="1"/>
  <c r="E23" i="47" s="1"/>
  <c r="E48" i="57"/>
  <c r="K65" i="59"/>
  <c r="H66" i="59"/>
  <c r="AH41" i="25"/>
  <c r="G30" i="22"/>
  <c r="X39" i="25"/>
  <c r="C24" i="40"/>
  <c r="J24" i="40" s="1"/>
  <c r="J25" i="40"/>
  <c r="P45" i="12"/>
  <c r="P55" i="12" s="1"/>
  <c r="R35" i="12"/>
  <c r="I25" i="109"/>
  <c r="I25" i="65" s="1"/>
  <c r="I10" i="22"/>
  <c r="I22" i="109" s="1"/>
  <c r="G27" i="10"/>
  <c r="J15" i="10"/>
  <c r="G15" i="10" s="1"/>
  <c r="J88" i="10"/>
  <c r="E28" i="7" s="1"/>
  <c r="J28" i="7" s="1"/>
  <c r="I31" i="114"/>
  <c r="C45" i="7" s="1"/>
  <c r="C42" i="7" s="1"/>
  <c r="K62" i="109"/>
  <c r="F52" i="7"/>
  <c r="K61" i="109" s="1"/>
  <c r="I53" i="8"/>
  <c r="D14" i="7" s="1"/>
  <c r="J14" i="7" s="1"/>
  <c r="D11" i="20"/>
  <c r="G10" i="20"/>
  <c r="C53" i="7" s="1"/>
  <c r="I21" i="8"/>
  <c r="J23" i="10"/>
  <c r="G23" i="10" s="1"/>
  <c r="G33" i="10"/>
  <c r="X10" i="41"/>
  <c r="U15" i="41"/>
  <c r="E27" i="38"/>
  <c r="I20" i="10"/>
  <c r="D26" i="7" s="1"/>
  <c r="F21" i="10"/>
  <c r="J19" i="1"/>
  <c r="C18" i="1"/>
  <c r="H59" i="9"/>
  <c r="C23" i="7" s="1"/>
  <c r="J23" i="7" s="1"/>
  <c r="I82" i="8"/>
  <c r="X28" i="73"/>
  <c r="E24" i="109"/>
  <c r="E24" i="65" s="1"/>
  <c r="P24" i="70" s="1"/>
  <c r="Q24" i="70" s="1"/>
  <c r="E10" i="22"/>
  <c r="E22" i="109" s="1"/>
  <c r="E22" i="65" s="1"/>
  <c r="P22" i="70" s="1"/>
  <c r="Q22" i="70" s="1"/>
  <c r="K31" i="114"/>
  <c r="E45" i="7" s="1"/>
  <c r="E42" i="7" s="1"/>
  <c r="V10" i="73"/>
  <c r="W10" i="73" s="1"/>
  <c r="W14" i="73"/>
  <c r="H18" i="132"/>
  <c r="H14" i="132" s="1"/>
  <c r="C15" i="22" s="1"/>
  <c r="O15" i="22" s="1"/>
  <c r="E10" i="13"/>
  <c r="I45" i="9"/>
  <c r="D21" i="7" s="1"/>
  <c r="J21" i="7" s="1"/>
  <c r="G52" i="7"/>
  <c r="L61" i="109" s="1"/>
  <c r="L62" i="109"/>
  <c r="F15" i="20"/>
  <c r="I14" i="20"/>
  <c r="E54" i="7" s="1"/>
  <c r="E63" i="109" s="1"/>
  <c r="E62" i="65" s="1"/>
  <c r="P61" i="70" s="1"/>
  <c r="Q61" i="70" s="1"/>
  <c r="J68" i="8"/>
  <c r="J62" i="8"/>
  <c r="I32" i="8"/>
  <c r="I25" i="8"/>
  <c r="O30" i="109"/>
  <c r="C30" i="65"/>
  <c r="R25" i="70"/>
  <c r="P50" i="12"/>
  <c r="R47" i="12"/>
  <c r="I52" i="7"/>
  <c r="N61" i="109" s="1"/>
  <c r="R19" i="70"/>
  <c r="J17" i="38"/>
  <c r="D11" i="38"/>
  <c r="H81" i="10"/>
  <c r="C27" i="7" s="1"/>
  <c r="J27" i="7" s="1"/>
  <c r="E82" i="10"/>
  <c r="J11" i="10"/>
  <c r="C10" i="13"/>
  <c r="N55" i="12"/>
  <c r="J75" i="8"/>
  <c r="L54" i="70"/>
  <c r="J49" i="7"/>
  <c r="C47" i="7"/>
  <c r="H13" i="10"/>
  <c r="E13" i="10" s="1"/>
  <c r="E26" i="10"/>
  <c r="AJ10" i="25"/>
  <c r="E16" i="7"/>
  <c r="E14" i="109" s="1"/>
  <c r="E14" i="65" s="1"/>
  <c r="P14" i="70" s="1"/>
  <c r="Q14" i="70" s="1"/>
  <c r="J28" i="40"/>
  <c r="C27" i="40"/>
  <c r="J27" i="40" s="1"/>
  <c r="H62" i="8"/>
  <c r="H14" i="20"/>
  <c r="D54" i="7" s="1"/>
  <c r="D63" i="109" s="1"/>
  <c r="D62" i="65" s="1"/>
  <c r="J61" i="70" s="1"/>
  <c r="K61" i="70" s="1"/>
  <c r="E15" i="20"/>
  <c r="H21" i="8"/>
  <c r="I68" i="8"/>
  <c r="I61" i="8"/>
  <c r="I46" i="57"/>
  <c r="E46" i="57"/>
  <c r="G10" i="57"/>
  <c r="H28" i="10"/>
  <c r="H14" i="10" s="1"/>
  <c r="E14" i="10" s="1"/>
  <c r="E29" i="10"/>
  <c r="O35" i="109"/>
  <c r="E35" i="65"/>
  <c r="AJ39" i="25"/>
  <c r="E62" i="109"/>
  <c r="E61" i="65" s="1"/>
  <c r="P60" i="70" s="1"/>
  <c r="Q60" i="70" s="1"/>
  <c r="I11" i="10"/>
  <c r="C30" i="40"/>
  <c r="J30" i="40" s="1"/>
  <c r="E11" i="16"/>
  <c r="G10" i="16"/>
  <c r="C39" i="7" s="1"/>
  <c r="L59" i="59"/>
  <c r="I65" i="59"/>
  <c r="D16" i="22"/>
  <c r="O24" i="22"/>
  <c r="F27" i="10"/>
  <c r="I15" i="10"/>
  <c r="F15" i="10" s="1"/>
  <c r="J10" i="114"/>
  <c r="D43" i="7" s="1"/>
  <c r="J43" i="7" s="1"/>
  <c r="J19" i="8"/>
  <c r="D24" i="7"/>
  <c r="D15" i="109" s="1"/>
  <c r="D15" i="65" s="1"/>
  <c r="J15" i="70" s="1"/>
  <c r="K15" i="70" s="1"/>
  <c r="I20" i="8"/>
  <c r="O35" i="22"/>
  <c r="C26" i="109"/>
  <c r="I16" i="9"/>
  <c r="C12" i="22"/>
  <c r="H10" i="132"/>
  <c r="E11" i="132"/>
  <c r="F46" i="57"/>
  <c r="D10" i="57"/>
  <c r="F10" i="57" s="1"/>
  <c r="I24" i="9"/>
  <c r="D18" i="7" s="1"/>
  <c r="J18" i="7" s="1"/>
  <c r="F30" i="70"/>
  <c r="H10" i="9"/>
  <c r="E20" i="109" l="1"/>
  <c r="E20" i="65" s="1"/>
  <c r="P20" i="70" s="1"/>
  <c r="Q20" i="70" s="1"/>
  <c r="E37" i="7"/>
  <c r="E18" i="109" s="1"/>
  <c r="E18" i="65" s="1"/>
  <c r="P18" i="70" s="1"/>
  <c r="Q18" i="70" s="1"/>
  <c r="C20" i="109"/>
  <c r="J42" i="7"/>
  <c r="D24" i="109"/>
  <c r="D24" i="65" s="1"/>
  <c r="J24" i="70" s="1"/>
  <c r="K24" i="70" s="1"/>
  <c r="D10" i="22"/>
  <c r="J14" i="8"/>
  <c r="J44" i="7"/>
  <c r="G11" i="10"/>
  <c r="J10" i="10"/>
  <c r="H10" i="16"/>
  <c r="D11" i="16"/>
  <c r="O29" i="109"/>
  <c r="I29" i="65"/>
  <c r="K29" i="65" s="1"/>
  <c r="H23" i="8"/>
  <c r="D33" i="109"/>
  <c r="S47" i="12"/>
  <c r="T47" i="12" s="1"/>
  <c r="T50" i="12" s="1"/>
  <c r="E12" i="13" s="1"/>
  <c r="R50" i="12"/>
  <c r="R14" i="70"/>
  <c r="D25" i="47"/>
  <c r="K59" i="59"/>
  <c r="H65" i="59"/>
  <c r="J39" i="7"/>
  <c r="C38" i="7"/>
  <c r="P34" i="70"/>
  <c r="Q34" i="70" s="1"/>
  <c r="K35" i="65"/>
  <c r="H14" i="8"/>
  <c r="J60" i="8"/>
  <c r="E15" i="7" s="1"/>
  <c r="I14" i="8"/>
  <c r="I10" i="109"/>
  <c r="I10" i="65" s="1"/>
  <c r="I22" i="65"/>
  <c r="C63" i="109"/>
  <c r="J54" i="7"/>
  <c r="J15" i="40"/>
  <c r="C10" i="40"/>
  <c r="J10" i="40" s="1"/>
  <c r="J20" i="10"/>
  <c r="E26" i="7" s="1"/>
  <c r="E24" i="7" s="1"/>
  <c r="E15" i="109" s="1"/>
  <c r="E15" i="65" s="1"/>
  <c r="P15" i="70" s="1"/>
  <c r="Q15" i="70" s="1"/>
  <c r="H20" i="10"/>
  <c r="C26" i="7" s="1"/>
  <c r="I60" i="8"/>
  <c r="D15" i="7" s="1"/>
  <c r="D10" i="13"/>
  <c r="C15" i="13"/>
  <c r="C10" i="1"/>
  <c r="J18" i="1"/>
  <c r="C54" i="109"/>
  <c r="I23" i="8"/>
  <c r="L20" i="70"/>
  <c r="L52" i="70"/>
  <c r="L15" i="70"/>
  <c r="L61" i="70"/>
  <c r="D29" i="70"/>
  <c r="E29" i="70" s="1"/>
  <c r="K30" i="65"/>
  <c r="R61" i="70"/>
  <c r="X10" i="73"/>
  <c r="S35" i="12"/>
  <c r="T35" i="12" s="1"/>
  <c r="T45" i="12" s="1"/>
  <c r="R45" i="12"/>
  <c r="R60" i="70"/>
  <c r="D62" i="109"/>
  <c r="D61" i="65" s="1"/>
  <c r="J60" i="70" s="1"/>
  <c r="K60" i="70" s="1"/>
  <c r="D52" i="7"/>
  <c r="D61" i="109" s="1"/>
  <c r="D60" i="65" s="1"/>
  <c r="J59" i="70" s="1"/>
  <c r="K59" i="70" s="1"/>
  <c r="D16" i="7"/>
  <c r="D14" i="109" s="1"/>
  <c r="D14" i="65" s="1"/>
  <c r="J14" i="70" s="1"/>
  <c r="K14" i="70" s="1"/>
  <c r="Y14" i="73"/>
  <c r="Z14" i="73"/>
  <c r="X14" i="73"/>
  <c r="H19" i="8"/>
  <c r="I10" i="10"/>
  <c r="F11" i="10"/>
  <c r="R22" i="70"/>
  <c r="E47" i="109"/>
  <c r="E47" i="65" s="1"/>
  <c r="P46" i="70" s="1"/>
  <c r="Q46" i="70" s="1"/>
  <c r="E10" i="47"/>
  <c r="E42" i="109" s="1"/>
  <c r="E42" i="65" s="1"/>
  <c r="P41" i="70" s="1"/>
  <c r="Q41" i="70" s="1"/>
  <c r="I10" i="9"/>
  <c r="C16" i="7"/>
  <c r="J17" i="7"/>
  <c r="I59" i="59"/>
  <c r="L10" i="59"/>
  <c r="I10" i="59" s="1"/>
  <c r="D32" i="109"/>
  <c r="J11" i="38"/>
  <c r="I10" i="57"/>
  <c r="E10" i="57"/>
  <c r="R24" i="70"/>
  <c r="C66" i="109"/>
  <c r="J57" i="7"/>
  <c r="H63" i="8"/>
  <c r="H20" i="8" s="1"/>
  <c r="C52" i="7"/>
  <c r="J53" i="7"/>
  <c r="C62" i="109"/>
  <c r="E22" i="38"/>
  <c r="J22" i="38" s="1"/>
  <c r="E21" i="38"/>
  <c r="F16" i="22"/>
  <c r="D11" i="73"/>
  <c r="O25" i="22"/>
  <c r="E11" i="10"/>
  <c r="H10" i="10"/>
  <c r="I19" i="8"/>
  <c r="O26" i="109"/>
  <c r="C26" i="65"/>
  <c r="J47" i="7"/>
  <c r="C21" i="109"/>
  <c r="C11" i="22"/>
  <c r="O12" i="22"/>
  <c r="E52" i="7"/>
  <c r="E61" i="109" s="1"/>
  <c r="E60" i="65" s="1"/>
  <c r="P59" i="70" s="1"/>
  <c r="Q59" i="70" s="1"/>
  <c r="J45" i="7"/>
  <c r="G27" i="22"/>
  <c r="O30" i="22"/>
  <c r="J27" i="8"/>
  <c r="J32" i="8"/>
  <c r="H15" i="10"/>
  <c r="E15" i="10" s="1"/>
  <c r="E27" i="10"/>
  <c r="I18" i="8"/>
  <c r="I24" i="8"/>
  <c r="D13" i="7" s="1"/>
  <c r="D12" i="7" s="1"/>
  <c r="U10" i="41"/>
  <c r="X50" i="41"/>
  <c r="U50" i="41" s="1"/>
  <c r="J13" i="73"/>
  <c r="AH39" i="25"/>
  <c r="C24" i="65"/>
  <c r="D24" i="70" s="1"/>
  <c r="E24" i="70" s="1"/>
  <c r="C25" i="65"/>
  <c r="D25" i="70" s="1"/>
  <c r="E25" i="70" s="1"/>
  <c r="J23" i="8"/>
  <c r="H23" i="11"/>
  <c r="J29" i="7"/>
  <c r="D37" i="7"/>
  <c r="D18" i="109" s="1"/>
  <c r="D18" i="65" s="1"/>
  <c r="J18" i="70" s="1"/>
  <c r="K18" i="70" s="1"/>
  <c r="D19" i="109"/>
  <c r="D19" i="65" s="1"/>
  <c r="J19" i="70" s="1"/>
  <c r="K19" i="70" s="1"/>
  <c r="J27" i="38"/>
  <c r="H17" i="8" l="1"/>
  <c r="G25" i="109"/>
  <c r="G10" i="22"/>
  <c r="G22" i="109" s="1"/>
  <c r="O27" i="22"/>
  <c r="H59" i="59"/>
  <c r="K10" i="59"/>
  <c r="H10" i="59" s="1"/>
  <c r="D23" i="47"/>
  <c r="I25" i="47"/>
  <c r="L60" i="70"/>
  <c r="F25" i="70"/>
  <c r="C10" i="22"/>
  <c r="O11" i="22"/>
  <c r="C23" i="109"/>
  <c r="D10" i="73"/>
  <c r="E10" i="73" s="1"/>
  <c r="E11" i="73"/>
  <c r="C20" i="65"/>
  <c r="O20" i="109"/>
  <c r="D32" i="65"/>
  <c r="O32" i="109"/>
  <c r="H16" i="11"/>
  <c r="L59" i="70"/>
  <c r="C21" i="65"/>
  <c r="O21" i="109"/>
  <c r="J26" i="7"/>
  <c r="C24" i="7"/>
  <c r="L19" i="70"/>
  <c r="E33" i="109"/>
  <c r="E33" i="65" s="1"/>
  <c r="P32" i="70" s="1"/>
  <c r="Q32" i="70" s="1"/>
  <c r="J16" i="7"/>
  <c r="C14" i="109"/>
  <c r="R15" i="70"/>
  <c r="G13" i="13"/>
  <c r="I13" i="13" s="1"/>
  <c r="D13" i="109"/>
  <c r="D13" i="65" s="1"/>
  <c r="J13" i="70" s="1"/>
  <c r="K13" i="70" s="1"/>
  <c r="F24" i="109"/>
  <c r="F10" i="22"/>
  <c r="F22" i="109" s="1"/>
  <c r="L18" i="70"/>
  <c r="K26" i="65"/>
  <c r="D26" i="70"/>
  <c r="E26" i="70" s="1"/>
  <c r="J21" i="38"/>
  <c r="L14" i="70"/>
  <c r="C65" i="65"/>
  <c r="O66" i="109"/>
  <c r="D15" i="13"/>
  <c r="F29" i="70"/>
  <c r="F24" i="70"/>
  <c r="J20" i="8"/>
  <c r="J24" i="8"/>
  <c r="E13" i="7" s="1"/>
  <c r="E12" i="7" s="1"/>
  <c r="C61" i="65"/>
  <c r="O62" i="109"/>
  <c r="R55" i="12"/>
  <c r="O54" i="109"/>
  <c r="C54" i="65"/>
  <c r="R34" i="70"/>
  <c r="D33" i="65"/>
  <c r="O33" i="109"/>
  <c r="J13" i="7"/>
  <c r="I17" i="8"/>
  <c r="K13" i="73"/>
  <c r="J10" i="73"/>
  <c r="K10" i="73" s="1"/>
  <c r="O16" i="22"/>
  <c r="E11" i="13"/>
  <c r="E15" i="13" s="1"/>
  <c r="T55" i="12"/>
  <c r="C19" i="109"/>
  <c r="J38" i="7"/>
  <c r="C37" i="7"/>
  <c r="R59" i="70"/>
  <c r="H60" i="8"/>
  <c r="C15" i="7" s="1"/>
  <c r="J52" i="7"/>
  <c r="C61" i="109"/>
  <c r="R41" i="70"/>
  <c r="J10" i="1"/>
  <c r="C51" i="109"/>
  <c r="O63" i="109"/>
  <c r="C62" i="65"/>
  <c r="H16" i="8"/>
  <c r="C56" i="7" s="1"/>
  <c r="D22" i="109"/>
  <c r="D22" i="65" s="1"/>
  <c r="J22" i="70" s="1"/>
  <c r="K22" i="70" s="1"/>
  <c r="C12" i="68"/>
  <c r="R18" i="70"/>
  <c r="R46" i="70"/>
  <c r="L24" i="70"/>
  <c r="R20" i="70"/>
  <c r="C15" i="109" l="1"/>
  <c r="J24" i="7"/>
  <c r="D20" i="70"/>
  <c r="E20" i="70" s="1"/>
  <c r="K20" i="65"/>
  <c r="K32" i="65"/>
  <c r="J31" i="70"/>
  <c r="K31" i="70" s="1"/>
  <c r="C65" i="109"/>
  <c r="J56" i="7"/>
  <c r="L13" i="73"/>
  <c r="F26" i="70"/>
  <c r="D61" i="70"/>
  <c r="E61" i="70" s="1"/>
  <c r="K62" i="65"/>
  <c r="G11" i="73"/>
  <c r="F11" i="73"/>
  <c r="H11" i="73"/>
  <c r="D47" i="109"/>
  <c r="I23" i="47"/>
  <c r="D10" i="47"/>
  <c r="D21" i="70"/>
  <c r="E21" i="70" s="1"/>
  <c r="K21" i="65"/>
  <c r="F10" i="73"/>
  <c r="C51" i="65"/>
  <c r="O51" i="109"/>
  <c r="O23" i="109"/>
  <c r="C23" i="65"/>
  <c r="K61" i="65"/>
  <c r="D60" i="70"/>
  <c r="E60" i="70" s="1"/>
  <c r="O14" i="109"/>
  <c r="C14" i="65"/>
  <c r="L22" i="70"/>
  <c r="K54" i="65"/>
  <c r="D53" i="70"/>
  <c r="E53" i="70" s="1"/>
  <c r="L10" i="73"/>
  <c r="J37" i="7"/>
  <c r="C18" i="109"/>
  <c r="K65" i="65"/>
  <c r="D64" i="70"/>
  <c r="C64" i="70" s="1"/>
  <c r="E64" i="70" s="1"/>
  <c r="C22" i="109"/>
  <c r="O10" i="22"/>
  <c r="G22" i="65"/>
  <c r="G10" i="109"/>
  <c r="G10" i="65" s="1"/>
  <c r="J15" i="7"/>
  <c r="C12" i="7"/>
  <c r="E13" i="109"/>
  <c r="E13" i="65" s="1"/>
  <c r="P13" i="70" s="1"/>
  <c r="Q13" i="70" s="1"/>
  <c r="F10" i="109"/>
  <c r="F10" i="65" s="1"/>
  <c r="F22" i="65"/>
  <c r="J32" i="70"/>
  <c r="K32" i="70" s="1"/>
  <c r="K33" i="65"/>
  <c r="F24" i="65"/>
  <c r="K24" i="65" s="1"/>
  <c r="O24" i="109"/>
  <c r="G25" i="65"/>
  <c r="K25" i="65" s="1"/>
  <c r="O25" i="109"/>
  <c r="L13" i="70"/>
  <c r="O61" i="109"/>
  <c r="C60" i="65"/>
  <c r="R32" i="70"/>
  <c r="J17" i="8"/>
  <c r="O19" i="109"/>
  <c r="C19" i="65"/>
  <c r="O22" i="109" l="1"/>
  <c r="C22" i="65"/>
  <c r="G64" i="70"/>
  <c r="H64" i="70"/>
  <c r="F64" i="70"/>
  <c r="D14" i="70"/>
  <c r="E14" i="70" s="1"/>
  <c r="K14" i="65"/>
  <c r="F21" i="70"/>
  <c r="G21" i="70"/>
  <c r="H21" i="70"/>
  <c r="L32" i="70"/>
  <c r="C14" i="68"/>
  <c r="D42" i="109"/>
  <c r="I10" i="47"/>
  <c r="D47" i="65"/>
  <c r="O47" i="109"/>
  <c r="F60" i="70"/>
  <c r="K23" i="65"/>
  <c r="D23" i="70"/>
  <c r="E23" i="70" s="1"/>
  <c r="C64" i="65"/>
  <c r="O65" i="109"/>
  <c r="L31" i="70"/>
  <c r="R13" i="70"/>
  <c r="F53" i="70"/>
  <c r="D50" i="70"/>
  <c r="E50" i="70" s="1"/>
  <c r="K51" i="65"/>
  <c r="J12" i="7"/>
  <c r="C13" i="109"/>
  <c r="F61" i="70"/>
  <c r="F20" i="70"/>
  <c r="C18" i="65"/>
  <c r="O18" i="109"/>
  <c r="K60" i="65"/>
  <c r="D59" i="70"/>
  <c r="E59" i="70" s="1"/>
  <c r="K19" i="65"/>
  <c r="D19" i="70"/>
  <c r="E19" i="70" s="1"/>
  <c r="O15" i="109"/>
  <c r="C15" i="65"/>
  <c r="K64" i="65" l="1"/>
  <c r="D63" i="70"/>
  <c r="E63" i="70" s="1"/>
  <c r="F50" i="70"/>
  <c r="F23" i="70"/>
  <c r="K18" i="65"/>
  <c r="D18" i="70"/>
  <c r="E18" i="70" s="1"/>
  <c r="F14" i="70"/>
  <c r="J46" i="70"/>
  <c r="K46" i="70" s="1"/>
  <c r="K47" i="65"/>
  <c r="K15" i="65"/>
  <c r="D15" i="70"/>
  <c r="E15" i="70" s="1"/>
  <c r="D42" i="65"/>
  <c r="O42" i="109"/>
  <c r="F19" i="70"/>
  <c r="O13" i="109"/>
  <c r="C13" i="65"/>
  <c r="K22" i="65"/>
  <c r="D22" i="70"/>
  <c r="E22" i="70" s="1"/>
  <c r="F59" i="70"/>
  <c r="F15" i="70" l="1"/>
  <c r="K13" i="65"/>
  <c r="D13" i="70"/>
  <c r="E13" i="70" s="1"/>
  <c r="F63" i="70"/>
  <c r="F18" i="70"/>
  <c r="J41" i="70"/>
  <c r="K41" i="70" s="1"/>
  <c r="K42" i="65"/>
  <c r="F22" i="70"/>
  <c r="L46" i="70"/>
  <c r="G16" i="45"/>
  <c r="G17" i="45"/>
  <c r="H12" i="45"/>
  <c r="G12" i="45"/>
  <c r="G19" i="45"/>
  <c r="H29" i="45"/>
  <c r="G13" i="45"/>
  <c r="H26" i="45"/>
  <c r="H19" i="45"/>
  <c r="H17" i="45"/>
  <c r="H18" i="45"/>
  <c r="H16" i="45"/>
  <c r="G18" i="45"/>
  <c r="G26" i="45"/>
  <c r="G29" i="45"/>
  <c r="H13" i="45"/>
  <c r="L41" i="70" l="1"/>
  <c r="I21" i="45"/>
  <c r="G22" i="45"/>
  <c r="G10" i="42"/>
  <c r="D32" i="38"/>
  <c r="F11" i="42"/>
  <c r="H11" i="45"/>
  <c r="F13" i="70"/>
  <c r="I27" i="45"/>
  <c r="G27" i="45" s="1"/>
  <c r="G28" i="45"/>
  <c r="G11" i="45"/>
  <c r="I14" i="45"/>
  <c r="G14" i="45" s="1"/>
  <c r="G15" i="45"/>
  <c r="J21" i="45"/>
  <c r="H22" i="45"/>
  <c r="J27" i="45"/>
  <c r="H27" i="45" s="1"/>
  <c r="H28" i="45"/>
  <c r="J14" i="45"/>
  <c r="H14" i="45" s="1"/>
  <c r="H15" i="45"/>
  <c r="C41" i="11"/>
  <c r="F84" i="8" l="1"/>
  <c r="E84" i="8"/>
  <c r="G84" i="8"/>
  <c r="G56" i="8"/>
  <c r="E56" i="8"/>
  <c r="F56" i="8"/>
  <c r="C66" i="8"/>
  <c r="G88" i="8"/>
  <c r="F88" i="8"/>
  <c r="E88" i="8"/>
  <c r="C25" i="8"/>
  <c r="C32" i="8"/>
  <c r="G33" i="8"/>
  <c r="E33" i="8"/>
  <c r="F33" i="8"/>
  <c r="C62" i="8"/>
  <c r="F70" i="8"/>
  <c r="E70" i="8"/>
  <c r="G70" i="8"/>
  <c r="C27" i="8"/>
  <c r="F35" i="8"/>
  <c r="E35" i="8"/>
  <c r="G35" i="8"/>
  <c r="F83" i="8"/>
  <c r="E83" i="8"/>
  <c r="G83" i="8"/>
  <c r="J10" i="45"/>
  <c r="C53" i="8"/>
  <c r="G54" i="8"/>
  <c r="E54" i="8"/>
  <c r="F54" i="8"/>
  <c r="J32" i="38"/>
  <c r="D34" i="109"/>
  <c r="C75" i="8"/>
  <c r="G76" i="8"/>
  <c r="F76" i="8"/>
  <c r="E76" i="8"/>
  <c r="J20" i="45"/>
  <c r="H20" i="45" s="1"/>
  <c r="H21" i="45"/>
  <c r="C61" i="8"/>
  <c r="C68" i="8"/>
  <c r="G69" i="8"/>
  <c r="E69" i="8"/>
  <c r="F69" i="8"/>
  <c r="C30" i="8"/>
  <c r="F38" i="8"/>
  <c r="E38" i="8"/>
  <c r="G38" i="8"/>
  <c r="C21" i="8"/>
  <c r="G57" i="8"/>
  <c r="F57" i="8"/>
  <c r="E57" i="8"/>
  <c r="G77" i="8"/>
  <c r="F77" i="8"/>
  <c r="E77" i="8"/>
  <c r="I10" i="45"/>
  <c r="I20" i="45"/>
  <c r="G20" i="45" s="1"/>
  <c r="G21" i="45"/>
  <c r="F78" i="8"/>
  <c r="E78" i="8"/>
  <c r="G78" i="8"/>
  <c r="G71" i="8"/>
  <c r="E71" i="8"/>
  <c r="F71" i="8"/>
  <c r="C26" i="8"/>
  <c r="G34" i="8"/>
  <c r="F34" i="8"/>
  <c r="E34" i="8"/>
  <c r="C19" i="11"/>
  <c r="C12" i="11" s="1"/>
  <c r="C20" i="11"/>
  <c r="C13" i="11" s="1"/>
  <c r="C62" i="11"/>
  <c r="C40" i="11"/>
  <c r="G58" i="11"/>
  <c r="F58" i="11"/>
  <c r="E110" i="11" l="1"/>
  <c r="H94" i="11"/>
  <c r="H109" i="11"/>
  <c r="H108" i="11" s="1"/>
  <c r="C36" i="7" s="1"/>
  <c r="I109" i="11"/>
  <c r="I108" i="11" s="1"/>
  <c r="D36" i="7" s="1"/>
  <c r="D34" i="7" s="1"/>
  <c r="D17" i="109" s="1"/>
  <c r="D17" i="65" s="1"/>
  <c r="J17" i="70" s="1"/>
  <c r="K17" i="70" s="1"/>
  <c r="F110" i="11"/>
  <c r="I94" i="11"/>
  <c r="E67" i="11"/>
  <c r="H60" i="11"/>
  <c r="H66" i="11"/>
  <c r="C60" i="11"/>
  <c r="C59" i="11" s="1"/>
  <c r="C66" i="11"/>
  <c r="G85" i="8"/>
  <c r="F85" i="8"/>
  <c r="E85" i="8"/>
  <c r="C82" i="8"/>
  <c r="J25" i="11"/>
  <c r="G26" i="11"/>
  <c r="J18" i="11"/>
  <c r="I25" i="11"/>
  <c r="F26" i="11"/>
  <c r="I18" i="11"/>
  <c r="I23" i="11"/>
  <c r="F31" i="11"/>
  <c r="C44" i="11"/>
  <c r="E44" i="11" s="1"/>
  <c r="E52" i="11"/>
  <c r="C23" i="8"/>
  <c r="E30" i="8"/>
  <c r="F30" i="8"/>
  <c r="G30" i="8"/>
  <c r="C18" i="8"/>
  <c r="C24" i="8"/>
  <c r="E25" i="8"/>
  <c r="G25" i="8"/>
  <c r="F25" i="8"/>
  <c r="O34" i="109"/>
  <c r="D34" i="65"/>
  <c r="H62" i="11"/>
  <c r="E62" i="11" s="1"/>
  <c r="E69" i="11"/>
  <c r="D44" i="38"/>
  <c r="G10" i="45"/>
  <c r="H41" i="11"/>
  <c r="E41" i="11" s="1"/>
  <c r="E49" i="11"/>
  <c r="C19" i="8"/>
  <c r="G26" i="8"/>
  <c r="F26" i="8"/>
  <c r="E26" i="8"/>
  <c r="F27" i="8"/>
  <c r="E27" i="8"/>
  <c r="G27" i="8"/>
  <c r="H20" i="11"/>
  <c r="E28" i="11"/>
  <c r="J62" i="11"/>
  <c r="G62" i="11" s="1"/>
  <c r="G69" i="11"/>
  <c r="F27" i="11"/>
  <c r="I19" i="11"/>
  <c r="I44" i="11"/>
  <c r="F52" i="11"/>
  <c r="I99" i="11"/>
  <c r="F99" i="11" s="1"/>
  <c r="F114" i="11"/>
  <c r="H19" i="11"/>
  <c r="E27" i="11"/>
  <c r="G31" i="11"/>
  <c r="J23" i="11"/>
  <c r="C23" i="11"/>
  <c r="E31" i="11"/>
  <c r="G66" i="8"/>
  <c r="E66" i="8"/>
  <c r="F66" i="8"/>
  <c r="C25" i="11"/>
  <c r="C18" i="11"/>
  <c r="G67" i="11"/>
  <c r="J60" i="11"/>
  <c r="J66" i="11"/>
  <c r="F48" i="11"/>
  <c r="I40" i="11"/>
  <c r="F40" i="11" s="1"/>
  <c r="H53" i="11"/>
  <c r="E54" i="11"/>
  <c r="F67" i="11"/>
  <c r="I66" i="11"/>
  <c r="I60" i="11"/>
  <c r="E61" i="8"/>
  <c r="G61" i="8"/>
  <c r="F61" i="8"/>
  <c r="E48" i="11"/>
  <c r="H40" i="11"/>
  <c r="E40" i="11" s="1"/>
  <c r="J40" i="11"/>
  <c r="G40" i="11" s="1"/>
  <c r="G48" i="11"/>
  <c r="E47" i="11"/>
  <c r="H39" i="11"/>
  <c r="H46" i="11"/>
  <c r="I41" i="11"/>
  <c r="F41" i="11" s="1"/>
  <c r="F49" i="11"/>
  <c r="J19" i="11"/>
  <c r="G27" i="11"/>
  <c r="J20" i="11"/>
  <c r="G28" i="11"/>
  <c r="J41" i="11"/>
  <c r="G41" i="11" s="1"/>
  <c r="G49" i="11"/>
  <c r="F28" i="11"/>
  <c r="I20" i="11"/>
  <c r="C63" i="8"/>
  <c r="C60" i="8" s="1"/>
  <c r="E44" i="38"/>
  <c r="H10" i="45"/>
  <c r="F62" i="8"/>
  <c r="E62" i="8"/>
  <c r="G62" i="8"/>
  <c r="C14" i="8"/>
  <c r="G21" i="8"/>
  <c r="E21" i="8"/>
  <c r="F21" i="8"/>
  <c r="J94" i="11"/>
  <c r="G110" i="11"/>
  <c r="J109" i="11"/>
  <c r="J108" i="11" s="1"/>
  <c r="E36" i="7" s="1"/>
  <c r="E34" i="7" s="1"/>
  <c r="E17" i="109" s="1"/>
  <c r="E17" i="65" s="1"/>
  <c r="P17" i="70" s="1"/>
  <c r="Q17" i="70" s="1"/>
  <c r="F54" i="11"/>
  <c r="I53" i="11"/>
  <c r="G47" i="11"/>
  <c r="J46" i="11"/>
  <c r="J39" i="11"/>
  <c r="J99" i="11"/>
  <c r="G99" i="11" s="1"/>
  <c r="G114" i="11"/>
  <c r="C46" i="11"/>
  <c r="C39" i="11"/>
  <c r="C38" i="11" s="1"/>
  <c r="F69" i="11"/>
  <c r="I62" i="11"/>
  <c r="F62" i="11" s="1"/>
  <c r="H18" i="11"/>
  <c r="H25" i="11"/>
  <c r="E26" i="11"/>
  <c r="F47" i="11"/>
  <c r="I39" i="11"/>
  <c r="I46" i="11"/>
  <c r="J44" i="11"/>
  <c r="G52" i="11"/>
  <c r="G54" i="11"/>
  <c r="J53" i="11"/>
  <c r="H20" i="47"/>
  <c r="M46" i="109" s="1"/>
  <c r="F11" i="47"/>
  <c r="F20" i="47"/>
  <c r="K46" i="109" s="1"/>
  <c r="G20" i="47"/>
  <c r="L46" i="109" s="1"/>
  <c r="H14" i="47"/>
  <c r="M44" i="109" s="1"/>
  <c r="M16" i="22"/>
  <c r="F14" i="47"/>
  <c r="K44" i="109" s="1"/>
  <c r="F24" i="7"/>
  <c r="K15" i="109" s="1"/>
  <c r="F34" i="7"/>
  <c r="K17" i="109" s="1"/>
  <c r="G34" i="7"/>
  <c r="L17" i="109" s="1"/>
  <c r="H23" i="47"/>
  <c r="M47" i="109" s="1"/>
  <c r="H42" i="7"/>
  <c r="H11" i="1"/>
  <c r="H11" i="47"/>
  <c r="G30" i="7"/>
  <c r="L16" i="109" s="1"/>
  <c r="F23" i="47"/>
  <c r="K47" i="109" s="1"/>
  <c r="G14" i="47"/>
  <c r="L44" i="109" s="1"/>
  <c r="I24" i="7"/>
  <c r="N15" i="109" s="1"/>
  <c r="I30" i="7"/>
  <c r="N16" i="109" s="1"/>
  <c r="I34" i="7"/>
  <c r="N17" i="109" s="1"/>
  <c r="G23" i="47"/>
  <c r="L47" i="109" s="1"/>
  <c r="M57" i="22"/>
  <c r="M30" i="109" s="1"/>
  <c r="H34" i="7"/>
  <c r="M17" i="109" s="1"/>
  <c r="H37" i="7" l="1"/>
  <c r="M18" i="109" s="1"/>
  <c r="M20" i="109"/>
  <c r="F16" i="7"/>
  <c r="K14" i="109" s="1"/>
  <c r="F17" i="47"/>
  <c r="K45" i="109" s="1"/>
  <c r="G17" i="47"/>
  <c r="L45" i="109" s="1"/>
  <c r="M27" i="22"/>
  <c r="M25" i="109" s="1"/>
  <c r="G42" i="7"/>
  <c r="J38" i="11"/>
  <c r="E32" i="7" s="1"/>
  <c r="G39" i="11"/>
  <c r="J33" i="70"/>
  <c r="K33" i="70" s="1"/>
  <c r="K34" i="65"/>
  <c r="C20" i="8"/>
  <c r="H10" i="38"/>
  <c r="M37" i="109"/>
  <c r="I16" i="11"/>
  <c r="F23" i="11"/>
  <c r="K37" i="109"/>
  <c r="F10" i="38"/>
  <c r="J12" i="11"/>
  <c r="G19" i="11"/>
  <c r="G11" i="47"/>
  <c r="F60" i="11"/>
  <c r="I59" i="11"/>
  <c r="D33" i="7" s="1"/>
  <c r="F44" i="11"/>
  <c r="I11" i="11"/>
  <c r="I17" i="11"/>
  <c r="D31" i="7" s="1"/>
  <c r="F18" i="11"/>
  <c r="E37" i="109"/>
  <c r="E37" i="65" s="1"/>
  <c r="P36" i="70" s="1"/>
  <c r="Q36" i="70" s="1"/>
  <c r="E10" i="38"/>
  <c r="E31" i="109" s="1"/>
  <c r="E31" i="65" s="1"/>
  <c r="P30" i="70" s="1"/>
  <c r="Q30" i="70" s="1"/>
  <c r="F19" i="11"/>
  <c r="I12" i="11"/>
  <c r="H59" i="11"/>
  <c r="C33" i="7" s="1"/>
  <c r="E60" i="11"/>
  <c r="I16" i="7"/>
  <c r="N14" i="109" s="1"/>
  <c r="H17" i="11"/>
  <c r="C31" i="7" s="1"/>
  <c r="E18" i="11"/>
  <c r="H11" i="11"/>
  <c r="R17" i="70"/>
  <c r="F63" i="8"/>
  <c r="G63" i="8"/>
  <c r="E63" i="8"/>
  <c r="H38" i="11"/>
  <c r="C32" i="7" s="1"/>
  <c r="J32" i="7" s="1"/>
  <c r="E39" i="11"/>
  <c r="G19" i="8"/>
  <c r="F19" i="8"/>
  <c r="E19" i="8"/>
  <c r="F20" i="11"/>
  <c r="I13" i="11"/>
  <c r="C17" i="8"/>
  <c r="G18" i="8"/>
  <c r="E18" i="8"/>
  <c r="F18" i="8"/>
  <c r="J17" i="11"/>
  <c r="E31" i="7" s="1"/>
  <c r="G18" i="11"/>
  <c r="J11" i="11"/>
  <c r="I93" i="11"/>
  <c r="F94" i="11"/>
  <c r="L27" i="22"/>
  <c r="K43" i="109"/>
  <c r="F10" i="47"/>
  <c r="K27" i="22"/>
  <c r="H21" i="1"/>
  <c r="M55" i="109" s="1"/>
  <c r="G16" i="7"/>
  <c r="L14" i="109" s="1"/>
  <c r="J93" i="11"/>
  <c r="G94" i="11"/>
  <c r="C16" i="11"/>
  <c r="E16" i="11" s="1"/>
  <c r="E23" i="11"/>
  <c r="F39" i="11"/>
  <c r="I38" i="11"/>
  <c r="D32" i="7" s="1"/>
  <c r="F42" i="7"/>
  <c r="H12" i="7"/>
  <c r="J16" i="11"/>
  <c r="G23" i="11"/>
  <c r="L17" i="70"/>
  <c r="H16" i="7"/>
  <c r="M14" i="109" s="1"/>
  <c r="G12" i="7"/>
  <c r="G24" i="7"/>
  <c r="L15" i="109" s="1"/>
  <c r="I12" i="7"/>
  <c r="F12" i="7"/>
  <c r="L37" i="109"/>
  <c r="G10" i="38"/>
  <c r="N27" i="22"/>
  <c r="E20" i="11"/>
  <c r="H13" i="11"/>
  <c r="D37" i="109"/>
  <c r="J44" i="38"/>
  <c r="D10" i="38"/>
  <c r="J36" i="7"/>
  <c r="C34" i="7"/>
  <c r="C11" i="11"/>
  <c r="C10" i="11" s="1"/>
  <c r="C17" i="11"/>
  <c r="H17" i="47"/>
  <c r="M45" i="109" s="1"/>
  <c r="M43" i="109"/>
  <c r="H10" i="47"/>
  <c r="M52" i="109"/>
  <c r="H10" i="1"/>
  <c r="M24" i="109"/>
  <c r="H30" i="7"/>
  <c r="M16" i="109" s="1"/>
  <c r="H24" i="7"/>
  <c r="M15" i="109" s="1"/>
  <c r="G23" i="8"/>
  <c r="E23" i="8"/>
  <c r="F23" i="8"/>
  <c r="H93" i="11"/>
  <c r="E94" i="11"/>
  <c r="F30" i="7"/>
  <c r="K16" i="109" s="1"/>
  <c r="M35" i="22"/>
  <c r="M26" i="109" s="1"/>
  <c r="G44" i="11"/>
  <c r="F13" i="13"/>
  <c r="H13" i="13" s="1"/>
  <c r="F14" i="8"/>
  <c r="G14" i="8"/>
  <c r="E14" i="8"/>
  <c r="J13" i="11"/>
  <c r="G20" i="11"/>
  <c r="G60" i="11"/>
  <c r="J59" i="11"/>
  <c r="E33" i="7" s="1"/>
  <c r="E19" i="11"/>
  <c r="H12" i="11"/>
  <c r="G55" i="9" l="1"/>
  <c r="F55" i="9"/>
  <c r="E55" i="9"/>
  <c r="F26" i="9"/>
  <c r="E26" i="9"/>
  <c r="G26" i="9"/>
  <c r="G51" i="9"/>
  <c r="F51" i="9"/>
  <c r="E51" i="9"/>
  <c r="J34" i="7"/>
  <c r="C17" i="109"/>
  <c r="G11" i="11"/>
  <c r="J10" i="11"/>
  <c r="J11" i="8"/>
  <c r="J31" i="7"/>
  <c r="C30" i="7"/>
  <c r="F20" i="8"/>
  <c r="E20" i="8"/>
  <c r="G20" i="8"/>
  <c r="G105" i="9"/>
  <c r="E105" i="9"/>
  <c r="F105" i="9"/>
  <c r="G30" i="9"/>
  <c r="E30" i="9"/>
  <c r="F30" i="9"/>
  <c r="G104" i="9"/>
  <c r="F104" i="9"/>
  <c r="E104" i="9"/>
  <c r="F122" i="9"/>
  <c r="E122" i="9"/>
  <c r="G122" i="9"/>
  <c r="G11" i="7"/>
  <c r="L13" i="109"/>
  <c r="L33" i="70"/>
  <c r="G47" i="9"/>
  <c r="E47" i="9"/>
  <c r="F47" i="9"/>
  <c r="G58" i="9"/>
  <c r="F58" i="9"/>
  <c r="E58" i="9"/>
  <c r="D31" i="109"/>
  <c r="C13" i="68"/>
  <c r="J10" i="38"/>
  <c r="E30" i="7"/>
  <c r="L43" i="109"/>
  <c r="G10" i="47"/>
  <c r="C62" i="9"/>
  <c r="G70" i="9"/>
  <c r="E70" i="9"/>
  <c r="F70" i="9"/>
  <c r="N13" i="109"/>
  <c r="I11" i="7"/>
  <c r="C60" i="9"/>
  <c r="C67" i="9"/>
  <c r="F68" i="9"/>
  <c r="E68" i="9"/>
  <c r="G68" i="9"/>
  <c r="C61" i="9"/>
  <c r="E69" i="9"/>
  <c r="F69" i="9"/>
  <c r="G69" i="9"/>
  <c r="M10" i="22"/>
  <c r="J33" i="7"/>
  <c r="G101" i="9"/>
  <c r="E101" i="9"/>
  <c r="F101" i="9"/>
  <c r="G33" i="9"/>
  <c r="E33" i="9"/>
  <c r="F33" i="9"/>
  <c r="C16" i="9"/>
  <c r="G23" i="9"/>
  <c r="F23" i="9"/>
  <c r="E23" i="9"/>
  <c r="G54" i="9"/>
  <c r="F54" i="9"/>
  <c r="E54" i="9"/>
  <c r="C38" i="9"/>
  <c r="F39" i="9"/>
  <c r="G39" i="9"/>
  <c r="E39" i="9"/>
  <c r="C95" i="9"/>
  <c r="G96" i="9"/>
  <c r="E96" i="9"/>
  <c r="F96" i="9"/>
  <c r="C17" i="9"/>
  <c r="C11" i="9"/>
  <c r="E18" i="9"/>
  <c r="G18" i="9"/>
  <c r="F18" i="9"/>
  <c r="C45" i="9"/>
  <c r="G46" i="9"/>
  <c r="E46" i="9"/>
  <c r="F46" i="9"/>
  <c r="F37" i="9"/>
  <c r="G37" i="9"/>
  <c r="E37" i="9"/>
  <c r="O37" i="109"/>
  <c r="D37" i="65"/>
  <c r="F12" i="11"/>
  <c r="I12" i="8"/>
  <c r="G12" i="11"/>
  <c r="J12" i="8"/>
  <c r="G37" i="7"/>
  <c r="L18" i="109" s="1"/>
  <c r="L20" i="109"/>
  <c r="K31" i="109"/>
  <c r="F13" i="68"/>
  <c r="F83" i="9"/>
  <c r="G83" i="9"/>
  <c r="E83" i="9"/>
  <c r="E15" i="68"/>
  <c r="M51" i="109"/>
  <c r="E13" i="11"/>
  <c r="H13" i="8"/>
  <c r="E27" i="9"/>
  <c r="G27" i="9"/>
  <c r="F27" i="9"/>
  <c r="G98" i="9"/>
  <c r="F98" i="9"/>
  <c r="E98" i="9"/>
  <c r="C52" i="9"/>
  <c r="G53" i="9"/>
  <c r="F53" i="9"/>
  <c r="E53" i="9"/>
  <c r="E12" i="11"/>
  <c r="H12" i="8"/>
  <c r="K25" i="109"/>
  <c r="K10" i="22"/>
  <c r="R30" i="70"/>
  <c r="G87" i="9"/>
  <c r="F87" i="9"/>
  <c r="E87" i="9"/>
  <c r="C102" i="9"/>
  <c r="E103" i="9"/>
  <c r="G103" i="9"/>
  <c r="F103" i="9"/>
  <c r="E40" i="9"/>
  <c r="F40" i="9"/>
  <c r="G40" i="9"/>
  <c r="G48" i="9"/>
  <c r="E48" i="9"/>
  <c r="F48" i="9"/>
  <c r="N10" i="22"/>
  <c r="N22" i="109" s="1"/>
  <c r="N25" i="109"/>
  <c r="K42" i="109"/>
  <c r="F14" i="68"/>
  <c r="G13" i="11"/>
  <c r="J13" i="8"/>
  <c r="G121" i="9"/>
  <c r="E121" i="9"/>
  <c r="F121" i="9"/>
  <c r="F41" i="9"/>
  <c r="G41" i="9"/>
  <c r="E41" i="9"/>
  <c r="G16" i="11"/>
  <c r="J16" i="8"/>
  <c r="R36" i="70"/>
  <c r="C24" i="9"/>
  <c r="F25" i="9"/>
  <c r="E25" i="9"/>
  <c r="G25" i="9"/>
  <c r="C81" i="9"/>
  <c r="G82" i="9"/>
  <c r="F82" i="9"/>
  <c r="E82" i="9"/>
  <c r="L31" i="109"/>
  <c r="D13" i="68"/>
  <c r="M13" i="109"/>
  <c r="H11" i="7"/>
  <c r="F13" i="11"/>
  <c r="I13" i="8"/>
  <c r="F16" i="11"/>
  <c r="I16" i="8"/>
  <c r="K20" i="109"/>
  <c r="F37" i="7"/>
  <c r="K18" i="109" s="1"/>
  <c r="L25" i="109"/>
  <c r="L10" i="22"/>
  <c r="D30" i="7"/>
  <c r="G34" i="9"/>
  <c r="E34" i="9"/>
  <c r="F34" i="9"/>
  <c r="C13" i="9"/>
  <c r="E20" i="9"/>
  <c r="G20" i="9"/>
  <c r="F20" i="9"/>
  <c r="E14" i="68"/>
  <c r="M42" i="109"/>
  <c r="G125" i="9"/>
  <c r="F125" i="9"/>
  <c r="E125" i="9"/>
  <c r="G84" i="9"/>
  <c r="F84" i="9"/>
  <c r="E84" i="9"/>
  <c r="C31" i="9"/>
  <c r="G32" i="9"/>
  <c r="E32" i="9"/>
  <c r="F32" i="9"/>
  <c r="C12" i="9"/>
  <c r="F19" i="9"/>
  <c r="G19" i="9"/>
  <c r="E19" i="9"/>
  <c r="C119" i="9"/>
  <c r="C118" i="9" s="1"/>
  <c r="G120" i="9"/>
  <c r="F120" i="9"/>
  <c r="E120" i="9"/>
  <c r="C65" i="9"/>
  <c r="G73" i="9"/>
  <c r="F73" i="9"/>
  <c r="E73" i="9"/>
  <c r="E44" i="9"/>
  <c r="F44" i="9"/>
  <c r="G44" i="9"/>
  <c r="K13" i="109"/>
  <c r="F11" i="7"/>
  <c r="H10" i="11"/>
  <c r="E11" i="11"/>
  <c r="H11" i="8"/>
  <c r="I10" i="11"/>
  <c r="F11" i="11"/>
  <c r="I11" i="8"/>
  <c r="M31" i="109"/>
  <c r="E13" i="68"/>
  <c r="E16" i="109" l="1"/>
  <c r="E16" i="65" s="1"/>
  <c r="P16" i="70" s="1"/>
  <c r="Q16" i="70" s="1"/>
  <c r="E11" i="7"/>
  <c r="C17" i="65"/>
  <c r="O17" i="109"/>
  <c r="I10" i="8"/>
  <c r="G10" i="7"/>
  <c r="L12" i="109"/>
  <c r="E13" i="9"/>
  <c r="G13" i="9"/>
  <c r="F13" i="9"/>
  <c r="G11" i="13"/>
  <c r="I11" i="13" s="1"/>
  <c r="G12" i="13"/>
  <c r="I12" i="13" s="1"/>
  <c r="C59" i="9"/>
  <c r="F60" i="9"/>
  <c r="E60" i="9"/>
  <c r="G60" i="9"/>
  <c r="D31" i="65"/>
  <c r="O31" i="109"/>
  <c r="F65" i="9"/>
  <c r="G65" i="9"/>
  <c r="E65" i="9"/>
  <c r="H10" i="7"/>
  <c r="M12" i="109"/>
  <c r="I10" i="7"/>
  <c r="N11" i="109" s="1"/>
  <c r="N10" i="109" s="1"/>
  <c r="N12" i="109"/>
  <c r="H10" i="8"/>
  <c r="G10" i="13"/>
  <c r="J36" i="70"/>
  <c r="K36" i="70" s="1"/>
  <c r="K37" i="65"/>
  <c r="C10" i="9"/>
  <c r="E11" i="9"/>
  <c r="G11" i="9"/>
  <c r="F11" i="9"/>
  <c r="C11" i="8"/>
  <c r="F11" i="8" s="1"/>
  <c r="E12" i="68"/>
  <c r="M22" i="109"/>
  <c r="C13" i="8"/>
  <c r="F12" i="13" s="1"/>
  <c r="H12" i="13" s="1"/>
  <c r="F12" i="68"/>
  <c r="K22" i="109"/>
  <c r="K12" i="109"/>
  <c r="F10" i="7"/>
  <c r="D16" i="109"/>
  <c r="D16" i="65" s="1"/>
  <c r="J16" i="70" s="1"/>
  <c r="K16" i="70" s="1"/>
  <c r="D11" i="7"/>
  <c r="J30" i="7"/>
  <c r="C16" i="109"/>
  <c r="C11" i="7"/>
  <c r="D12" i="68"/>
  <c r="L22" i="109"/>
  <c r="E62" i="9"/>
  <c r="F62" i="9"/>
  <c r="G62" i="9"/>
  <c r="J10" i="8"/>
  <c r="G12" i="9"/>
  <c r="F12" i="9"/>
  <c r="E12" i="9"/>
  <c r="C12" i="8"/>
  <c r="F11" i="13" s="1"/>
  <c r="H11" i="13" s="1"/>
  <c r="F16" i="9"/>
  <c r="G16" i="9"/>
  <c r="E16" i="9"/>
  <c r="C16" i="8"/>
  <c r="E16" i="8" s="1"/>
  <c r="G61" i="9"/>
  <c r="F61" i="9"/>
  <c r="E61" i="9"/>
  <c r="L42" i="109"/>
  <c r="D14" i="68"/>
  <c r="J30" i="70" l="1"/>
  <c r="K30" i="70" s="1"/>
  <c r="K31" i="65"/>
  <c r="G15" i="13"/>
  <c r="I15" i="13" s="1"/>
  <c r="I10" i="13"/>
  <c r="D11" i="68"/>
  <c r="D10" i="68" s="1"/>
  <c r="L11" i="109"/>
  <c r="L10" i="109" s="1"/>
  <c r="G12" i="8"/>
  <c r="F13" i="8"/>
  <c r="C12" i="109"/>
  <c r="C10" i="7"/>
  <c r="J11" i="7"/>
  <c r="F12" i="8"/>
  <c r="E13" i="8"/>
  <c r="E11" i="8"/>
  <c r="C10" i="8"/>
  <c r="F10" i="13"/>
  <c r="E11" i="68"/>
  <c r="E10" i="68" s="1"/>
  <c r="M11" i="109"/>
  <c r="M10" i="109" s="1"/>
  <c r="E12" i="8"/>
  <c r="O16" i="109"/>
  <c r="C16" i="65"/>
  <c r="K17" i="65"/>
  <c r="D17" i="70"/>
  <c r="E17" i="70" s="1"/>
  <c r="G13" i="8"/>
  <c r="E12" i="109"/>
  <c r="E12" i="65" s="1"/>
  <c r="P12" i="70" s="1"/>
  <c r="Q12" i="70" s="1"/>
  <c r="E10" i="7"/>
  <c r="E11" i="109" s="1"/>
  <c r="L36" i="70"/>
  <c r="G11" i="8"/>
  <c r="R16" i="70"/>
  <c r="G16" i="8"/>
  <c r="D10" i="7"/>
  <c r="D12" i="109"/>
  <c r="D12" i="65" s="1"/>
  <c r="J12" i="70" s="1"/>
  <c r="K12" i="70" s="1"/>
  <c r="L16" i="70"/>
  <c r="K11" i="109"/>
  <c r="K10" i="109" s="1"/>
  <c r="F11" i="68"/>
  <c r="F10" i="68" s="1"/>
  <c r="F16" i="8"/>
  <c r="C11" i="68" l="1"/>
  <c r="C10" i="68" s="1"/>
  <c r="D11" i="109"/>
  <c r="F17" i="70"/>
  <c r="C11" i="109"/>
  <c r="J10" i="7"/>
  <c r="D16" i="70"/>
  <c r="E16" i="70" s="1"/>
  <c r="K16" i="65"/>
  <c r="C12" i="65"/>
  <c r="O12" i="109"/>
  <c r="L12" i="70"/>
  <c r="F15" i="13"/>
  <c r="H15" i="13" s="1"/>
  <c r="H10" i="13"/>
  <c r="E11" i="65"/>
  <c r="P11" i="70" s="1"/>
  <c r="E10" i="109"/>
  <c r="E10" i="65" s="1"/>
  <c r="R12" i="70"/>
  <c r="L30" i="70"/>
  <c r="D12" i="70" l="1"/>
  <c r="E12" i="70" s="1"/>
  <c r="K12" i="65"/>
  <c r="F16" i="70"/>
  <c r="Q11" i="70"/>
  <c r="P10" i="70"/>
  <c r="Q10" i="70" s="1"/>
  <c r="C11" i="65"/>
  <c r="O11" i="109"/>
  <c r="C10" i="109"/>
  <c r="D10" i="109"/>
  <c r="D10" i="65" s="1"/>
  <c r="D11" i="65"/>
  <c r="J11" i="70" s="1"/>
  <c r="C10" i="65" l="1"/>
  <c r="K10" i="65" s="1"/>
  <c r="O10" i="109"/>
  <c r="J10" i="70"/>
  <c r="K10" i="70" s="1"/>
  <c r="K11" i="70"/>
  <c r="R11" i="70"/>
  <c r="D11" i="70"/>
  <c r="K11" i="65"/>
  <c r="R10" i="70"/>
  <c r="F12" i="70"/>
  <c r="L11" i="70" l="1"/>
  <c r="L10" i="70"/>
  <c r="E11" i="70"/>
  <c r="D10" i="70"/>
  <c r="K71" i="65"/>
  <c r="K72" i="65"/>
  <c r="G34" i="73" l="1"/>
  <c r="E10" i="70"/>
  <c r="F11" i="70"/>
  <c r="F10" i="70" l="1"/>
  <c r="H10" i="70"/>
  <c r="H11" i="70"/>
  <c r="I34" i="73"/>
  <c r="J34" i="73" s="1"/>
  <c r="G35" i="73"/>
  <c r="H25" i="73"/>
  <c r="T49" i="70"/>
  <c r="H45" i="70"/>
  <c r="H21" i="73"/>
  <c r="H22" i="73"/>
  <c r="H23" i="73"/>
  <c r="T44" i="70"/>
  <c r="H46" i="70"/>
  <c r="H24" i="73"/>
  <c r="T43" i="70"/>
  <c r="T45" i="70"/>
  <c r="N42" i="70"/>
  <c r="T42" i="70"/>
  <c r="H65" i="70"/>
  <c r="H42" i="70"/>
  <c r="N43" i="70"/>
  <c r="H44" i="70"/>
  <c r="T54" i="70"/>
  <c r="N51" i="70"/>
  <c r="H48" i="70"/>
  <c r="T52" i="70"/>
  <c r="N44" i="70"/>
  <c r="N45" i="70"/>
  <c r="T50" i="70"/>
  <c r="H43" i="70"/>
  <c r="H37" i="70"/>
  <c r="H38" i="70"/>
  <c r="N25" i="70"/>
  <c r="Z28" i="73"/>
  <c r="N54" i="70"/>
  <c r="T19" i="70"/>
  <c r="H41" i="70"/>
  <c r="Z27" i="73"/>
  <c r="T25" i="70"/>
  <c r="H30" i="70"/>
  <c r="N50" i="70"/>
  <c r="Z10" i="73"/>
  <c r="N15" i="70"/>
  <c r="N61" i="70"/>
  <c r="T60" i="70"/>
  <c r="T24" i="70"/>
  <c r="N52" i="70"/>
  <c r="T61" i="70"/>
  <c r="T22" i="70"/>
  <c r="N20" i="70"/>
  <c r="T14" i="70"/>
  <c r="N19" i="70"/>
  <c r="H24" i="70"/>
  <c r="T34" i="70"/>
  <c r="N14" i="70"/>
  <c r="H25" i="70"/>
  <c r="T18" i="70"/>
  <c r="T41" i="70"/>
  <c r="T46" i="70"/>
  <c r="N59" i="70"/>
  <c r="N18" i="70"/>
  <c r="T15" i="70"/>
  <c r="N24" i="70"/>
  <c r="T59" i="70"/>
  <c r="H29" i="70"/>
  <c r="T20" i="70"/>
  <c r="N60" i="70"/>
  <c r="H26" i="70"/>
  <c r="N22" i="70"/>
  <c r="H10" i="73"/>
  <c r="T32" i="70"/>
  <c r="N13" i="70"/>
  <c r="N10" i="73"/>
  <c r="N13" i="73"/>
  <c r="N31" i="70"/>
  <c r="T13" i="70"/>
  <c r="H60" i="70"/>
  <c r="H20" i="70"/>
  <c r="H53" i="70"/>
  <c r="N32" i="70"/>
  <c r="H61" i="70"/>
  <c r="H59" i="70"/>
  <c r="H14" i="70"/>
  <c r="H50" i="70"/>
  <c r="H23" i="70"/>
  <c r="H19" i="70"/>
  <c r="H15" i="70"/>
  <c r="H22" i="70"/>
  <c r="N46" i="70"/>
  <c r="H63" i="70"/>
  <c r="H18" i="70"/>
  <c r="N41" i="70"/>
  <c r="H13" i="70"/>
  <c r="T17" i="70"/>
  <c r="N17" i="70"/>
  <c r="T30" i="70"/>
  <c r="T36" i="70"/>
  <c r="N33" i="70"/>
  <c r="N16" i="70"/>
  <c r="T16" i="70"/>
  <c r="N36" i="70"/>
  <c r="N12" i="70"/>
  <c r="N30" i="70"/>
  <c r="H17" i="70"/>
  <c r="T12" i="70"/>
  <c r="H16" i="70"/>
  <c r="H12" i="70"/>
  <c r="T10" i="70"/>
  <c r="T11" i="70"/>
  <c r="N10" i="70"/>
  <c r="N11" i="70"/>
  <c r="I35" i="73" l="1"/>
  <c r="J35" i="73" s="1"/>
  <c r="G25" i="73"/>
  <c r="G21" i="73"/>
  <c r="G22" i="73"/>
  <c r="G23" i="73"/>
  <c r="G24" i="73"/>
  <c r="G65" i="70"/>
  <c r="S54" i="70"/>
  <c r="M51" i="70"/>
  <c r="S52" i="70"/>
  <c r="S50" i="70"/>
  <c r="G37" i="70"/>
  <c r="G38" i="70"/>
  <c r="M50" i="70"/>
  <c r="M25" i="70"/>
  <c r="Y28" i="73"/>
  <c r="G30" i="70"/>
  <c r="S19" i="70"/>
  <c r="M54" i="70"/>
  <c r="Y27" i="73"/>
  <c r="S25" i="70"/>
  <c r="Y10" i="73"/>
  <c r="S22" i="70"/>
  <c r="M15" i="70"/>
  <c r="S61" i="70"/>
  <c r="M61" i="70"/>
  <c r="S14" i="70"/>
  <c r="M52" i="70"/>
  <c r="S60" i="70"/>
  <c r="S24" i="70"/>
  <c r="M20" i="70"/>
  <c r="M60" i="70"/>
  <c r="M19" i="70"/>
  <c r="S34" i="70"/>
  <c r="G24" i="70"/>
  <c r="G25" i="70"/>
  <c r="M14" i="70"/>
  <c r="S18" i="70"/>
  <c r="S20" i="70"/>
  <c r="M59" i="70"/>
  <c r="M18" i="70"/>
  <c r="S15" i="70"/>
  <c r="M24" i="70"/>
  <c r="G29" i="70"/>
  <c r="S59" i="70"/>
  <c r="G26" i="70"/>
  <c r="M22" i="70"/>
  <c r="G10" i="73"/>
  <c r="M13" i="70"/>
  <c r="S32" i="70"/>
  <c r="M10" i="73"/>
  <c r="M13" i="73"/>
  <c r="M32" i="70"/>
  <c r="G53" i="70"/>
  <c r="M31" i="70"/>
  <c r="G60" i="70"/>
  <c r="G61" i="70"/>
  <c r="S13" i="70"/>
  <c r="G20" i="70"/>
  <c r="G14" i="70"/>
  <c r="G50" i="70"/>
  <c r="G59" i="70"/>
  <c r="G23" i="70"/>
  <c r="G19" i="70"/>
  <c r="G15" i="70"/>
  <c r="G22" i="70"/>
  <c r="G63" i="70"/>
  <c r="G18" i="70"/>
  <c r="G13" i="70"/>
  <c r="S17" i="70"/>
  <c r="M17" i="70"/>
  <c r="M33" i="70"/>
  <c r="S30" i="70"/>
  <c r="S36" i="70"/>
  <c r="M16" i="70"/>
  <c r="M36" i="70"/>
  <c r="S16" i="70"/>
  <c r="M12" i="70"/>
  <c r="G17" i="70"/>
  <c r="S12" i="70"/>
  <c r="M30" i="70"/>
  <c r="G16" i="70"/>
  <c r="S10" i="70"/>
  <c r="G12" i="70"/>
  <c r="S11" i="70"/>
  <c r="M11" i="70"/>
  <c r="M10" i="70"/>
  <c r="G11" i="70"/>
  <c r="G10" i="70"/>
</calcChain>
</file>

<file path=xl/sharedStrings.xml><?xml version="1.0" encoding="utf-8"?>
<sst xmlns="http://schemas.openxmlformats.org/spreadsheetml/2006/main" count="19137" uniqueCount="2462">
  <si>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</si>
  <si>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</si>
  <si>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</si>
  <si>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</si>
  <si>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</si>
  <si>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</si>
  <si>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</si>
  <si>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</si>
  <si>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</si>
  <si>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</si>
  <si>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</si>
  <si>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</si>
  <si>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</si>
  <si>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</si>
  <si>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</si>
  <si>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</si>
  <si>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</si>
  <si>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</si>
  <si>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</si>
  <si>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</si>
  <si>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</si>
  <si>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</si>
  <si>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</si>
  <si>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</si>
  <si>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</si>
  <si>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</si>
  <si>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</si>
  <si>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</si>
  <si>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</si>
  <si>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</si>
  <si>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</si>
  <si>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</si>
  <si>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</si>
  <si>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</si>
  <si>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</si>
  <si>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</si>
  <si>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</si>
  <si>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</si>
  <si>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</si>
  <si>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</si>
  <si>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</si>
  <si>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</si>
  <si>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</si>
  <si>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</si>
  <si>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</si>
  <si>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</si>
  <si>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</si>
  <si>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</si>
  <si>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</si>
  <si>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</si>
  <si>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</si>
  <si>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</si>
  <si>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</si>
  <si>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</si>
  <si>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</si>
  <si>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</si>
  <si>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</si>
  <si>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</si>
  <si>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</si>
  <si>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</si>
  <si>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</si>
  <si>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</si>
  <si>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</si>
  <si>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</si>
  <si>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</si>
  <si>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</si>
  <si>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</si>
  <si>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</si>
  <si>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</si>
  <si>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</si>
  <si>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</si>
  <si>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</si>
  <si>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</si>
  <si>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</si>
  <si>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</si>
  <si>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</si>
  <si>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</si>
  <si>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</si>
  <si>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</si>
  <si>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</si>
  <si>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</si>
  <si>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</si>
  <si>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</si>
  <si>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</si>
  <si>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</si>
  <si>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</si>
  <si>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</si>
  <si>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</si>
  <si>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</si>
  <si>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</si>
  <si>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</si>
  <si>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</si>
  <si>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</si>
  <si>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</si>
  <si>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</si>
  <si>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</si>
  <si>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</si>
  <si>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</si>
  <si>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</si>
  <si>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</si>
  <si>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</si>
  <si>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</si>
  <si>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</si>
  <si>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</si>
  <si>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</si>
  <si>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</si>
  <si>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</si>
  <si>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</si>
  <si>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</si>
  <si>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</si>
  <si>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</si>
  <si>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</si>
  <si>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</si>
  <si>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</si>
  <si>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</si>
  <si>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</si>
  <si>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</si>
  <si>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</si>
  <si>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</si>
  <si>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</si>
  <si>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</si>
  <si>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</si>
  <si>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</si>
  <si>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</si>
  <si>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</si>
  <si>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</si>
  <si>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</si>
  <si>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</si>
  <si>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</si>
  <si>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</si>
  <si>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</si>
  <si>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</si>
  <si>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</si>
  <si>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</si>
  <si>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</si>
  <si>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</si>
  <si>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</si>
  <si>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</si>
  <si>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</si>
  <si>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</si>
  <si>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</si>
  <si>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</si>
  <si>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</si>
  <si>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</si>
  <si>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</si>
  <si>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</si>
  <si>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</si>
  <si>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</si>
  <si>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</si>
  <si>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</si>
  <si>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</si>
  <si>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</si>
  <si>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</si>
  <si>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</si>
  <si>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</si>
  <si>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</si>
  <si>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</si>
  <si>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</si>
  <si>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</si>
  <si>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</si>
  <si>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</si>
  <si>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</si>
  <si>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</si>
  <si>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</si>
  <si>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</si>
  <si>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</si>
  <si>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</si>
  <si>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</si>
  <si>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</si>
  <si>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</si>
  <si>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</si>
  <si>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</si>
  <si>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</si>
  <si>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</si>
  <si>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</si>
  <si>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</si>
  <si>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</si>
  <si>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</si>
  <si>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</si>
  <si>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</si>
  <si>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</si>
  <si>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</si>
  <si>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</si>
  <si>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</si>
  <si>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</si>
  <si>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</si>
  <si>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</si>
  <si>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</si>
  <si>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</si>
  <si>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</si>
  <si>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</si>
  <si>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</si>
  <si>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</si>
  <si>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</si>
  <si>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</si>
  <si>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</si>
  <si>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</si>
  <si>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</si>
  <si>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</si>
  <si>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</si>
  <si>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</si>
  <si>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</si>
  <si>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</si>
  <si>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</si>
  <si>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</si>
  <si>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</si>
  <si>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</si>
  <si>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</si>
  <si>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</si>
  <si>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</si>
  <si>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</si>
  <si>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</si>
  <si>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</si>
  <si>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</si>
  <si>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</si>
  <si>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</si>
  <si>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</si>
  <si>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</si>
  <si>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</si>
  <si>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</si>
  <si>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</si>
  <si>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</si>
  <si>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</si>
  <si>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</si>
  <si>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</si>
  <si>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</si>
  <si>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</si>
  <si>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</si>
  <si>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</si>
  <si>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</si>
  <si>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</si>
  <si>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</si>
  <si>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</si>
  <si>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</si>
  <si>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</si>
  <si>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</si>
  <si>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</si>
  <si>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</si>
  <si>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</si>
  <si>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</si>
  <si>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</si>
  <si>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</si>
  <si>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</si>
  <si>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</si>
  <si>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</si>
  <si>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</si>
  <si>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</si>
  <si>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</si>
  <si>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</si>
  <si>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</si>
  <si>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</si>
  <si>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</si>
  <si>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</si>
  <si>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</si>
  <si>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</si>
  <si>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</si>
  <si>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</si>
  <si>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</si>
  <si>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</si>
  <si>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</si>
  <si>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</si>
  <si>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</si>
  <si>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</si>
  <si>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</si>
  <si>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</si>
  <si>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</si>
  <si>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</si>
  <si>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</si>
  <si>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</si>
  <si>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</si>
  <si>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</si>
  <si>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</si>
  <si>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</si>
  <si>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</si>
  <si>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</si>
  <si>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</si>
  <si>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</si>
  <si>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</si>
  <si>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</si>
  <si>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</si>
  <si>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</si>
  <si>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</si>
  <si>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</si>
  <si>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</si>
  <si>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</si>
  <si>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</si>
  <si>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</si>
  <si>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</si>
  <si>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</si>
  <si>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</si>
  <si>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</si>
  <si>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</si>
  <si>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</si>
  <si>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</si>
  <si>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</si>
  <si>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</si>
  <si>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</si>
  <si>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</si>
  <si>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</si>
  <si>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</si>
  <si>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</si>
  <si>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</si>
  <si>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</si>
  <si>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</si>
  <si>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</si>
  <si>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</si>
  <si>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</si>
  <si>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</si>
  <si>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</si>
  <si>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</si>
  <si>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</si>
  <si>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</si>
  <si>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</si>
  <si>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</si>
  <si>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</si>
  <si>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</si>
  <si>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</si>
  <si>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</si>
  <si>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</si>
  <si>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</si>
  <si>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</si>
  <si>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</si>
  <si>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</si>
  <si>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</si>
  <si>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</si>
  <si>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</si>
  <si>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</si>
  <si>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</si>
  <si>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</si>
  <si>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</si>
  <si>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</si>
  <si>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</si>
  <si>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</si>
  <si>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</si>
  <si>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</si>
  <si>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</si>
  <si>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</si>
  <si>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</si>
  <si>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</si>
  <si>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</si>
  <si>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</si>
  <si>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</si>
  <si>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</si>
  <si>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</si>
  <si>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</si>
  <si>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</si>
  <si>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</si>
  <si>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</si>
  <si>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</si>
  <si>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</si>
  <si>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</si>
  <si>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</si>
  <si>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</si>
  <si>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</si>
  <si>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</si>
  <si>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</si>
  <si>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</si>
  <si>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</si>
  <si>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</si>
  <si>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</si>
  <si>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</si>
  <si>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</si>
  <si>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</si>
  <si>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</si>
  <si>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</si>
  <si>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</si>
  <si>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</si>
  <si>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</si>
  <si>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</si>
  <si>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</si>
  <si>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</si>
  <si>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</si>
  <si>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</si>
  <si>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</si>
  <si>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</si>
  <si>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</si>
  <si>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</si>
  <si>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</si>
  <si>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</si>
  <si>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</si>
  <si>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</si>
  <si>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</si>
  <si>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</si>
  <si>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</si>
  <si>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</si>
  <si>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</si>
  <si>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</si>
  <si>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</si>
  <si>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</si>
  <si>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</si>
  <si>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</si>
  <si>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</si>
  <si>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</si>
  <si>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</si>
  <si>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</si>
  <si>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</si>
  <si>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</si>
  <si>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</si>
  <si>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</si>
  <si>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</si>
  <si>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</si>
  <si>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</si>
  <si>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</si>
  <si>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</si>
  <si>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</si>
  <si>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</si>
  <si>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</si>
  <si>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</si>
  <si>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</si>
  <si>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</si>
  <si>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</si>
  <si>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</si>
  <si>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</si>
  <si>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</si>
  <si>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</si>
  <si>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</si>
  <si>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</si>
  <si>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</si>
  <si>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</si>
  <si>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</si>
  <si>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</si>
  <si>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</si>
  <si>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</si>
  <si>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</si>
  <si>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</si>
  <si>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</si>
  <si>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</si>
  <si>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</si>
  <si>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</si>
  <si>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</si>
  <si>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</si>
  <si>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</si>
  <si>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</si>
  <si>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</si>
  <si>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</si>
  <si>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</si>
  <si>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</si>
  <si>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</si>
  <si>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</si>
  <si>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</si>
  <si>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</si>
  <si>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</si>
  <si>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</si>
  <si>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</si>
  <si>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</si>
  <si>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</si>
  <si>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</si>
  <si>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</si>
  <si>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</si>
  <si>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</si>
  <si>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</si>
  <si>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</si>
  <si>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</si>
  <si>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</si>
  <si>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</si>
  <si>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</si>
  <si>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</si>
  <si>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</si>
  <si>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</si>
  <si>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</si>
  <si>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</si>
  <si>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</si>
  <si>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</si>
  <si>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</si>
  <si>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</si>
  <si>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</si>
  <si>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</si>
  <si>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</si>
  <si>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</si>
  <si>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</si>
  <si>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</si>
  <si>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</si>
  <si>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</si>
  <si>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</si>
  <si>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</si>
  <si>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</si>
  <si>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</si>
  <si>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</si>
  <si>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</si>
  <si>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</si>
  <si>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</si>
  <si>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</si>
  <si>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</si>
  <si>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</si>
  <si>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</si>
  <si>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</si>
  <si>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</si>
  <si>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</si>
  <si>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</si>
  <si>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</si>
  <si>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</si>
  <si>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</si>
  <si>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</si>
  <si>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</si>
  <si>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</si>
  <si>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</si>
  <si>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</si>
  <si>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</si>
  <si>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</si>
  <si>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</si>
  <si>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</si>
  <si>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</si>
  <si>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</si>
  <si>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</si>
  <si>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</si>
  <si>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</si>
  <si>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</si>
  <si>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</si>
  <si>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</si>
  <si>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</si>
  <si>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</si>
  <si>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</si>
  <si>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</si>
  <si>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</si>
  <si>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</si>
  <si>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</si>
  <si>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</si>
  <si>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</si>
  <si>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</si>
  <si>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</si>
  <si>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</si>
  <si>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</si>
  <si>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</si>
  <si>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</si>
  <si>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</si>
  <si>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</si>
  <si>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</si>
  <si>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</si>
  <si>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</si>
  <si>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</si>
  <si>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</si>
  <si>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</si>
  <si>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</si>
  <si>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</si>
  <si>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</si>
  <si>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</si>
  <si>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</si>
  <si>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</si>
  <si>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</si>
  <si>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</si>
  <si>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</si>
  <si>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</si>
  <si>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</si>
  <si>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</si>
  <si>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</si>
  <si>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</si>
  <si>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</si>
  <si>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</si>
  <si>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</si>
  <si>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</si>
  <si>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</si>
  <si>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</si>
  <si>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</si>
  <si>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</si>
  <si>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</si>
  <si>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</si>
  <si>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</si>
  <si>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</si>
  <si>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</si>
  <si>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</si>
  <si>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</si>
  <si>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</si>
  <si>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</si>
  <si>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</si>
  <si>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</si>
  <si>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</si>
  <si>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</si>
  <si>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</si>
  <si>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</si>
  <si>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</si>
  <si>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</si>
  <si>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</si>
  <si>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</si>
  <si>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</si>
  <si>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</si>
  <si>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</si>
  <si>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</si>
  <si>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</si>
  <si>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</si>
  <si>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</si>
  <si>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</si>
  <si>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</si>
  <si>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</si>
  <si>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</si>
  <si>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</si>
  <si>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</si>
  <si>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</si>
  <si>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</si>
  <si>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</si>
  <si>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</si>
  <si>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</si>
  <si>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</si>
  <si>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</si>
  <si>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</si>
  <si>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</si>
  <si>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</si>
  <si>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</si>
  <si>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</si>
  <si>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</si>
  <si>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</si>
  <si>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</si>
  <si>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</si>
  <si>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</si>
  <si>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</si>
  <si>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</si>
  <si>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</si>
  <si>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</si>
  <si>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</si>
  <si>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</si>
  <si>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</si>
  <si>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</si>
  <si>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</si>
  <si>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</si>
  <si>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</si>
  <si>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</si>
  <si>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</si>
  <si>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</si>
  <si>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</si>
  <si>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</si>
  <si>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</si>
  <si>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</si>
  <si>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</si>
  <si>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</si>
  <si>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</si>
  <si>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</si>
  <si>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</si>
  <si>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</si>
  <si>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</si>
  <si>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</si>
  <si>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</si>
  <si>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</si>
  <si>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</si>
  <si>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</si>
  <si>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</si>
  <si>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</si>
  <si>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</si>
  <si>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</si>
  <si>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</si>
  <si>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</si>
  <si>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</si>
  <si>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</si>
  <si>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</si>
  <si>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</si>
  <si>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</si>
  <si>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</si>
  <si>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</si>
  <si>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</si>
  <si>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</si>
  <si>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</si>
  <si>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</si>
  <si>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</si>
  <si>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</si>
  <si>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</si>
  <si>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</si>
  <si>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</si>
  <si>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</si>
  <si>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</si>
  <si>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</si>
  <si>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</si>
  <si>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</si>
  <si>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</si>
  <si>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</si>
  <si>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</si>
  <si>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</si>
  <si>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</si>
  <si>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</si>
  <si>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</si>
  <si>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</si>
  <si>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</si>
  <si>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</si>
  <si>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</si>
  <si>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</si>
  <si>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</si>
  <si>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</si>
  <si>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</si>
  <si>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</si>
  <si>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</si>
  <si>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</si>
  <si>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</si>
  <si>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</si>
  <si>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</si>
  <si>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</si>
  <si>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</si>
  <si>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</si>
  <si>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</si>
  <si>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</si>
  <si>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</si>
  <si>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</si>
  <si>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</si>
  <si>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</si>
  <si>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</si>
  <si>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</si>
  <si>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</si>
  <si>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</si>
  <si>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</si>
  <si>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</si>
  <si>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</si>
  <si>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</si>
  <si>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</si>
  <si>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</si>
  <si>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</si>
  <si>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</si>
  <si>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</si>
  <si>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</si>
  <si>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</si>
  <si>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</si>
  <si>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</si>
  <si>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</si>
  <si>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</si>
  <si>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</si>
  <si>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</si>
  <si>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</si>
  <si>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</si>
  <si>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</si>
  <si>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</si>
  <si>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</si>
  <si>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</si>
  <si>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</si>
  <si>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</si>
  <si>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</si>
  <si>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</si>
  <si>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</si>
  <si>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</si>
  <si>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</si>
  <si>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</si>
  <si>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</si>
  <si>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</si>
  <si>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</si>
  <si>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</si>
  <si>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</si>
  <si>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</si>
  <si>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</si>
  <si>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</si>
  <si>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</si>
  <si>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</si>
  <si>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</si>
  <si>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</si>
  <si>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</si>
  <si>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</si>
  <si>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</si>
  <si>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</si>
  <si>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</si>
  <si>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</si>
  <si>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</si>
  <si>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</si>
  <si>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</si>
  <si>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</si>
  <si>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</si>
  <si>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</si>
  <si>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</si>
  <si>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</si>
  <si>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</si>
  <si>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</si>
  <si>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</si>
  <si>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</si>
  <si>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</si>
  <si>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</si>
  <si>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</si>
  <si>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</si>
  <si>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</si>
  <si>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</si>
  <si>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</si>
  <si>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</si>
  <si>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</si>
  <si>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</si>
  <si>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</si>
  <si>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</si>
  <si>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</si>
  <si>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</si>
  <si>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</si>
  <si>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</si>
  <si>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</si>
  <si>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</si>
  <si>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</si>
  <si>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</si>
  <si>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</si>
  <si>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</si>
  <si>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</si>
  <si>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</si>
  <si>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</si>
  <si>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</si>
  <si>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</si>
  <si>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</si>
  <si>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</si>
  <si>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</si>
  <si>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</si>
  <si>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</si>
  <si>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</si>
  <si>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</si>
  <si>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</si>
  <si>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</si>
  <si>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</si>
  <si>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</si>
  <si>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</si>
  <si>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</si>
  <si>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</si>
  <si>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</si>
  <si>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</si>
  <si>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</si>
  <si>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</si>
  <si>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</si>
  <si>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</si>
  <si>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</si>
  <si>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</si>
  <si>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</si>
  <si>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</si>
  <si>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</si>
  <si>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</si>
  <si>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</si>
  <si>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</si>
  <si>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</si>
  <si>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</si>
  <si>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</si>
  <si>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</si>
  <si>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</si>
  <si>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</si>
  <si>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</si>
  <si>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</si>
  <si>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</si>
  <si>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</si>
  <si>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</si>
  <si>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</si>
  <si>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</si>
  <si>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</si>
  <si>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</si>
  <si>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</si>
  <si>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</si>
  <si>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</si>
  <si>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</si>
  <si>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</si>
  <si>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</si>
  <si>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</si>
  <si>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</si>
  <si>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</si>
  <si>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</si>
  <si>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</si>
  <si>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</si>
  <si>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</si>
  <si>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</si>
  <si>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</si>
  <si>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</si>
  <si>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</si>
  <si>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</si>
  <si>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</si>
  <si>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</si>
  <si>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</si>
  <si>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</si>
  <si>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</si>
  <si>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</si>
  <si>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</si>
  <si>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</si>
  <si>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</si>
  <si>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</si>
  <si>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</si>
  <si>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</si>
  <si>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</si>
  <si>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</si>
  <si>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</si>
  <si>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</si>
  <si>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</si>
  <si>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</si>
  <si>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</si>
  <si>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</si>
  <si>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</si>
  <si>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</si>
  <si>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</si>
  <si>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</si>
  <si>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</si>
  <si>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</si>
  <si>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</si>
  <si>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</si>
  <si>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</si>
  <si>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</si>
  <si>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</si>
  <si>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</si>
  <si>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</si>
  <si>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</si>
  <si>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</si>
  <si>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</si>
  <si>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</si>
  <si>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</si>
  <si>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</si>
  <si>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</si>
  <si>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</si>
  <si>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</si>
  <si>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</si>
  <si>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</si>
  <si>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</si>
  <si>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</si>
  <si>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</si>
  <si>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</si>
  <si>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</si>
  <si>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</si>
  <si>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</si>
  <si>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</si>
  <si>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</si>
  <si>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</si>
  <si>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</si>
  <si>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</si>
  <si>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</si>
  <si>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</si>
  <si>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</si>
  <si>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</si>
  <si>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</si>
  <si>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</si>
  <si>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</si>
  <si>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</si>
  <si>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</si>
  <si>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</si>
  <si>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</si>
  <si>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</si>
  <si>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</si>
  <si>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</si>
  <si>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</si>
  <si>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</si>
  <si>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</si>
  <si>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</si>
  <si>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</si>
  <si>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</si>
  <si>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</si>
  <si>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</si>
  <si>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</si>
  <si>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</si>
  <si>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</si>
  <si>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</si>
  <si>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</si>
  <si>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</si>
  <si>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</si>
  <si>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</si>
  <si>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</si>
  <si>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</si>
  <si>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</si>
  <si>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</si>
  <si>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</si>
  <si>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</si>
  <si>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</si>
  <si>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</si>
  <si>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</si>
  <si>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</si>
  <si>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</si>
  <si>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</si>
  <si>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</si>
  <si>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</si>
  <si>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</si>
  <si>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</si>
  <si>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</si>
  <si>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</si>
  <si>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</si>
  <si>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</si>
  <si>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</si>
  <si>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</si>
  <si>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</si>
  <si>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</si>
  <si>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</si>
  <si>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</si>
  <si>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</si>
  <si>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</si>
  <si>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</si>
  <si>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</si>
  <si>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</si>
  <si>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</si>
  <si>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</si>
  <si>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</si>
  <si>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</si>
  <si>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</si>
  <si>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</si>
  <si>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</si>
  <si>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</si>
  <si>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</si>
  <si>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</si>
  <si>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</si>
  <si>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</si>
  <si>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</si>
  <si>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</si>
  <si>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</si>
  <si>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</si>
  <si>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</si>
  <si>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</si>
  <si>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</si>
  <si>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</si>
  <si>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</si>
  <si>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</si>
  <si>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</si>
  <si>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</si>
  <si>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</si>
  <si>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</si>
  <si>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</si>
  <si>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</si>
  <si>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</si>
  <si>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</si>
  <si>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</si>
  <si>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</si>
  <si>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</si>
  <si>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</si>
  <si>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</si>
  <si>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</si>
  <si>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</si>
  <si>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</si>
  <si>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</si>
  <si>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</si>
  <si>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</si>
  <si>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</si>
  <si>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</si>
  <si>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</si>
  <si>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</si>
  <si>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</si>
  <si>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</si>
  <si>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</si>
  <si>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</si>
  <si>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</si>
  <si>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</si>
  <si>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</si>
  <si>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</si>
  <si>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</si>
  <si>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</si>
  <si>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</si>
  <si>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</si>
  <si>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</si>
  <si>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</si>
  <si>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</si>
  <si>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</si>
  <si>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</si>
  <si>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</si>
  <si>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</si>
  <si>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</si>
  <si>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</si>
  <si>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</si>
  <si>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</si>
  <si>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</si>
  <si>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</si>
  <si>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</si>
  <si>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</si>
  <si>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</si>
  <si>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</si>
  <si>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</si>
  <si>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</si>
  <si>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</si>
  <si>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</si>
  <si>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</si>
  <si>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</si>
  <si>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</si>
  <si>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</si>
  <si>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</si>
  <si>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</si>
  <si>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</si>
  <si>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</si>
  <si>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</si>
  <si>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</si>
  <si>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</si>
  <si>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</si>
  <si>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</si>
  <si>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</si>
  <si>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</si>
  <si>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</si>
  <si>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</si>
  <si>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</si>
  <si>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</si>
  <si>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</si>
  <si>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</si>
  <si>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</si>
  <si>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</si>
  <si>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</si>
  <si>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</si>
  <si>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</si>
  <si>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</si>
  <si>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</si>
  <si>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</si>
  <si>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</si>
  <si>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</si>
  <si>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</si>
  <si>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</si>
  <si>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</si>
  <si>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</si>
  <si>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</si>
  <si>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</si>
  <si>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</si>
  <si>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</si>
  <si>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</si>
  <si>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</si>
  <si>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</si>
  <si>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</si>
  <si>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</si>
  <si>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</si>
  <si>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</si>
  <si>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</si>
  <si>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</si>
  <si>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</si>
  <si>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</si>
  <si>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</si>
  <si>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</si>
  <si>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</si>
  <si>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</si>
  <si>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</si>
  <si>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</si>
  <si>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</si>
  <si>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</si>
  <si>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</si>
  <si>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</si>
  <si>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</si>
  <si>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</si>
  <si>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</si>
  <si>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</si>
  <si>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</si>
  <si>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</si>
  <si>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</si>
  <si>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</si>
  <si>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</si>
  <si>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</si>
  <si>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</si>
  <si>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</si>
  <si>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</si>
  <si>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</si>
  <si>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</si>
  <si>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</si>
  <si>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</si>
  <si>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</si>
  <si>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</si>
  <si>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</si>
  <si>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</si>
  <si>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</si>
  <si>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</si>
  <si>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</si>
  <si>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</si>
  <si>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</si>
  <si>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</si>
  <si>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</si>
  <si>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</si>
  <si>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</si>
  <si>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</si>
  <si>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</si>
  <si>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</si>
  <si>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</si>
  <si>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</si>
  <si>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</si>
  <si>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</si>
  <si>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</si>
  <si>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</si>
  <si>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</si>
  <si>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</si>
  <si>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</si>
  <si>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</si>
  <si>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</si>
  <si>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</si>
  <si>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</si>
  <si>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</si>
  <si>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</si>
  <si>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</si>
  <si>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</si>
  <si>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</si>
  <si>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</si>
  <si>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</si>
  <si>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</si>
  <si>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</si>
  <si>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</si>
  <si>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</si>
  <si>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</si>
  <si>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</si>
  <si>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</si>
  <si>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</si>
  <si>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</si>
  <si>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</si>
  <si>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</si>
  <si>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</si>
  <si>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</si>
  <si>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</si>
  <si>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</si>
  <si>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</si>
  <si>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</si>
  <si>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</si>
  <si>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</si>
  <si>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</si>
  <si>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</si>
  <si>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</si>
  <si>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</si>
  <si>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</si>
  <si>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</si>
  <si>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</si>
  <si>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</si>
  <si>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</si>
  <si>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</si>
  <si>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</si>
  <si>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</si>
  <si>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</si>
  <si>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</si>
  <si>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</si>
  <si>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</si>
  <si>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</si>
  <si>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</si>
  <si>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</si>
  <si>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</si>
  <si>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</si>
  <si>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</si>
  <si>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</si>
  <si>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</si>
  <si>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</si>
  <si>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</si>
  <si>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</si>
  <si>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</si>
  <si>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</si>
  <si>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</si>
  <si>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</si>
  <si>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</si>
  <si>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</si>
  <si>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</si>
  <si>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</si>
  <si>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</si>
  <si>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</si>
  <si>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</si>
  <si>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</si>
  <si>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</si>
  <si>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</si>
  <si>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</si>
  <si>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</si>
  <si>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</si>
  <si>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</si>
  <si>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</si>
  <si>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</si>
  <si>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</si>
  <si>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</si>
  <si>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</si>
  <si>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</si>
  <si>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</si>
  <si>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</si>
  <si>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</si>
  <si>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</si>
  <si>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</si>
  <si>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</si>
  <si>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</si>
  <si>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</si>
  <si>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</si>
  <si>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</si>
  <si>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</si>
  <si>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</si>
  <si>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</si>
  <si>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</si>
  <si>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</si>
  <si>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</si>
  <si>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</si>
  <si>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</si>
  <si>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</si>
  <si>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</si>
  <si>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</si>
  <si>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</si>
  <si>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</si>
  <si>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</si>
  <si>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</si>
  <si>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</si>
  <si>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</si>
  <si>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</si>
  <si>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</si>
  <si>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</si>
  <si>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</si>
  <si>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</si>
  <si>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</si>
  <si>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</si>
  <si>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</si>
  <si>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</si>
  <si>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</si>
  <si>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</si>
  <si>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</si>
  <si>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</si>
  <si>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</si>
  <si>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</si>
  <si>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</si>
  <si>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</si>
  <si>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</si>
  <si>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</si>
  <si>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</si>
  <si>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</si>
  <si>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</si>
  <si>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</si>
  <si>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</si>
  <si>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</si>
  <si>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</si>
  <si>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</si>
  <si>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</si>
  <si>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</si>
  <si>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</si>
  <si>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</si>
  <si>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</si>
  <si>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</si>
  <si>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</si>
  <si>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</si>
  <si>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</si>
  <si>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</si>
  <si>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</si>
  <si>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</si>
  <si>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</si>
  <si>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</si>
  <si>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</si>
  <si>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</si>
  <si>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</si>
  <si>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</si>
  <si>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</si>
  <si>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</si>
  <si>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</si>
  <si>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</si>
  <si>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</si>
  <si>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</si>
  <si>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</si>
  <si>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</si>
  <si>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</si>
  <si>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</si>
  <si>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</si>
  <si>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</si>
  <si>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</si>
  <si>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</si>
  <si>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</si>
  <si>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</si>
  <si>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</si>
  <si>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</si>
  <si>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</si>
  <si>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</si>
  <si>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</si>
  <si>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</si>
  <si>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</si>
  <si>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</si>
  <si>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</si>
  <si>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</si>
  <si>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</si>
  <si>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</si>
  <si>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</si>
  <si>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</si>
  <si>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</si>
  <si>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</si>
  <si>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</si>
  <si>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</si>
  <si>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</si>
  <si>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</si>
  <si>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</si>
  <si>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</si>
  <si>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</si>
  <si>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</si>
  <si>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</si>
  <si>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</si>
  <si>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</si>
  <si>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</si>
  <si>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</si>
  <si>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</si>
  <si>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</si>
  <si>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</si>
  <si>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</si>
  <si>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</si>
  <si>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</si>
  <si>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</si>
  <si>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</si>
  <si>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</si>
  <si>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</si>
  <si>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</si>
  <si>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</si>
  <si>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</si>
  <si>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</si>
  <si>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</si>
  <si>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</si>
  <si>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</si>
  <si>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</si>
  <si>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</si>
  <si>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</si>
  <si>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</si>
  <si>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</si>
  <si>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</si>
  <si>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</si>
  <si>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</si>
  <si>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</si>
  <si>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</si>
  <si>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</si>
  <si>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</si>
  <si>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</si>
  <si>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</si>
  <si>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</si>
  <si>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</si>
  <si>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</si>
  <si>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</si>
  <si>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</si>
  <si>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</si>
  <si>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</si>
  <si>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</si>
  <si>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</si>
  <si>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</si>
  <si>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</si>
  <si>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</si>
  <si>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</si>
  <si>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</si>
  <si>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</si>
  <si>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</si>
  <si>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</si>
  <si>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</si>
  <si>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</si>
  <si>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</si>
  <si>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</si>
  <si>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</si>
  <si>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</si>
  <si>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</si>
  <si>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</si>
  <si>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</si>
  <si>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</si>
  <si>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</si>
  <si>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</si>
  <si>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</si>
  <si>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</si>
  <si>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</si>
  <si>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</si>
  <si>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</si>
  <si>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</si>
  <si>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</si>
  <si>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</si>
  <si>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</si>
  <si>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</si>
  <si>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</si>
  <si>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</si>
  <si>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</si>
  <si>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</si>
  <si>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</si>
  <si>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</si>
  <si>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</si>
  <si>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</si>
  <si>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</si>
  <si>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</si>
  <si>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</si>
  <si>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</si>
  <si>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</si>
  <si>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</si>
  <si>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</si>
  <si>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</si>
  <si>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</si>
  <si>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</si>
  <si>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</si>
  <si>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</si>
  <si>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</si>
  <si>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</si>
  <si>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</si>
  <si>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</si>
  <si>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</si>
  <si>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</si>
  <si>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</si>
  <si>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</si>
  <si>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</si>
  <si>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</si>
  <si>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</si>
  <si>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</si>
  <si>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</si>
  <si>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</si>
  <si>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</si>
  <si>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</si>
  <si>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</si>
  <si>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</si>
  <si>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</si>
  <si>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</si>
  <si>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</si>
  <si>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</si>
  <si>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</si>
  <si>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</si>
  <si>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</si>
  <si>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</si>
  <si>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</si>
  <si>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</si>
  <si>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</si>
  <si>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</si>
  <si>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</si>
  <si>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</si>
  <si>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</si>
  <si>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</si>
  <si>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</si>
  <si>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</si>
  <si>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</si>
  <si>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</si>
  <si>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</si>
  <si>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</si>
  <si>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</si>
  <si>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</si>
  <si>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</si>
  <si>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</si>
  <si>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</si>
  <si>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</si>
  <si>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</si>
  <si>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</si>
  <si>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</si>
  <si>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</si>
  <si>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</si>
  <si>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</si>
  <si>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</si>
  <si>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</si>
  <si>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</si>
  <si>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</si>
  <si>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</si>
  <si>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</si>
  <si>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</si>
  <si>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</si>
  <si>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</si>
  <si>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</si>
  <si>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</si>
  <si>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</si>
  <si>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</si>
  <si>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</si>
  <si>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</si>
  <si>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</si>
  <si>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</si>
  <si>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</si>
  <si>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</si>
  <si>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</si>
  <si>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</si>
  <si>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</si>
  <si>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</si>
  <si>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</si>
  <si>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</si>
  <si>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</si>
  <si>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</si>
  <si>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</si>
  <si>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</si>
  <si>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</si>
  <si>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</si>
  <si>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</si>
  <si>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</si>
  <si>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</si>
  <si>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</si>
  <si>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</si>
  <si>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</si>
  <si>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</si>
  <si>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</si>
  <si>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</si>
  <si>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</si>
  <si>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</si>
  <si>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</si>
  <si>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</si>
  <si>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</si>
  <si>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</si>
  <si>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</si>
  <si>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</si>
  <si>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</si>
  <si>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</si>
  <si>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</si>
  <si>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</si>
  <si>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</si>
  <si>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</si>
  <si>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</si>
  <si>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</si>
  <si>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</si>
  <si>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</si>
  <si>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</si>
  <si>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</si>
  <si>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</si>
  <si>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</si>
  <si>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</si>
  <si>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</si>
  <si>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</si>
  <si>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</si>
  <si>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</si>
  <si>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</si>
  <si>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</si>
  <si>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</si>
  <si>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</si>
  <si>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</si>
  <si>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</si>
  <si>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</si>
  <si>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</si>
  <si>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</si>
  <si>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</si>
  <si>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</si>
  <si>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</si>
  <si>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</si>
  <si>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</si>
  <si>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</si>
  <si>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</si>
  <si>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</si>
  <si>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</si>
  <si>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</si>
  <si>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</si>
  <si>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</si>
  <si>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</si>
  <si>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</si>
  <si>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</si>
  <si>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</si>
  <si>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</si>
  <si>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</si>
  <si>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</si>
  <si>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</si>
  <si>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</si>
  <si>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</si>
  <si>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</si>
  <si>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</si>
  <si>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</si>
  <si>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</si>
  <si>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</si>
  <si>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</si>
  <si>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</si>
  <si>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</si>
  <si>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</si>
  <si>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</si>
  <si>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</si>
  <si>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</si>
  <si>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</si>
  <si>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</si>
  <si>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</si>
  <si>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</si>
  <si>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</si>
  <si>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</si>
  <si>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</si>
  <si>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</si>
  <si>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</si>
  <si>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</si>
  <si>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</si>
  <si>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</si>
  <si>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</si>
  <si>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</si>
  <si>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</si>
  <si>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</si>
  <si>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</si>
  <si>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</si>
  <si>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</si>
  <si>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</si>
  <si>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</si>
  <si>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</si>
  <si>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</si>
  <si>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</si>
  <si>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</si>
  <si>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</si>
  <si>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</si>
  <si>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</si>
  <si>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</si>
  <si>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</si>
  <si>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</si>
  <si>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</si>
  <si>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</si>
  <si>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</si>
  <si>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</si>
  <si>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</si>
  <si>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</si>
  <si>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</si>
  <si>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</si>
  <si>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</si>
  <si>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</si>
  <si>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</si>
  <si>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</si>
  <si>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</si>
  <si>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</si>
  <si>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</si>
  <si>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</si>
  <si>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</si>
  <si>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</si>
  <si>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</si>
  <si>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</si>
  <si>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</si>
  <si>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</si>
  <si>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</si>
  <si>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</si>
  <si>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</si>
  <si>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</si>
  <si>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</si>
  <si>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</si>
  <si>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</si>
  <si>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</si>
  <si>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</si>
  <si>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</si>
  <si>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</si>
  <si>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</si>
  <si>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</si>
  <si>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</si>
  <si>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</si>
  <si>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</si>
  <si>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</si>
  <si>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</si>
  <si>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</si>
  <si>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</si>
  <si>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</si>
  <si>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</si>
  <si>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</si>
  <si>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</si>
  <si>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</si>
  <si>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</si>
  <si>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</si>
  <si>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</si>
  <si>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</si>
  <si>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</si>
  <si>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</si>
  <si>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</si>
  <si>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</si>
  <si>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</si>
  <si>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</si>
  <si>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</si>
  <si>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</si>
  <si>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</si>
  <si>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</si>
  <si>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</si>
  <si>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</si>
  <si>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</si>
  <si>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</si>
  <si>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</si>
  <si>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</si>
  <si>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</si>
  <si>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</si>
  <si>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</si>
  <si>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</si>
  <si>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</si>
  <si>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</si>
  <si>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</si>
  <si>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</si>
  <si>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</si>
  <si>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</si>
  <si>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</si>
  <si>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</si>
  <si>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</si>
  <si>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</si>
  <si>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</si>
  <si>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</si>
  <si>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</si>
  <si>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</si>
  <si>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</si>
  <si>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</si>
  <si>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</si>
  <si>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</si>
  <si>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</si>
  <si>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</si>
  <si>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</si>
  <si>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</si>
  <si>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</si>
  <si>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</si>
  <si>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</si>
  <si>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</si>
  <si>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</si>
  <si>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</si>
  <si>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</si>
  <si>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</si>
  <si>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</si>
  <si>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</si>
  <si>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</si>
  <si>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</si>
  <si>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</si>
  <si>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</si>
  <si>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</si>
  <si>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</si>
  <si>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</si>
  <si>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</si>
  <si>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</si>
  <si>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</si>
  <si>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</si>
  <si>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</si>
  <si>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</si>
  <si>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</si>
  <si>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</si>
  <si>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</si>
  <si>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</si>
  <si>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</si>
  <si>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</si>
  <si>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</si>
  <si>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</si>
  <si>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</si>
  <si>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</si>
  <si>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</si>
  <si>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</si>
  <si>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</si>
  <si>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</si>
  <si>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</si>
  <si>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</si>
  <si>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</si>
  <si>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</si>
  <si>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</si>
  <si>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</si>
  <si>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</si>
  <si>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</si>
  <si>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</si>
  <si>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</si>
  <si>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</si>
  <si>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</si>
  <si>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</si>
  <si>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</si>
  <si>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</si>
  <si>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</si>
  <si>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</si>
  <si>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</si>
  <si>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</si>
  <si>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</si>
  <si>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</si>
  <si>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</si>
  <si>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</si>
  <si>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</si>
  <si>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</si>
  <si>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</si>
  <si>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</si>
  <si>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</si>
  <si>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</si>
  <si>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</si>
  <si>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</si>
  <si>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</si>
  <si>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</si>
  <si>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</si>
  <si>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</si>
  <si>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</si>
  <si>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</si>
  <si>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</si>
  <si>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</si>
  <si>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</si>
  <si>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</si>
  <si>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</si>
  <si>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</si>
  <si>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</si>
  <si>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</si>
  <si>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</si>
  <si>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</si>
  <si>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</si>
  <si>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</si>
  <si>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</si>
  <si>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</si>
  <si>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</si>
  <si>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</si>
  <si>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</si>
  <si>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</si>
  <si>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</si>
  <si>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</si>
  <si>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</si>
  <si>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</si>
  <si>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</si>
  <si>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</si>
  <si>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</si>
  <si>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</si>
  <si>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</si>
  <si>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</si>
  <si>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</si>
  <si>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</si>
  <si>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</si>
  <si>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</si>
  <si>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</si>
  <si>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</si>
  <si>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</si>
  <si>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</si>
  <si>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</si>
  <si>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</si>
  <si>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</si>
  <si>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</si>
  <si>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</si>
  <si>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</si>
  <si>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</si>
  <si>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</si>
  <si>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</si>
  <si>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</si>
  <si>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</si>
  <si>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</si>
  <si>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</si>
  <si>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</si>
  <si>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</si>
  <si>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</si>
  <si>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</si>
  <si>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</si>
  <si>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</si>
  <si>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</si>
  <si>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</si>
  <si>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</si>
  <si>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</si>
  <si>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</si>
  <si>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</si>
  <si>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</si>
  <si>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</si>
  <si>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</si>
  <si>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</si>
  <si>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</si>
  <si>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</si>
  <si>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</si>
  <si>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</si>
  <si>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</si>
  <si>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</si>
  <si>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</si>
  <si>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</si>
  <si>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</si>
  <si>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</si>
  <si>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</si>
  <si>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</si>
  <si>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</si>
  <si>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</si>
  <si>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</si>
  <si>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</si>
  <si>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</si>
  <si>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</si>
  <si>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</si>
  <si>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</si>
  <si>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</si>
  <si>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</si>
  <si>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</si>
  <si>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</si>
  <si>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</si>
  <si>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</si>
  <si>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</si>
  <si>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</si>
  <si>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</si>
  <si>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</si>
  <si>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</si>
  <si>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</si>
  <si>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</si>
  <si>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</si>
  <si>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</si>
  <si>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</si>
  <si>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</si>
  <si>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</si>
  <si>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</si>
  <si>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</si>
  <si>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</si>
  <si>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</si>
  <si>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</si>
  <si>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</si>
  <si>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</si>
  <si>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</si>
  <si>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</si>
  <si>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</si>
  <si>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</si>
  <si>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</si>
  <si>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</si>
  <si>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</si>
  <si>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</si>
  <si>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</si>
  <si>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</si>
  <si>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</si>
  <si>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</si>
  <si>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</si>
  <si>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</si>
  <si>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</si>
  <si>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</si>
  <si>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</si>
  <si>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</si>
  <si>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</si>
  <si>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</si>
  <si>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</si>
  <si>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</si>
  <si>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</si>
  <si>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</si>
  <si>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</si>
  <si>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</si>
  <si>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</si>
  <si>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</si>
  <si>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</si>
  <si>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</si>
  <si>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</si>
  <si>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</si>
  <si>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</si>
  <si>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</si>
  <si>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</si>
  <si>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</si>
  <si>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</si>
  <si>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</si>
  <si>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</si>
  <si>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</si>
  <si>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</si>
  <si>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</si>
  <si>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</si>
  <si>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</si>
  <si>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</si>
  <si>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</si>
  <si>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</si>
  <si>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</si>
  <si>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</si>
  <si>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</si>
  <si>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</si>
  <si>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</si>
  <si>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</si>
  <si>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</si>
  <si>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</si>
  <si>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</si>
  <si>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</si>
  <si>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</si>
  <si>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</si>
  <si>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</si>
  <si>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</si>
  <si>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</si>
  <si>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</si>
  <si>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</si>
  <si>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</si>
  <si>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</si>
  <si>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</si>
  <si>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</si>
  <si>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</si>
  <si>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</si>
  <si>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</si>
  <si>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</si>
  <si>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</si>
  <si>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</si>
  <si>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</si>
  <si>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</si>
  <si>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</si>
  <si>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</si>
  <si>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</si>
  <si>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</si>
  <si>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</si>
  <si>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</si>
  <si>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</si>
  <si>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</si>
  <si>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</si>
  <si>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</si>
  <si>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</si>
  <si>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</si>
  <si>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</si>
  <si>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</si>
  <si>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</si>
  <si>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</si>
  <si>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</si>
  <si>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</si>
  <si>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</si>
  <si>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</si>
  <si>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</si>
  <si>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</si>
  <si>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</si>
  <si>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</si>
  <si>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</si>
  <si>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</si>
  <si>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</si>
  <si>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</si>
  <si>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</si>
  <si>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</si>
  <si>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</si>
  <si>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</si>
  <si>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</si>
  <si>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</si>
  <si>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</si>
  <si>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</si>
  <si>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</si>
  <si>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</si>
  <si>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</si>
  <si>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</si>
  <si>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</si>
  <si>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</si>
  <si>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</si>
  <si>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</si>
  <si>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</si>
  <si>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</si>
  <si>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</si>
  <si>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</si>
  <si>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</si>
  <si>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</si>
  <si>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</si>
  <si>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</si>
  <si>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</si>
  <si>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</si>
  <si>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</si>
  <si>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</si>
  <si>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</si>
  <si>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</si>
  <si>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</si>
  <si>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</si>
  <si>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</si>
  <si>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</si>
  <si>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</si>
  <si>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</si>
  <si>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</si>
  <si>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</si>
  <si>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</si>
  <si>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</si>
  <si>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</si>
  <si>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</si>
  <si>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</si>
  <si>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</si>
  <si>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</si>
  <si>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</si>
  <si>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</si>
  <si>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</si>
  <si>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</si>
  <si>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</si>
  <si>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</si>
  <si>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</si>
  <si>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</si>
  <si>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</si>
  <si>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</si>
  <si>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</si>
  <si>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</si>
  <si>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</si>
  <si>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</si>
  <si>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</si>
  <si>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</si>
  <si>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</si>
  <si>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</si>
  <si>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</si>
  <si>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</si>
  <si>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</si>
  <si>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</si>
  <si>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</si>
  <si>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</si>
  <si>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</si>
  <si>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</si>
  <si>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</si>
  <si>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</si>
  <si>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</si>
  <si>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</si>
  <si>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</si>
  <si>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</si>
  <si>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</si>
  <si>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</si>
  <si>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</si>
  <si>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</si>
  <si>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</si>
  <si>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</si>
  <si>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</si>
  <si>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</si>
  <si>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</si>
  <si>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</si>
  <si>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</si>
  <si>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</si>
  <si>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</si>
  <si>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</si>
  <si>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</si>
  <si>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</si>
  <si>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</si>
  <si>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</si>
  <si>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</si>
  <si>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</si>
  <si>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</si>
  <si>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</si>
  <si>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</si>
  <si>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</si>
  <si>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</si>
  <si>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</si>
  <si>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</si>
  <si>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</si>
  <si>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</si>
  <si>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</si>
  <si>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</si>
  <si>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</si>
  <si>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</si>
  <si>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</si>
  <si>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</si>
  <si>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</si>
  <si>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</si>
  <si>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</si>
  <si>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</si>
  <si>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</si>
  <si>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</si>
  <si>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</si>
  <si>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</si>
  <si>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</si>
  <si>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</si>
  <si>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</si>
  <si>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</si>
  <si>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</si>
  <si>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</si>
  <si>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</si>
  <si>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</si>
  <si>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</si>
  <si>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</si>
  <si>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</si>
  <si>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</si>
  <si>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</si>
  <si>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</si>
  <si>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</si>
  <si>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</si>
  <si>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</si>
  <si>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</si>
  <si>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</si>
  <si>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</si>
  <si>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</si>
  <si>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</si>
  <si>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</si>
  <si>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</si>
  <si>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</si>
  <si>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</si>
  <si>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</si>
  <si>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</si>
  <si>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</si>
  <si>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</si>
  <si>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</si>
  <si>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</si>
  <si>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</si>
  <si>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</si>
  <si>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</si>
  <si>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</si>
  <si>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</si>
  <si>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</si>
  <si>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</si>
  <si>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</si>
  <si>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</si>
  <si>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</si>
  <si>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</si>
  <si>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</si>
  <si>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</si>
  <si>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</si>
  <si>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</si>
  <si>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</si>
  <si>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</si>
  <si>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</si>
  <si>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</si>
  <si>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</si>
  <si>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</si>
  <si>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</si>
  <si>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</si>
  <si>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</si>
  <si>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</si>
  <si>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</si>
  <si>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</si>
  <si>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</si>
  <si>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</si>
  <si>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</si>
  <si>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</si>
  <si>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</si>
  <si>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</si>
  <si>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</si>
  <si>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</si>
  <si>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</si>
  <si>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</si>
  <si>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</si>
  <si>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</si>
  <si>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</si>
  <si>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</si>
  <si>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</si>
  <si>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</si>
  <si>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</si>
  <si>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</si>
  <si>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</si>
  <si>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</si>
  <si>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</si>
  <si>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</si>
  <si>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</si>
  <si>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</si>
  <si>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</si>
  <si>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</si>
  <si>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</si>
  <si>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</si>
  <si>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</si>
  <si>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</si>
  <si>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</si>
  <si>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</si>
  <si>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</si>
  <si>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</si>
  <si>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</si>
  <si>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</si>
  <si>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</si>
  <si>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</si>
  <si>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</si>
  <si>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</si>
  <si>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</si>
  <si>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</si>
  <si>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</si>
  <si>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</si>
  <si>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</si>
  <si>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</si>
  <si>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</si>
  <si>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</si>
  <si>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</si>
  <si>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</si>
  <si>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</si>
  <si>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</si>
  <si>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</si>
  <si>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</si>
  <si>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</si>
  <si>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</si>
  <si>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</si>
  <si>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</si>
  <si>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</si>
  <si>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</si>
  <si>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</si>
  <si>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</si>
  <si>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</si>
  <si>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</si>
  <si>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</si>
  <si>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</si>
  <si>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</si>
  <si>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</si>
  <si>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</si>
  <si>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</si>
  <si>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</si>
  <si>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</si>
  <si>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</si>
  <si>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</si>
  <si>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</si>
  <si>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</si>
  <si>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</si>
  <si>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</si>
  <si>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</si>
  <si>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</si>
  <si>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</si>
  <si>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</si>
  <si>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</si>
  <si>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</si>
  <si>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</si>
  <si>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</si>
  <si>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</si>
  <si>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</si>
  <si>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</si>
  <si>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</si>
  <si>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</si>
  <si>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</si>
  <si>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</si>
  <si>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</si>
  <si>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</si>
  <si>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</si>
  <si>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</si>
  <si>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</si>
  <si>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</si>
  <si>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</si>
  <si>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</si>
  <si>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</si>
  <si>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</si>
  <si>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</si>
  <si>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</si>
  <si>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</si>
  <si>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</si>
  <si>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</si>
  <si>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</si>
  <si>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</si>
  <si>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</si>
  <si>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</si>
  <si>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</si>
  <si>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</si>
  <si>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</si>
  <si>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</si>
  <si>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</si>
  <si>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</si>
  <si>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</si>
  <si>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</si>
  <si>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</si>
  <si>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</si>
  <si>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</si>
  <si>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</si>
  <si>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</si>
  <si>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</si>
  <si>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</si>
  <si>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</si>
  <si>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</si>
  <si>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</si>
  <si>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</si>
  <si>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</si>
  <si>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</si>
  <si>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</si>
  <si>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</si>
  <si>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</si>
  <si>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</si>
  <si>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</si>
  <si>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</si>
  <si>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</si>
  <si>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</si>
  <si>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</si>
  <si>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</si>
  <si>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</si>
  <si>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</si>
  <si>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</si>
  <si>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</si>
  <si>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</si>
  <si>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</si>
  <si>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</si>
  <si>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</si>
  <si>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</si>
  <si>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</si>
  <si>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</si>
  <si>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</si>
  <si>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</si>
  <si>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</si>
  <si>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</si>
  <si>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</si>
  <si>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</si>
  <si>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</si>
  <si>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</si>
  <si>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</si>
  <si>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</si>
  <si>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</si>
  <si>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</si>
  <si>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</si>
  <si>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</si>
  <si>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</si>
  <si>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</si>
  <si>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</si>
  <si>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</si>
  <si>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</si>
  <si>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</si>
  <si>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</si>
  <si>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</si>
  <si>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</si>
  <si>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</si>
  <si>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</si>
  <si>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</si>
  <si>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</si>
  <si>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</si>
  <si>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</si>
  <si>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</si>
  <si>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</si>
  <si>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</si>
  <si>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</si>
  <si>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</si>
  <si>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</si>
  <si>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</si>
  <si>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</si>
  <si>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</si>
  <si>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</si>
  <si>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</si>
  <si>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</si>
  <si>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</si>
  <si>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</si>
  <si>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</si>
  <si>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</si>
  <si>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</si>
  <si>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</si>
  <si>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</si>
  <si>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</si>
  <si>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</si>
  <si>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</si>
  <si>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</si>
  <si>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</si>
  <si>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</si>
  <si>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</si>
  <si>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</si>
  <si>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</si>
  <si>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</si>
  <si>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</si>
  <si>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</si>
  <si>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</si>
  <si>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</si>
  <si>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</si>
  <si>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</si>
  <si>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</si>
  <si>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</si>
  <si>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</si>
  <si>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</si>
  <si>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</si>
  <si>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</si>
  <si>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</si>
  <si>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</si>
  <si>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</si>
  <si>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</si>
  <si>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</si>
  <si>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</si>
  <si>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</si>
  <si>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</si>
  <si>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</si>
  <si>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</si>
  <si>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</si>
  <si>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</si>
  <si>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</si>
  <si>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</si>
  <si>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</si>
  <si>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</si>
  <si>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</si>
  <si>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</si>
  <si>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</si>
  <si>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</si>
  <si>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</si>
  <si>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</si>
  <si>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</si>
  <si>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</si>
  <si>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</si>
  <si>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</si>
  <si>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</si>
  <si>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</si>
  <si>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</si>
  <si>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</si>
  <si>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</si>
  <si>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</si>
  <si>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</si>
  <si>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</si>
  <si>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</si>
  <si>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</si>
  <si>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</si>
  <si>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</si>
  <si>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</si>
  <si>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</si>
  <si>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</si>
  <si>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</si>
  <si>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</si>
  <si>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</si>
  <si>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</si>
  <si>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</si>
  <si>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</si>
  <si>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</si>
  <si>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</si>
  <si>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</si>
  <si>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</si>
  <si>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</si>
  <si>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</si>
  <si>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</si>
  <si>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</si>
  <si>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2011</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</si>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</sst>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9">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170" fontId="19" fillId="3" borderId="2" xfId="10" applyNumberFormat="1" applyFont="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22700.402000000002</v>
      </c>
      <c r="F22" s="3384" t="str">
        <f t="shared" si="0"/>
        <v>NA</v>
      </c>
      <c r="G22" s="3360">
        <v>349.7925580909091</v>
      </c>
      <c r="H22" s="3339">
        <f t="shared" si="1"/>
        <v>1282.572713</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31700</v>
      </c>
      <c r="F24" s="3384" t="str">
        <f t="shared" si="0"/>
        <v>NA</v>
      </c>
      <c r="G24" s="3360">
        <v>697.68818181818176</v>
      </c>
      <c r="H24" s="3339">
        <f t="shared" si="1"/>
        <v>2558.19</v>
      </c>
      <c r="I24" s="2599" t="s">
        <v>205</v>
      </c>
      <c r="J24" s="2600"/>
      <c r="M24" s="125"/>
    </row>
    <row r="25" spans="2:13" ht="18" customHeight="1" x14ac:dyDescent="0.2">
      <c r="B25" s="165"/>
      <c r="C25" s="1566"/>
      <c r="D25" s="1451" t="s">
        <v>458</v>
      </c>
      <c r="E25" s="3379">
        <v>16700</v>
      </c>
      <c r="F25" s="3384" t="str">
        <f t="shared" si="0"/>
        <v>NA</v>
      </c>
      <c r="G25" s="3360">
        <v>317.15577272727273</v>
      </c>
      <c r="H25" s="3339">
        <f t="shared" si="1"/>
        <v>1162.9044999999999</v>
      </c>
      <c r="I25" s="2599" t="s">
        <v>205</v>
      </c>
      <c r="J25" s="2600"/>
      <c r="M25" s="125"/>
    </row>
    <row r="26" spans="2:13" ht="18" customHeight="1" x14ac:dyDescent="0.2">
      <c r="B26" s="165"/>
      <c r="C26" s="1566"/>
      <c r="D26" s="1451" t="s">
        <v>459</v>
      </c>
      <c r="E26" s="3383">
        <v>30305.981972834939</v>
      </c>
      <c r="F26" s="3384">
        <f t="shared" si="0"/>
        <v>25.261363636363633</v>
      </c>
      <c r="G26" s="3360">
        <v>765.57043097286441</v>
      </c>
      <c r="H26" s="3339">
        <f t="shared" si="1"/>
        <v>2807.0915802338363</v>
      </c>
      <c r="I26" s="3360">
        <v>2807.0915802338359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26581.763996610167</v>
      </c>
      <c r="F28" s="3384">
        <f>IF(I28="NA","NA",I28/(44/12)*1000/E28)</f>
        <v>1.6864828993388985</v>
      </c>
      <c r="G28" s="3360">
        <v>476.83010452363635</v>
      </c>
      <c r="H28" s="3339">
        <f>IF(G28="NA","NA",IF(G28="NO","NO",G28*44/12))</f>
        <v>1748.37704992</v>
      </c>
      <c r="I28" s="3360">
        <v>164.37553152000001</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127988.14796944511</v>
      </c>
      <c r="F31" s="3324">
        <f t="shared" ref="F31" si="3">IF(I31="NA","NA",I31/(44/12)*1000/E31)</f>
        <v>6.3318372384049066</v>
      </c>
      <c r="G31" s="3388">
        <f>SUM(G11:G29)</f>
        <v>2607.0370481328641</v>
      </c>
      <c r="H31" s="3336">
        <f t="shared" ref="H31" si="4">IF(G31="NA","NA",IF(G31="NO","NO",G31*44/12))</f>
        <v>9559.1358431538356</v>
      </c>
      <c r="I31" s="3388">
        <f>SUM(I11:I29)</f>
        <v>2971.467111753836</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34295.479800000001</v>
      </c>
      <c r="F35" s="3384">
        <f>IF(I35="NA","NA",I35/(44/12)*1000/E35)</f>
        <v>24.556565272382151</v>
      </c>
      <c r="G35" s="3364">
        <v>842.17918825636366</v>
      </c>
      <c r="H35" s="3361">
        <f t="shared" si="5"/>
        <v>3087.9903569399999</v>
      </c>
      <c r="I35" s="3360">
        <v>3087.9903569399999</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v>1.2929102727272701</v>
      </c>
      <c r="H37" s="3339">
        <f t="shared" si="5"/>
        <v>4.740670999999991</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72319.290479999996</v>
      </c>
      <c r="F41" s="3384">
        <f t="shared" ref="F41" si="8">IF(I41="NA","NA",I41/(44/12)*1000/E41)</f>
        <v>28.753353101784974</v>
      </c>
      <c r="G41" s="3360">
        <v>2108.2305968773439</v>
      </c>
      <c r="H41" s="3361">
        <f t="shared" si="5"/>
        <v>7730.1788552169273</v>
      </c>
      <c r="I41" s="3360">
        <v>7624.5476825539863</v>
      </c>
      <c r="J41" s="3381" t="s">
        <v>460</v>
      </c>
      <c r="M41" s="125"/>
    </row>
    <row r="42" spans="2:13" ht="18" customHeight="1" x14ac:dyDescent="0.2">
      <c r="B42" s="1433"/>
      <c r="C42" s="1567"/>
      <c r="D42" s="1451" t="s">
        <v>467</v>
      </c>
      <c r="E42" s="3379">
        <v>12555.795018084338</v>
      </c>
      <c r="F42" s="3384">
        <f>IF(I42="NA","NA",I42/(44/12)*1000/E42)</f>
        <v>9.1236627869510514</v>
      </c>
      <c r="G42" s="3360">
        <v>255.82179067617244</v>
      </c>
      <c r="H42" s="3361">
        <f t="shared" si="5"/>
        <v>938.01323247929895</v>
      </c>
      <c r="I42" s="3360">
        <v>420.03441247929879</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119170.56529808433</v>
      </c>
      <c r="F45" s="3308">
        <f>IF(I45="NA","NA",I45/(44/12)*1000/E45)</f>
        <v>25.477399689017396</v>
      </c>
      <c r="G45" s="3388">
        <f>SUM(G33:G43)</f>
        <v>3207.5244860826074</v>
      </c>
      <c r="H45" s="3336">
        <f t="shared" ref="H45" si="9">IF(G45="NA","NA",IF(G45="NO","NO",G45*44/12))</f>
        <v>11760.923115636228</v>
      </c>
      <c r="I45" s="3388">
        <f>SUM(I33:I43)</f>
        <v>11132.572451973285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49104.713062999988</v>
      </c>
      <c r="F47" s="3384">
        <f t="shared" ref="F47" si="10">IF(I47="NA","NA",I47/(44/12)*1000/E47)</f>
        <v>14.021432274344992</v>
      </c>
      <c r="G47" s="3360">
        <v>688.51840856399815</v>
      </c>
      <c r="H47" s="3339">
        <f t="shared" ref="H47" si="11">IF(G47="NA","NA",IF(G47="NO","NO",G47*44/12))</f>
        <v>2524.5674980679933</v>
      </c>
      <c r="I47" s="3360">
        <v>2524.5674980679933</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49104.713062999988</v>
      </c>
      <c r="F50" s="3308">
        <f>IF(I50="NA","NA",I50/(44/12)*1000/E50)</f>
        <v>14.021432274344992</v>
      </c>
      <c r="G50" s="3388">
        <f>SUM(G47:G48)</f>
        <v>688.51840856399815</v>
      </c>
      <c r="H50" s="3362">
        <f t="shared" ref="H50" si="13">IF(G50="NA","NA",IF(G50="NO","NO",G50*44/12))</f>
        <v>2524.5674980679933</v>
      </c>
      <c r="I50" s="3388">
        <f>SUM(I47:I48)</f>
        <v>2524.5674980679933</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296263.42633052944</v>
      </c>
      <c r="F55" s="3319">
        <f t="shared" si="14"/>
        <v>15.307575117818443</v>
      </c>
      <c r="G55" s="3388">
        <f>SUM(G31,G45,G50,G54)</f>
        <v>6503.07994277947</v>
      </c>
      <c r="H55" s="3363">
        <f t="shared" si="15"/>
        <v>23844.626456858055</v>
      </c>
      <c r="I55" s="3388">
        <f>SUM(I31,I45,I50,I54)</f>
        <v>16628.607061795115</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522.48810400000002</v>
      </c>
      <c r="D10" s="3105"/>
      <c r="E10" s="3105"/>
      <c r="F10" s="3057">
        <f>SUM(F11,F18)</f>
        <v>1070.369537034255</v>
      </c>
      <c r="G10" s="3057">
        <f>SUM(G11,G18)</f>
        <v>1545.9622565642071</v>
      </c>
      <c r="H10" s="3057">
        <f>H11</f>
        <v>-257.67225385458204</v>
      </c>
      <c r="I10" s="3106" t="s">
        <v>199</v>
      </c>
      <c r="L10" s="3676"/>
    </row>
    <row r="11" spans="2:12" ht="18" customHeight="1" x14ac:dyDescent="0.2">
      <c r="B11" s="1251" t="s">
        <v>486</v>
      </c>
      <c r="C11" s="3014">
        <v>107.29097</v>
      </c>
      <c r="D11" s="3057">
        <f>IFERROR(SUM(F11,-H11)/$C$11,"NA")</f>
        <v>10.109972756053782</v>
      </c>
      <c r="E11" s="3057">
        <f>IFERROR(SUM(G11)/$C$11,"NA")</f>
        <v>13.198131581054824</v>
      </c>
      <c r="F11" s="3057">
        <f>SUM(F12:F16)</f>
        <v>827.03652981600169</v>
      </c>
      <c r="G11" s="3057">
        <f>SUM(G12:G16)</f>
        <v>1416.0403395190058</v>
      </c>
      <c r="H11" s="3057">
        <f>H12</f>
        <v>-257.67225385458204</v>
      </c>
      <c r="I11" s="3106" t="s">
        <v>199</v>
      </c>
    </row>
    <row r="12" spans="2:12" ht="18" customHeight="1" x14ac:dyDescent="0.2">
      <c r="B12" s="160" t="s">
        <v>487</v>
      </c>
      <c r="C12" s="3027"/>
      <c r="D12" s="3057">
        <f>IFERROR(SUM(F12,-H12)/$C$11,"NA")</f>
        <v>9.4733224559905693</v>
      </c>
      <c r="E12" s="3057">
        <f>IFERROR(SUM(G12)/$C$11,"NA")</f>
        <v>11.643737040313322</v>
      </c>
      <c r="F12" s="3104">
        <v>758.72970157142845</v>
      </c>
      <c r="G12" s="3104">
        <v>1249.2678414801455</v>
      </c>
      <c r="H12" s="3104">
        <v>-257.67225385458204</v>
      </c>
      <c r="I12" s="3015" t="s">
        <v>199</v>
      </c>
    </row>
    <row r="13" spans="2:12" ht="18" customHeight="1" x14ac:dyDescent="0.2">
      <c r="B13" s="160" t="s">
        <v>488</v>
      </c>
      <c r="C13" s="3027"/>
      <c r="D13" s="3057">
        <f>IFERROR(SUM(F13)/$C$11,"NA")</f>
        <v>0.35607620560650627</v>
      </c>
      <c r="E13" s="3057" t="s">
        <v>205</v>
      </c>
      <c r="F13" s="3104">
        <v>38.203761493441498</v>
      </c>
      <c r="G13" s="3104" t="s">
        <v>221</v>
      </c>
      <c r="H13" s="3104" t="s">
        <v>199</v>
      </c>
      <c r="I13" s="3015" t="s">
        <v>199</v>
      </c>
    </row>
    <row r="14" spans="2:12" ht="18" customHeight="1" x14ac:dyDescent="0.2">
      <c r="B14" s="160" t="s">
        <v>489</v>
      </c>
      <c r="C14" s="3442">
        <v>116</v>
      </c>
      <c r="D14" s="3057">
        <f>IFERROR(SUM(F14)/$C$11,"NA")</f>
        <v>0.27563377072256745</v>
      </c>
      <c r="E14" s="3057" t="s">
        <v>205</v>
      </c>
      <c r="F14" s="3104">
        <v>29.573014625581862</v>
      </c>
      <c r="G14" s="3104" t="s">
        <v>205</v>
      </c>
      <c r="H14" s="3104" t="s">
        <v>199</v>
      </c>
      <c r="I14" s="3015" t="s">
        <v>199</v>
      </c>
    </row>
    <row r="15" spans="2:12" ht="18" customHeight="1" x14ac:dyDescent="0.2">
      <c r="B15" s="160" t="s">
        <v>490</v>
      </c>
      <c r="C15" s="3014">
        <v>5.9049500253363203E-2</v>
      </c>
      <c r="D15" s="3057">
        <f>IFERROR(SUM(F15)/$C15,"NA")</f>
        <v>8.9764032426282352</v>
      </c>
      <c r="E15" s="3057">
        <f>IFERROR(SUM(G15)/$C15,"NA")</f>
        <v>2824.2829714610784</v>
      </c>
      <c r="F15" s="3104">
        <v>0.53005212554986625</v>
      </c>
      <c r="G15" s="3104">
        <v>166.77249803886033</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415.19713400000001</v>
      </c>
      <c r="D18" s="3057">
        <f>IFERROR(SUM(F18)/$C$18,"NA")</f>
        <v>0.58606620155102818</v>
      </c>
      <c r="E18" s="3057">
        <f>IFERROR(SUM(G18)/$C$18,"NA")</f>
        <v>0.3129162183600267</v>
      </c>
      <c r="F18" s="3057">
        <f>SUM(F19:F21)</f>
        <v>243.33300721825327</v>
      </c>
      <c r="G18" s="3109">
        <f t="shared" ref="G18" si="1">SUM(G19:G21)</f>
        <v>129.92191704520127</v>
      </c>
      <c r="H18" s="3057" t="s">
        <v>199</v>
      </c>
      <c r="I18" s="3106" t="s">
        <v>199</v>
      </c>
    </row>
    <row r="19" spans="2:9" ht="18" customHeight="1" x14ac:dyDescent="0.2">
      <c r="B19" s="160" t="s">
        <v>493</v>
      </c>
      <c r="C19" s="3027"/>
      <c r="D19" s="3057">
        <f>IFERROR(SUM(F19)/$C$18,"NA")</f>
        <v>0.58606620155102818</v>
      </c>
      <c r="E19" s="3057">
        <f>IFERROR(SUM(G19)/$C$18,"NA")</f>
        <v>0.3129162183600267</v>
      </c>
      <c r="F19" s="3104">
        <v>243.33300721825327</v>
      </c>
      <c r="G19" s="3104">
        <v>129.92191704520127</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3" t="s">
        <v>506</v>
      </c>
      <c r="C57" s="4504"/>
      <c r="D57" s="4504"/>
      <c r="E57" s="4504"/>
      <c r="F57" s="4504"/>
      <c r="G57" s="4504"/>
      <c r="H57" s="4504"/>
      <c r="I57" s="4505"/>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7"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251.02641734299999</v>
      </c>
      <c r="J10" s="3123">
        <f>IF(SUM(J11:J16)=0,"NO",SUM(J11:J16))</f>
        <v>5.4123981661173746</v>
      </c>
      <c r="K10" s="4433">
        <f>IF(SUM(K11:K16)=0,"NO",SUM(K11:K16))</f>
        <v>7.6799035194000005E-3</v>
      </c>
      <c r="L10" s="3124" t="s">
        <v>199</v>
      </c>
    </row>
    <row r="11" spans="2:12" ht="18" customHeight="1" x14ac:dyDescent="0.2">
      <c r="B11" s="1251" t="s">
        <v>520</v>
      </c>
      <c r="C11" s="2190" t="s">
        <v>521</v>
      </c>
      <c r="D11" s="2190" t="s">
        <v>522</v>
      </c>
      <c r="E11" s="699">
        <v>38</v>
      </c>
      <c r="F11" s="1938">
        <f>I11*1000000/$E11</f>
        <v>91907.368421052641</v>
      </c>
      <c r="G11" s="1938">
        <f>J11*1000000/$E11</f>
        <v>9.477947368421054</v>
      </c>
      <c r="H11" s="1938">
        <f>K11*1000000/$E11</f>
        <v>6.3186315789473682</v>
      </c>
      <c r="I11" s="3119">
        <v>3.4924800000000005</v>
      </c>
      <c r="J11" s="4434">
        <v>3.6016200000000003E-4</v>
      </c>
      <c r="K11" s="4440">
        <v>2.40108E-4</v>
      </c>
      <c r="L11" s="3072" t="s">
        <v>199</v>
      </c>
    </row>
    <row r="12" spans="2:12" ht="18" customHeight="1" x14ac:dyDescent="0.2">
      <c r="B12" s="1251" t="s">
        <v>523</v>
      </c>
      <c r="C12" s="2190" t="s">
        <v>524</v>
      </c>
      <c r="D12" s="2190" t="s">
        <v>525</v>
      </c>
      <c r="E12" s="699">
        <v>915.56247404212002</v>
      </c>
      <c r="F12" s="1938" t="s">
        <v>205</v>
      </c>
      <c r="G12" s="1938">
        <f>J12*1000000/$E12</f>
        <v>3709.6142442835053</v>
      </c>
      <c r="H12" s="3075"/>
      <c r="I12" s="3125" t="s">
        <v>205</v>
      </c>
      <c r="J12" s="699">
        <v>3.3963835952380954</v>
      </c>
      <c r="K12" s="3027"/>
      <c r="L12" s="3072" t="s">
        <v>199</v>
      </c>
    </row>
    <row r="13" spans="2:12" ht="18" customHeight="1" x14ac:dyDescent="0.2">
      <c r="B13" s="1251" t="s">
        <v>526</v>
      </c>
      <c r="C13" s="2190" t="s">
        <v>527</v>
      </c>
      <c r="D13" s="2190" t="s">
        <v>525</v>
      </c>
      <c r="E13" s="699">
        <v>784.91547404211997</v>
      </c>
      <c r="F13" s="1938" t="s">
        <v>205</v>
      </c>
      <c r="G13" s="1938">
        <f>J13*1000000/$E13</f>
        <v>55.356797559736705</v>
      </c>
      <c r="H13" s="3075"/>
      <c r="I13" s="3125" t="s">
        <v>205</v>
      </c>
      <c r="J13" s="699">
        <v>4.3450406998054407E-2</v>
      </c>
      <c r="K13" s="3027"/>
      <c r="L13" s="3072" t="s">
        <v>199</v>
      </c>
    </row>
    <row r="14" spans="2:12" ht="18" customHeight="1" x14ac:dyDescent="0.2">
      <c r="B14" s="1251" t="s">
        <v>528</v>
      </c>
      <c r="C14" s="2190" t="s">
        <v>529</v>
      </c>
      <c r="D14" s="2190" t="s">
        <v>525</v>
      </c>
      <c r="E14" s="699">
        <v>1376.7678653682858</v>
      </c>
      <c r="F14" s="1938">
        <f>I14*1000000/$E14</f>
        <v>179793.51753447892</v>
      </c>
      <c r="G14" s="1938">
        <f>J14*1000000/$E14</f>
        <v>1374.9283195790292</v>
      </c>
      <c r="H14" s="1938">
        <f>K14*1000000/$E14</f>
        <v>5.403812586379515</v>
      </c>
      <c r="I14" s="3125">
        <v>247.53393734299999</v>
      </c>
      <c r="J14" s="699">
        <v>1.8929571275812243</v>
      </c>
      <c r="K14" s="4439">
        <v>7.4397955194000004E-3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7.9246874299999992E-2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2978</v>
      </c>
      <c r="F18" s="1938" t="s">
        <v>205</v>
      </c>
      <c r="G18" s="1938">
        <f>J18*1000000/$E18</f>
        <v>26.610770416386835</v>
      </c>
      <c r="H18" s="3126"/>
      <c r="I18" s="3128" t="s">
        <v>205</v>
      </c>
      <c r="J18" s="2215">
        <v>7.9246874299999992E-2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114.12849408882116</v>
      </c>
      <c r="J21" s="4437">
        <f>IF(SUM(J22:J27)=0,"NO",SUM(J22:J27))</f>
        <v>151.63090294839614</v>
      </c>
      <c r="K21" s="4438">
        <f>IF(SUM(K22:K27)=0,"NO",SUM(K22:K27))</f>
        <v>2.8541668842000005E-3</v>
      </c>
      <c r="L21" s="3047" t="str">
        <f>IF(SUM(L22:L27)=0,"NO",SUM(L22:L27))</f>
        <v>NO</v>
      </c>
    </row>
    <row r="22" spans="2:12" ht="18" customHeight="1" x14ac:dyDescent="0.2">
      <c r="B22" s="1468" t="s">
        <v>535</v>
      </c>
      <c r="C22" s="2190" t="s">
        <v>521</v>
      </c>
      <c r="D22" s="2190" t="s">
        <v>522</v>
      </c>
      <c r="E22" s="699">
        <v>1000.2859140748454</v>
      </c>
      <c r="F22" s="1938">
        <f>I22*1000000/$E22</f>
        <v>96992.376908529899</v>
      </c>
      <c r="G22" s="1938">
        <f>J22*1000000/$E22</f>
        <v>4173.3801247775782</v>
      </c>
      <c r="H22" s="1938">
        <f>K22*1000000/$E22</f>
        <v>2.8533510709683352</v>
      </c>
      <c r="I22" s="3119">
        <v>97.020108394240765</v>
      </c>
      <c r="J22" s="700">
        <v>4.1745733528949325</v>
      </c>
      <c r="K22" s="4129">
        <v>2.8541668842000005E-3</v>
      </c>
      <c r="L22" s="3133" t="s">
        <v>199</v>
      </c>
    </row>
    <row r="23" spans="2:12" ht="18" customHeight="1" x14ac:dyDescent="0.2">
      <c r="B23" s="1251" t="s">
        <v>536</v>
      </c>
      <c r="C23" s="2190" t="s">
        <v>537</v>
      </c>
      <c r="D23" s="2190" t="s">
        <v>525</v>
      </c>
      <c r="E23" s="699">
        <v>4334.5047137860556</v>
      </c>
      <c r="F23" s="1938">
        <f>I23*1000000/$E23</f>
        <v>135.59005738404966</v>
      </c>
      <c r="G23" s="1938">
        <f>J23*1000000/$E23</f>
        <v>4995.9008971619724</v>
      </c>
      <c r="H23" s="3075"/>
      <c r="I23" s="3125">
        <v>0.587715742873685</v>
      </c>
      <c r="J23" s="699">
        <v>21.654755988356552</v>
      </c>
      <c r="K23" s="3027"/>
      <c r="L23" s="3133" t="s">
        <v>199</v>
      </c>
    </row>
    <row r="24" spans="2:12" ht="18" customHeight="1" x14ac:dyDescent="0.2">
      <c r="B24" s="1251" t="s">
        <v>538</v>
      </c>
      <c r="C24" s="2190" t="s">
        <v>537</v>
      </c>
      <c r="D24" s="2190" t="s">
        <v>525</v>
      </c>
      <c r="E24" s="699">
        <v>4334.5047137860556</v>
      </c>
      <c r="F24" s="1938">
        <f t="shared" ref="F24:F26" si="0">I24*1000000/$E24</f>
        <v>773.69629667665674</v>
      </c>
      <c r="G24" s="1938">
        <f t="shared" ref="G24:G26" si="1">J24*1000000/$E24</f>
        <v>4455.560731531893</v>
      </c>
      <c r="H24" s="1885"/>
      <c r="I24" s="699">
        <v>3.3535902449837836</v>
      </c>
      <c r="J24" s="699">
        <v>19.312648993385036</v>
      </c>
      <c r="K24" s="1939"/>
      <c r="L24" s="3072" t="str">
        <f>IF(Table1.C!E21="NO","NO",-Table1.C!E21)</f>
        <v>NO</v>
      </c>
    </row>
    <row r="25" spans="2:12" ht="18" customHeight="1" x14ac:dyDescent="0.2">
      <c r="B25" s="1251" t="s">
        <v>539</v>
      </c>
      <c r="C25" s="2190" t="s">
        <v>540</v>
      </c>
      <c r="D25" s="2190" t="s">
        <v>541</v>
      </c>
      <c r="E25" s="699">
        <v>28202.999999999993</v>
      </c>
      <c r="F25" s="1938">
        <f t="shared" si="0"/>
        <v>20.016310321596993</v>
      </c>
      <c r="G25" s="1938">
        <f t="shared" si="1"/>
        <v>683.87159083042525</v>
      </c>
      <c r="H25" s="3075"/>
      <c r="I25" s="3125">
        <v>0.56451999999999991</v>
      </c>
      <c r="J25" s="699">
        <v>19.287230476190476</v>
      </c>
      <c r="K25" s="3027"/>
      <c r="L25" s="3072" t="s">
        <v>199</v>
      </c>
    </row>
    <row r="26" spans="2:12" ht="18" customHeight="1" x14ac:dyDescent="0.2">
      <c r="B26" s="1251" t="s">
        <v>542</v>
      </c>
      <c r="C26" s="2190" t="s">
        <v>543</v>
      </c>
      <c r="D26" s="2190" t="s">
        <v>525</v>
      </c>
      <c r="E26" s="699">
        <v>398.51484021197581</v>
      </c>
      <c r="F26" s="1938">
        <f t="shared" si="0"/>
        <v>30250.899085685887</v>
      </c>
      <c r="G26" s="1938">
        <f t="shared" si="1"/>
        <v>184665.14858642188</v>
      </c>
      <c r="H26" s="3075"/>
      <c r="I26" s="3125">
        <v>12.055432215400716</v>
      </c>
      <c r="J26" s="699">
        <v>73.591802181638684</v>
      </c>
      <c r="K26" s="3027"/>
      <c r="L26" s="3072" t="s">
        <v>199</v>
      </c>
    </row>
    <row r="27" spans="2:12" ht="18" customHeight="1" x14ac:dyDescent="0.2">
      <c r="B27" s="2436" t="s">
        <v>544</v>
      </c>
      <c r="C27" s="607"/>
      <c r="D27" s="607"/>
      <c r="E27" s="615"/>
      <c r="F27" s="615"/>
      <c r="G27" s="615"/>
      <c r="H27" s="3126"/>
      <c r="I27" s="1938">
        <f>IF(SUM(I29:I30)=0,"NO",SUM(I29:I30))</f>
        <v>0.54712749132221816</v>
      </c>
      <c r="J27" s="1938">
        <f>IF(SUM(J29:J30)=0,"NO",SUM(J29:J30))</f>
        <v>13.609891955930456</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0.54712749132221816</v>
      </c>
      <c r="J29" s="3128">
        <v>13.377392938680456</v>
      </c>
      <c r="K29" s="3110"/>
      <c r="L29" s="3080" t="s">
        <v>199</v>
      </c>
    </row>
    <row r="30" spans="2:12" ht="18" customHeight="1" thickBot="1" x14ac:dyDescent="0.25">
      <c r="B30" s="2437" t="s">
        <v>547</v>
      </c>
      <c r="C30" s="2190" t="s">
        <v>533</v>
      </c>
      <c r="D30" s="2190" t="s">
        <v>522</v>
      </c>
      <c r="E30" s="699">
        <v>11671</v>
      </c>
      <c r="F30" s="1938" t="s">
        <v>205</v>
      </c>
      <c r="G30" s="1938">
        <f t="shared" ref="G30" si="2">J30*1000000/$E30</f>
        <v>19.921087931625397</v>
      </c>
      <c r="H30" s="3126"/>
      <c r="I30" s="3128" t="s">
        <v>205</v>
      </c>
      <c r="J30" s="3128">
        <v>0.23249901725</v>
      </c>
      <c r="K30" s="3110"/>
      <c r="L30" s="3080" t="s">
        <v>199</v>
      </c>
    </row>
    <row r="31" spans="2:12" ht="18" customHeight="1" x14ac:dyDescent="0.2">
      <c r="B31" s="1254" t="s">
        <v>548</v>
      </c>
      <c r="C31" s="2192"/>
      <c r="D31" s="2192"/>
      <c r="E31" s="3183"/>
      <c r="F31" s="3183"/>
      <c r="G31" s="3183"/>
      <c r="H31" s="3183"/>
      <c r="I31" s="4437">
        <f>IF(SUM(I32,I36)=0,"NO",SUM(I32,I36))</f>
        <v>5971.4842358277438</v>
      </c>
      <c r="J31" s="3046">
        <f>IF(SUM(J32,J36)=0,"NO",SUM(J32,J36))</f>
        <v>60.276887261624239</v>
      </c>
      <c r="K31" s="3046">
        <f>IF(SUM(K32,K36)=0,"NO",SUM(K32,K36))</f>
        <v>7.4000898100535478E-2</v>
      </c>
      <c r="L31" s="3047" t="str">
        <f>IF(SUM(L32,L36)=0,"NO",SUM(L32,L36))</f>
        <v>NO</v>
      </c>
    </row>
    <row r="32" spans="2:12" ht="18" customHeight="1" x14ac:dyDescent="0.2">
      <c r="B32" s="1467" t="s">
        <v>549</v>
      </c>
      <c r="C32" s="2195"/>
      <c r="D32" s="2195"/>
      <c r="E32" s="3007"/>
      <c r="F32" s="3007"/>
      <c r="G32" s="3007"/>
      <c r="H32" s="3007"/>
      <c r="I32" s="3134">
        <f>IF(SUM(I33:I35)=0,"NO",SUM(I33:I35))</f>
        <v>3693.3239565477438</v>
      </c>
      <c r="J32" s="1938">
        <f>IF(SUM(J33:J35)=0,"NO",SUM(J33:J35))</f>
        <v>46.232019418243283</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5250.0671878281755</v>
      </c>
      <c r="F35" s="1938">
        <f t="shared" ref="F35" si="3">SUM(I35,L35)*1000000/$E35</f>
        <v>703481.27450833283</v>
      </c>
      <c r="G35" s="1938">
        <f t="shared" ref="G35" si="4">J35*1000000/$E35</f>
        <v>8805.9862406005395</v>
      </c>
      <c r="H35" s="1938" t="s">
        <v>205</v>
      </c>
      <c r="I35" s="699">
        <v>3693.3239565477438</v>
      </c>
      <c r="J35" s="699">
        <v>46.232019418243283</v>
      </c>
      <c r="K35" s="699" t="s">
        <v>199</v>
      </c>
      <c r="L35" s="3072" t="s">
        <v>199</v>
      </c>
    </row>
    <row r="36" spans="2:12" ht="18" customHeight="1" x14ac:dyDescent="0.2">
      <c r="B36" s="1467" t="s">
        <v>554</v>
      </c>
      <c r="C36" s="2195"/>
      <c r="D36" s="2195"/>
      <c r="E36" s="3007"/>
      <c r="F36" s="3007"/>
      <c r="G36" s="3007"/>
      <c r="H36" s="3007"/>
      <c r="I36" s="3134">
        <f>IF(SUM(I37:I39)=0,"NO",SUM(I37:I39))</f>
        <v>2278.1602792799999</v>
      </c>
      <c r="J36" s="3134">
        <f>IF(SUM(J37:J39)=0,"NO",SUM(J37:J39))</f>
        <v>14.044867843380956</v>
      </c>
      <c r="K36" s="1938">
        <f>IF(SUM(K37:K39)=0,"NO",SUM(K37:K39))</f>
        <v>7.4000898100535478E-2</v>
      </c>
      <c r="L36" s="3044" t="str">
        <f>IF(SUM(L37:L39)=0,"NO",SUM(L37:L39))</f>
        <v>NO</v>
      </c>
    </row>
    <row r="37" spans="2:12" ht="18" customHeight="1" x14ac:dyDescent="0.2">
      <c r="B37" s="1469" t="s">
        <v>555</v>
      </c>
      <c r="C37" s="277" t="s">
        <v>556</v>
      </c>
      <c r="D37" s="277" t="s">
        <v>525</v>
      </c>
      <c r="E37" s="699">
        <v>6.3892944247641505</v>
      </c>
      <c r="F37" s="1938">
        <f t="shared" ref="F37:F38" si="5">SUM(I37,L37)*1000000/$E37</f>
        <v>152528022.02427441</v>
      </c>
      <c r="G37" s="1938">
        <f t="shared" ref="G37:H38" si="6">J37*1000000/$E37</f>
        <v>1838344.6575063062</v>
      </c>
      <c r="H37" s="1938">
        <f t="shared" si="6"/>
        <v>4269.0766687601599</v>
      </c>
      <c r="I37" s="700">
        <v>974.54644074000009</v>
      </c>
      <c r="J37" s="700">
        <v>11.745725271000003</v>
      </c>
      <c r="K37" s="700">
        <v>2.7276387758600001E-2</v>
      </c>
      <c r="L37" s="3133" t="s">
        <v>199</v>
      </c>
    </row>
    <row r="38" spans="2:12" ht="18" customHeight="1" x14ac:dyDescent="0.2">
      <c r="B38" s="1469" t="s">
        <v>557</v>
      </c>
      <c r="C38" s="277" t="s">
        <v>556</v>
      </c>
      <c r="D38" s="277" t="s">
        <v>525</v>
      </c>
      <c r="E38" s="699">
        <v>30.011236937087258</v>
      </c>
      <c r="F38" s="1938">
        <f t="shared" si="5"/>
        <v>43437524.460347094</v>
      </c>
      <c r="G38" s="1938">
        <f t="shared" si="6"/>
        <v>76609.390582622742</v>
      </c>
      <c r="H38" s="1938">
        <f t="shared" si="6"/>
        <v>1556.9005182920105</v>
      </c>
      <c r="I38" s="699">
        <v>1303.61383854</v>
      </c>
      <c r="J38" s="699">
        <v>2.2991425723809527</v>
      </c>
      <c r="K38" s="699">
        <v>4.6724510341935477E-2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6" t="s">
        <v>562</v>
      </c>
      <c r="C66" s="4507"/>
      <c r="D66" s="4507"/>
      <c r="E66" s="4507"/>
      <c r="F66" s="4507"/>
      <c r="G66" s="4507"/>
      <c r="H66" s="4507"/>
      <c r="I66" s="4507"/>
      <c r="J66" s="4507"/>
      <c r="K66" s="4507"/>
      <c r="L66" s="4508"/>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17" sqref="F17"/>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42.947713659777691</v>
      </c>
      <c r="M9" s="3323">
        <f>100*C10/SUM(C10,'Table1.A(a)s3'!C16)</f>
        <v>57.052286340222309</v>
      </c>
    </row>
    <row r="10" spans="1:13" ht="18" customHeight="1" thickTop="1" thickBot="1" x14ac:dyDescent="0.25">
      <c r="B10" s="223" t="s">
        <v>603</v>
      </c>
      <c r="C10" s="3303">
        <f>IF(SUM(C11:C13)=0,"NO",SUM(C11:C13))</f>
        <v>145020</v>
      </c>
      <c r="D10" s="3304"/>
      <c r="E10" s="3305"/>
      <c r="F10" s="3305"/>
      <c r="G10" s="3303">
        <f>IF(SUM(G11:G13)=0,"NO",SUM(G11:G13))</f>
        <v>10093.391999999998</v>
      </c>
      <c r="H10" s="3303">
        <f>IF(SUM(H11:H13)=0,"NO",SUM(H11:H13))</f>
        <v>1.9552715000000005E-2</v>
      </c>
      <c r="I10" s="1154">
        <f>IF(SUM(I11:I13)=0,"NO",SUM(I11:I13))</f>
        <v>5.1800231915789467E-2</v>
      </c>
      <c r="J10" s="4"/>
      <c r="K10" s="68" t="s">
        <v>604</v>
      </c>
      <c r="L10" s="3324">
        <f>100-M10</f>
        <v>54.331076878932777</v>
      </c>
      <c r="M10" s="3325">
        <f>100*C14/SUM(C14,'Table1.A(a)s3'!C88)</f>
        <v>45.668923121067223</v>
      </c>
    </row>
    <row r="11" spans="1:13" ht="18" customHeight="1" x14ac:dyDescent="0.2">
      <c r="B11" s="1257" t="s">
        <v>293</v>
      </c>
      <c r="C11" s="3306">
        <v>145020</v>
      </c>
      <c r="D11" s="116">
        <f>IF(G11="NO","NA",G11*1000/$C11)</f>
        <v>69.59999999999998</v>
      </c>
      <c r="E11" s="116">
        <f t="shared" ref="E11:F13" si="0">IF(H11="NO","NA",H11*1000000/$C11)</f>
        <v>0.13482771341883881</v>
      </c>
      <c r="F11" s="116">
        <f t="shared" si="0"/>
        <v>0.35719371063156441</v>
      </c>
      <c r="G11" s="3041">
        <v>10093.391999999998</v>
      </c>
      <c r="H11" s="3041">
        <v>1.9552715000000005E-2</v>
      </c>
      <c r="I11" s="3042">
        <v>5.1800231915789467E-2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25400</v>
      </c>
      <c r="D14" s="3313"/>
      <c r="E14" s="3314"/>
      <c r="F14" s="3315"/>
      <c r="G14" s="3387">
        <f>IF(SUM(G15:G18,G20:G22)=0,"NO",SUM(G15:G18,G20:G22))</f>
        <v>1864.704</v>
      </c>
      <c r="H14" s="3387">
        <f>IF(SUM(H15:H18,H20:H22)=0,"NO",SUM(H15:H18,H20:H22))</f>
        <v>0.17779999999999999</v>
      </c>
      <c r="I14" s="4428">
        <f>IF(SUM(I15:I18,I20:I22)=0,"NO",SUM(I15:I18,I20:I22))</f>
        <v>5.0800000000000005E-2</v>
      </c>
      <c r="J14" s="4"/>
      <c r="K14" s="1045"/>
      <c r="L14" s="1045"/>
      <c r="M14" s="1045"/>
    </row>
    <row r="15" spans="1:13" ht="18" customHeight="1" x14ac:dyDescent="0.2">
      <c r="B15" s="1259" t="s">
        <v>306</v>
      </c>
      <c r="C15" s="143">
        <v>24120</v>
      </c>
      <c r="D15" s="116">
        <f>IF(G15="NO","NA",G15*1000/$C15)</f>
        <v>73.599999999999994</v>
      </c>
      <c r="E15" s="116">
        <f t="shared" ref="E15:F17" si="1">IF(H15="NO","NA",H15*1000000/$C15)</f>
        <v>7</v>
      </c>
      <c r="F15" s="116">
        <f t="shared" si="1"/>
        <v>2.0000000000000004</v>
      </c>
      <c r="G15" s="3043">
        <v>1775.232</v>
      </c>
      <c r="H15" s="3043">
        <v>0.16883999999999999</v>
      </c>
      <c r="I15" s="135">
        <v>4.8240000000000005E-2</v>
      </c>
      <c r="J15" s="4"/>
      <c r="K15" s="1045"/>
      <c r="L15" s="1045"/>
      <c r="M15" s="1045"/>
    </row>
    <row r="16" spans="1:13" ht="18" customHeight="1" x14ac:dyDescent="0.2">
      <c r="B16" s="1259" t="s">
        <v>307</v>
      </c>
      <c r="C16" s="3316">
        <v>1280</v>
      </c>
      <c r="D16" s="116">
        <f>IF(G16="NO","NA",G16*1000/$C16)</f>
        <v>69.900000000000006</v>
      </c>
      <c r="E16" s="116">
        <f t="shared" si="1"/>
        <v>7</v>
      </c>
      <c r="F16" s="116">
        <f t="shared" si="1"/>
        <v>2</v>
      </c>
      <c r="G16" s="3043">
        <v>89.471999999999994</v>
      </c>
      <c r="H16" s="3043">
        <v>8.9599999999999992E-3</v>
      </c>
      <c r="I16" s="135">
        <v>2.5600000000000002E-3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500" t="s">
        <v>609</v>
      </c>
      <c r="C43" s="4501"/>
      <c r="D43" s="4501"/>
      <c r="E43" s="4501"/>
      <c r="F43" s="4501"/>
      <c r="G43" s="4501"/>
      <c r="H43" s="4501"/>
      <c r="I43" s="45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0"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24047.683142812897</v>
      </c>
      <c r="D10" s="2923">
        <f t="shared" ref="D10:N10" si="0">IF(SUM(D11,D16,D27,D35,D39,D45,D52,D57)=0,"NO",SUM(D11,D16,D27,D35,D39,D45,D52,D57))</f>
        <v>3.9036652335588573</v>
      </c>
      <c r="E10" s="2923">
        <f t="shared" si="0"/>
        <v>8.6400040049653821</v>
      </c>
      <c r="F10" s="2923">
        <f t="shared" si="0"/>
        <v>7409.8286793700499</v>
      </c>
      <c r="G10" s="2923">
        <f t="shared" si="0"/>
        <v>270.90088273132159</v>
      </c>
      <c r="H10" s="2923" t="str">
        <f t="shared" si="0"/>
        <v>NO</v>
      </c>
      <c r="I10" s="2923">
        <f t="shared" si="0"/>
        <v>5.5700505429659786E-3</v>
      </c>
      <c r="J10" s="2923" t="str">
        <f t="shared" si="0"/>
        <v>NO</v>
      </c>
      <c r="K10" s="2923">
        <f t="shared" si="0"/>
        <v>42.079593032782505</v>
      </c>
      <c r="L10" s="2924">
        <f t="shared" si="0"/>
        <v>11.300824984661709</v>
      </c>
      <c r="M10" s="2925">
        <f t="shared" si="0"/>
        <v>236.51410994098367</v>
      </c>
      <c r="N10" s="2926">
        <f t="shared" si="0"/>
        <v>1773.9842213382558</v>
      </c>
      <c r="O10" s="3002">
        <f t="shared" ref="O10:O58" si="1">IF(SUM(C10:J10)=0,"NO",SUM(C10,F10:H10)+28*SUM(D10)+265*SUM(E10)+23500*SUM(I10)+16100*SUM(J10))</f>
        <v>34258.212580529449</v>
      </c>
    </row>
    <row r="11" spans="1:15" ht="18" customHeight="1" x14ac:dyDescent="0.2">
      <c r="B11" s="1262" t="s">
        <v>621</v>
      </c>
      <c r="C11" s="2163">
        <f>IF(SUM(C12:C15)=0,"NO",SUM(C12:C15))</f>
        <v>6453.9523771024305</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6453.9523771024305</v>
      </c>
    </row>
    <row r="12" spans="1:15" ht="18" customHeight="1" x14ac:dyDescent="0.2">
      <c r="B12" s="1263" t="s">
        <v>622</v>
      </c>
      <c r="C12" s="2930">
        <f>'Table2(I).A-H'!H11</f>
        <v>3495.53217184</v>
      </c>
      <c r="D12" s="2162"/>
      <c r="E12" s="2162"/>
      <c r="F12" s="615"/>
      <c r="G12" s="615"/>
      <c r="H12" s="2161"/>
      <c r="I12" s="615"/>
      <c r="J12" s="2161"/>
      <c r="K12" s="2161"/>
      <c r="L12" s="2161"/>
      <c r="M12" s="2161"/>
      <c r="N12" s="2929" t="s">
        <v>199</v>
      </c>
      <c r="O12" s="2943">
        <f t="shared" si="1"/>
        <v>3495.53217184</v>
      </c>
    </row>
    <row r="13" spans="1:15" ht="18" customHeight="1" x14ac:dyDescent="0.2">
      <c r="B13" s="1263" t="s">
        <v>623</v>
      </c>
      <c r="C13" s="1884">
        <f>'Table2(I).A-H'!H12</f>
        <v>1243.933241137694</v>
      </c>
      <c r="D13" s="2135"/>
      <c r="E13" s="2135"/>
      <c r="F13" s="615"/>
      <c r="G13" s="615"/>
      <c r="H13" s="2161"/>
      <c r="I13" s="615"/>
      <c r="J13" s="2161"/>
      <c r="K13" s="615"/>
      <c r="L13" s="615"/>
      <c r="M13" s="615"/>
      <c r="N13" s="1842"/>
      <c r="O13" s="1887">
        <f t="shared" si="1"/>
        <v>1243.933241137694</v>
      </c>
    </row>
    <row r="14" spans="1:15" ht="18" customHeight="1" x14ac:dyDescent="0.2">
      <c r="B14" s="1263" t="s">
        <v>624</v>
      </c>
      <c r="C14" s="1884">
        <f>'Table2(I).A-H'!H13</f>
        <v>111.56572842877</v>
      </c>
      <c r="D14" s="2135"/>
      <c r="E14" s="2135"/>
      <c r="F14" s="615"/>
      <c r="G14" s="615"/>
      <c r="H14" s="2161"/>
      <c r="I14" s="615"/>
      <c r="J14" s="2161"/>
      <c r="K14" s="615"/>
      <c r="L14" s="615"/>
      <c r="M14" s="615"/>
      <c r="N14" s="1842"/>
      <c r="O14" s="1887">
        <f t="shared" si="1"/>
        <v>111.56572842877</v>
      </c>
    </row>
    <row r="15" spans="1:15" ht="18" customHeight="1" thickBot="1" x14ac:dyDescent="0.25">
      <c r="B15" s="1263" t="s">
        <v>625</v>
      </c>
      <c r="C15" s="1884">
        <f>'Table2(I).A-H'!H14</f>
        <v>1602.9212356959672</v>
      </c>
      <c r="D15" s="1885"/>
      <c r="E15" s="1885"/>
      <c r="F15" s="3003"/>
      <c r="G15" s="3003"/>
      <c r="H15" s="3003"/>
      <c r="I15" s="3003"/>
      <c r="J15" s="3003"/>
      <c r="K15" s="2622" t="s">
        <v>199</v>
      </c>
      <c r="L15" s="2622" t="s">
        <v>199</v>
      </c>
      <c r="M15" s="2622" t="s">
        <v>199</v>
      </c>
      <c r="N15" s="2623" t="s">
        <v>199</v>
      </c>
      <c r="O15" s="1887">
        <f t="shared" si="1"/>
        <v>1602.9212356959672</v>
      </c>
    </row>
    <row r="16" spans="1:15" ht="18" customHeight="1" x14ac:dyDescent="0.2">
      <c r="B16" s="1264" t="s">
        <v>626</v>
      </c>
      <c r="C16" s="2163">
        <f>IF(SUM(C17:C26)=0,"NO",SUM(C17:C26))</f>
        <v>3536.8966812225599</v>
      </c>
      <c r="D16" s="2163">
        <f t="shared" ref="D16:N16" si="3">IF(SUM(D17:D26)=0,"NO",SUM(D17:D26))</f>
        <v>0.57776359999999993</v>
      </c>
      <c r="E16" s="2163">
        <f t="shared" si="3"/>
        <v>8.5573786003910044</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5820.7793911261761</v>
      </c>
    </row>
    <row r="17" spans="2:15" ht="18" customHeight="1" x14ac:dyDescent="0.2">
      <c r="B17" s="1265" t="s">
        <v>627</v>
      </c>
      <c r="C17" s="2930">
        <f>'Table2(I).A-H'!H23</f>
        <v>2336.618403201117</v>
      </c>
      <c r="D17" s="2165" t="str">
        <f>'Table2(I).A-H'!I23</f>
        <v>NO</v>
      </c>
      <c r="E17" s="2165" t="str">
        <f>'Table2(I).A-H'!J23</f>
        <v>NO</v>
      </c>
      <c r="F17" s="2161"/>
      <c r="G17" s="2161"/>
      <c r="H17" s="2161"/>
      <c r="I17" s="2161"/>
      <c r="J17" s="2161"/>
      <c r="K17" s="700" t="s">
        <v>199</v>
      </c>
      <c r="L17" s="700" t="s">
        <v>199</v>
      </c>
      <c r="M17" s="700" t="s">
        <v>199</v>
      </c>
      <c r="N17" s="700" t="s">
        <v>199</v>
      </c>
      <c r="O17" s="2943">
        <f t="shared" si="1"/>
        <v>2336.618403201117</v>
      </c>
    </row>
    <row r="18" spans="2:15" ht="18" customHeight="1" x14ac:dyDescent="0.2">
      <c r="B18" s="1263" t="s">
        <v>628</v>
      </c>
      <c r="C18" s="1935"/>
      <c r="D18" s="2162"/>
      <c r="E18" s="2165">
        <f>'Table2(I).A-H'!J24</f>
        <v>8.5573786003910044</v>
      </c>
      <c r="F18" s="615"/>
      <c r="G18" s="615"/>
      <c r="H18" s="2161"/>
      <c r="I18" s="615"/>
      <c r="J18" s="2161"/>
      <c r="K18" s="700" t="s">
        <v>199</v>
      </c>
      <c r="L18" s="615"/>
      <c r="M18" s="615"/>
      <c r="N18" s="1842"/>
      <c r="O18" s="2943">
        <f t="shared" si="1"/>
        <v>2267.7053291036164</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1030.124462625</v>
      </c>
      <c r="D22" s="1939"/>
      <c r="E22" s="615"/>
      <c r="F22" s="615"/>
      <c r="G22" s="615"/>
      <c r="H22" s="2161"/>
      <c r="I22" s="615"/>
      <c r="J22" s="2161"/>
      <c r="K22" s="1939"/>
      <c r="L22" s="1939"/>
      <c r="M22" s="1939"/>
      <c r="N22" s="2931"/>
      <c r="O22" s="1887">
        <f t="shared" si="1"/>
        <v>1030.124462625</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121.85900939644294</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121.85900939644294</v>
      </c>
    </row>
    <row r="27" spans="2:15" ht="18" customHeight="1" x14ac:dyDescent="0.2">
      <c r="B27" s="1262" t="s">
        <v>637</v>
      </c>
      <c r="C27" s="2163">
        <f>IF(SUM(C28:C34)=0,"NO",SUM(C28:C34))</f>
        <v>13563.090273006292</v>
      </c>
      <c r="D27" s="2163">
        <f t="shared" ref="D27:N27" si="4">IF(SUM(D28:D34)=0,"NO",SUM(D28:D34))</f>
        <v>3.3259016335588574</v>
      </c>
      <c r="E27" s="2163">
        <f t="shared" si="4"/>
        <v>8.2625404574377156E-2</v>
      </c>
      <c r="F27" s="2164" t="str">
        <f t="shared" si="4"/>
        <v>NO</v>
      </c>
      <c r="G27" s="2164">
        <f t="shared" si="4"/>
        <v>270.90088273132159</v>
      </c>
      <c r="H27" s="2164" t="str">
        <f t="shared" si="4"/>
        <v>NO</v>
      </c>
      <c r="I27" s="2164" t="str">
        <f t="shared" si="4"/>
        <v>NO</v>
      </c>
      <c r="J27" s="2164" t="str">
        <f t="shared" si="4"/>
        <v>NO</v>
      </c>
      <c r="K27" s="2163">
        <f t="shared" si="4"/>
        <v>42.079593032782505</v>
      </c>
      <c r="L27" s="2163">
        <f t="shared" si="4"/>
        <v>11.300824984661709</v>
      </c>
      <c r="M27" s="2927">
        <f t="shared" si="4"/>
        <v>0.10283227320622859</v>
      </c>
      <c r="N27" s="2928">
        <f t="shared" si="4"/>
        <v>1773.9842213382558</v>
      </c>
      <c r="O27" s="2950">
        <f t="shared" si="1"/>
        <v>13949.01213368947</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3208.7603223554343</v>
      </c>
      <c r="D30" s="1885"/>
      <c r="E30" s="615"/>
      <c r="F30" s="615"/>
      <c r="G30" s="2166">
        <f>SUM('Table2(II)'!X41:Y41)</f>
        <v>270.90088273132159</v>
      </c>
      <c r="H30" s="2162"/>
      <c r="I30" s="2168" t="s">
        <v>199</v>
      </c>
      <c r="J30" s="2161"/>
      <c r="K30" s="699" t="s">
        <v>205</v>
      </c>
      <c r="L30" s="699" t="s">
        <v>205</v>
      </c>
      <c r="M30" s="699" t="s">
        <v>205</v>
      </c>
      <c r="N30" s="2921">
        <v>49.632622659999996</v>
      </c>
      <c r="O30" s="1887">
        <f t="shared" si="1"/>
        <v>3479.6612050867557</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10354.329950650857</v>
      </c>
      <c r="D34" s="1888">
        <f>'Table2(I).A-H'!I67</f>
        <v>3.3259016335588574</v>
      </c>
      <c r="E34" s="1888">
        <f>'Table2(I).A-H'!J67</f>
        <v>8.2625404574377156E-2</v>
      </c>
      <c r="F34" s="2172" t="s">
        <v>199</v>
      </c>
      <c r="G34" s="2172" t="s">
        <v>199</v>
      </c>
      <c r="H34" s="2172" t="s">
        <v>199</v>
      </c>
      <c r="I34" s="2172" t="s">
        <v>199</v>
      </c>
      <c r="J34" s="2172" t="s">
        <v>199</v>
      </c>
      <c r="K34" s="2622">
        <v>42.079593032782505</v>
      </c>
      <c r="L34" s="2622">
        <v>11.300824984661709</v>
      </c>
      <c r="M34" s="2622">
        <v>0.10283227320622859</v>
      </c>
      <c r="N34" s="2623">
        <v>1724.3515986782559</v>
      </c>
      <c r="O34" s="1890">
        <f t="shared" si="1"/>
        <v>10469.350928602715</v>
      </c>
    </row>
    <row r="35" spans="2:15" ht="18" customHeight="1" x14ac:dyDescent="0.2">
      <c r="B35" s="2489" t="s">
        <v>645</v>
      </c>
      <c r="C35" s="2930">
        <f>IF(SUM(C36:C38)=0,"NO",SUM(C36:C38))</f>
        <v>232.16629320999996</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184.0455219252193</v>
      </c>
      <c r="N35" s="2077" t="str">
        <f t="shared" ref="N35" si="7">IF(SUM(N36:N38)=0,"NO",SUM(N36:N38))</f>
        <v>NO</v>
      </c>
      <c r="O35" s="2943">
        <f t="shared" si="1"/>
        <v>232.16629320999996</v>
      </c>
    </row>
    <row r="36" spans="2:15" ht="18" customHeight="1" x14ac:dyDescent="0.2">
      <c r="B36" s="1269" t="s">
        <v>646</v>
      </c>
      <c r="C36" s="1884">
        <f>'Table2(I).A-H'!H73</f>
        <v>232.16629320999996</v>
      </c>
      <c r="D36" s="2166" t="str">
        <f>'Table2(I).A-H'!I73</f>
        <v>NO</v>
      </c>
      <c r="E36" s="2166" t="str">
        <f>'Table2(I).A-H'!J73</f>
        <v>NO</v>
      </c>
      <c r="F36" s="615"/>
      <c r="G36" s="615"/>
      <c r="H36" s="2161"/>
      <c r="I36" s="615"/>
      <c r="J36" s="2161"/>
      <c r="K36" s="2173" t="s">
        <v>205</v>
      </c>
      <c r="L36" s="2173" t="s">
        <v>205</v>
      </c>
      <c r="M36" s="699" t="s">
        <v>205</v>
      </c>
      <c r="N36" s="2167" t="s">
        <v>205</v>
      </c>
      <c r="O36" s="1887">
        <f t="shared" si="1"/>
        <v>232.16629320999996</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184.0455219252193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7409.8286793700499</v>
      </c>
      <c r="G45" s="2163" t="str">
        <f t="shared" ref="G45:J45" si="9">IF(SUM(G46:G51)=0,"NO",SUM(G46:G51))</f>
        <v>NO</v>
      </c>
      <c r="H45" s="2930" t="str">
        <f t="shared" si="9"/>
        <v>NO</v>
      </c>
      <c r="I45" s="2930" t="str">
        <f t="shared" si="9"/>
        <v>NO</v>
      </c>
      <c r="J45" s="2165" t="str">
        <f t="shared" si="9"/>
        <v>NO</v>
      </c>
      <c r="K45" s="1955"/>
      <c r="L45" s="1955"/>
      <c r="M45" s="1955"/>
      <c r="N45" s="2178"/>
      <c r="O45" s="2950">
        <f t="shared" si="1"/>
        <v>7409.8286793700499</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6984.0882247241616</v>
      </c>
      <c r="G46" s="1884" t="s">
        <v>199</v>
      </c>
      <c r="H46" s="1884" t="s">
        <v>199</v>
      </c>
      <c r="I46" s="1884" t="s">
        <v>199</v>
      </c>
      <c r="J46" s="2165" t="str">
        <f t="shared" ref="J46" si="10">IF(SUM(J47:J52)=0,"NO",SUM(J47:J52))</f>
        <v>NO</v>
      </c>
      <c r="K46" s="615"/>
      <c r="L46" s="615"/>
      <c r="M46" s="615"/>
      <c r="N46" s="1842"/>
      <c r="O46" s="1887">
        <f t="shared" si="1"/>
        <v>6984.0882247241616</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68.19017660240111</v>
      </c>
      <c r="G47" s="1884" t="s">
        <v>199</v>
      </c>
      <c r="H47" s="1884" t="s">
        <v>199</v>
      </c>
      <c r="I47" s="1884" t="s">
        <v>199</v>
      </c>
      <c r="J47" s="2165" t="str">
        <f t="shared" ref="J47" si="11">IF(SUM(J48:J53)=0,"NO",SUM(J48:J53))</f>
        <v>NO</v>
      </c>
      <c r="K47" s="615"/>
      <c r="L47" s="615"/>
      <c r="M47" s="615"/>
      <c r="N47" s="1842"/>
      <c r="O47" s="1887">
        <f t="shared" si="1"/>
        <v>68.19017660240111</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50.669857321548321</v>
      </c>
      <c r="G48" s="1884" t="s">
        <v>199</v>
      </c>
      <c r="H48" s="1884" t="s">
        <v>199</v>
      </c>
      <c r="I48" s="1884" t="s">
        <v>199</v>
      </c>
      <c r="J48" s="2165" t="str">
        <f t="shared" ref="J48" si="12">IF(SUM(J49:J54)=0,"NO",SUM(J49:J54))</f>
        <v>NO</v>
      </c>
      <c r="K48" s="615"/>
      <c r="L48" s="615"/>
      <c r="M48" s="615"/>
      <c r="N48" s="1842"/>
      <c r="O48" s="1887">
        <f t="shared" si="1"/>
        <v>50.669857321548321</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200.529994909876</v>
      </c>
      <c r="G49" s="1884" t="s">
        <v>199</v>
      </c>
      <c r="H49" s="1884" t="s">
        <v>199</v>
      </c>
      <c r="I49" s="1884" t="s">
        <v>199</v>
      </c>
      <c r="J49" s="2165" t="str">
        <f t="shared" ref="J49" si="13">IF(SUM(J50:J55)=0,"NO",SUM(J50:J55))</f>
        <v>NO</v>
      </c>
      <c r="K49" s="615"/>
      <c r="L49" s="615"/>
      <c r="M49" s="615"/>
      <c r="N49" s="1842"/>
      <c r="O49" s="1887">
        <f t="shared" si="1"/>
        <v>200.529994909876</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106.35042581206277</v>
      </c>
      <c r="G50" s="1884" t="s">
        <v>199</v>
      </c>
      <c r="H50" s="1884" t="s">
        <v>199</v>
      </c>
      <c r="I50" s="1884" t="s">
        <v>199</v>
      </c>
      <c r="J50" s="2165" t="str">
        <f t="shared" ref="J50" si="14">IF(SUM(J51:J56)=0,"NO",SUM(J51:J56))</f>
        <v>NO</v>
      </c>
      <c r="K50" s="615"/>
      <c r="L50" s="615"/>
      <c r="M50" s="615"/>
      <c r="N50" s="1842"/>
      <c r="O50" s="1887">
        <f t="shared" si="1"/>
        <v>106.35042581206277</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5.5700505429659786E-3</v>
      </c>
      <c r="J52" s="2165" t="str">
        <f t="shared" si="16"/>
        <v>NO</v>
      </c>
      <c r="K52" s="2165" t="str">
        <f t="shared" si="16"/>
        <v>NO</v>
      </c>
      <c r="L52" s="2165" t="str">
        <f t="shared" si="16"/>
        <v>NO</v>
      </c>
      <c r="M52" s="2165" t="str">
        <f t="shared" si="16"/>
        <v>NO</v>
      </c>
      <c r="N52" s="2077" t="str">
        <f t="shared" si="16"/>
        <v>NO</v>
      </c>
      <c r="O52" s="2943">
        <f t="shared" si="1"/>
        <v>130.8961877597005</v>
      </c>
    </row>
    <row r="53" spans="2:15" ht="18" customHeight="1" x14ac:dyDescent="0.2">
      <c r="B53" s="1269" t="s">
        <v>663</v>
      </c>
      <c r="C53" s="2161"/>
      <c r="D53" s="2161"/>
      <c r="E53" s="2161"/>
      <c r="F53" s="2930" t="s">
        <v>199</v>
      </c>
      <c r="G53" s="2930" t="s">
        <v>199</v>
      </c>
      <c r="H53" s="2930" t="s">
        <v>199</v>
      </c>
      <c r="I53" s="2930">
        <f>SUM('Table2(II).B-Hs2'!J163:M163)/1000</f>
        <v>4.7969163750478487E-3</v>
      </c>
      <c r="J53" s="2930" t="s">
        <v>199</v>
      </c>
      <c r="K53" s="2161"/>
      <c r="L53" s="2161"/>
      <c r="M53" s="2161"/>
      <c r="N53" s="2174"/>
      <c r="O53" s="2943">
        <f t="shared" si="1"/>
        <v>112.72753481362444</v>
      </c>
    </row>
    <row r="54" spans="2:15" ht="18" customHeight="1" x14ac:dyDescent="0.2">
      <c r="B54" s="1269" t="s">
        <v>664</v>
      </c>
      <c r="C54" s="2161"/>
      <c r="D54" s="2161"/>
      <c r="E54" s="2161"/>
      <c r="F54" s="2161"/>
      <c r="G54" s="2930" t="s">
        <v>199</v>
      </c>
      <c r="H54" s="3007"/>
      <c r="I54" s="2930">
        <f>SUM('Table2(II).B-Hs2'!J165:M165)/1000</f>
        <v>7.7313416791812979E-4</v>
      </c>
      <c r="J54" s="2161"/>
      <c r="K54" s="2161"/>
      <c r="L54" s="2161"/>
      <c r="M54" s="2161"/>
      <c r="N54" s="2174"/>
      <c r="O54" s="2943">
        <f t="shared" si="1"/>
        <v>18.168652946076051</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261.5775182716128</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49.523195061858132</v>
      </c>
      <c r="N57" s="2100" t="str">
        <f>N58</f>
        <v>NA</v>
      </c>
      <c r="O57" s="2950">
        <f t="shared" si="1"/>
        <v>261.5775182716128</v>
      </c>
    </row>
    <row r="58" spans="2:15" ht="18" customHeight="1" thickBot="1" x14ac:dyDescent="0.25">
      <c r="B58" s="2613" t="s">
        <v>668</v>
      </c>
      <c r="C58" s="2517">
        <f>'Table2(I).A-H'!H98</f>
        <v>261.5775182716128</v>
      </c>
      <c r="D58" s="2517" t="str">
        <f>'Table2(I).A-H'!I98</f>
        <v>NO</v>
      </c>
      <c r="E58" s="2517" t="str">
        <f>'Table2(I).A-H'!J98</f>
        <v>NO</v>
      </c>
      <c r="F58" s="2517" t="s">
        <v>199</v>
      </c>
      <c r="G58" s="2517" t="s">
        <v>199</v>
      </c>
      <c r="H58" s="2517" t="s">
        <v>199</v>
      </c>
      <c r="I58" s="2517" t="s">
        <v>199</v>
      </c>
      <c r="J58" s="2517" t="s">
        <v>199</v>
      </c>
      <c r="K58" s="2922" t="s">
        <v>205</v>
      </c>
      <c r="L58" s="2922" t="s">
        <v>205</v>
      </c>
      <c r="M58" s="2922">
        <v>49.523195061858132</v>
      </c>
      <c r="N58" s="2932" t="s">
        <v>205</v>
      </c>
      <c r="O58" s="2935">
        <f t="shared" si="1"/>
        <v>261.5775182716128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4"/>
      <c r="C75" s="4495"/>
      <c r="D75" s="4495"/>
      <c r="E75" s="4495"/>
      <c r="F75" s="4495"/>
      <c r="G75" s="4495"/>
      <c r="H75" s="4495"/>
      <c r="I75" s="4495"/>
      <c r="J75" s="4495"/>
      <c r="K75" s="4495"/>
      <c r="L75" s="4495"/>
      <c r="M75" s="4495"/>
      <c r="N75" s="4495"/>
      <c r="O75" s="44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8" workbookViewId="0">
      <selection activeCell="U31" sqref="U31"/>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41.772771200478346</v>
      </c>
      <c r="D10" s="4431">
        <f t="shared" ref="D10:X10" si="0">IF(SUM(D11,D16,D20,D26,D33,D37)=0,"NO",SUM(D11,D16,D20,D26,D33,D37))</f>
        <v>185.50611366036628</v>
      </c>
      <c r="E10" s="4431" t="str">
        <f t="shared" si="0"/>
        <v>NO</v>
      </c>
      <c r="F10" s="4431" t="str">
        <f t="shared" si="0"/>
        <v>NO</v>
      </c>
      <c r="G10" s="4431">
        <f t="shared" si="0"/>
        <v>595.32949839705066</v>
      </c>
      <c r="H10" s="4431">
        <f t="shared" si="0"/>
        <v>1.4666225025889377</v>
      </c>
      <c r="I10" s="4431">
        <f t="shared" si="0"/>
        <v>1896.8989741153791</v>
      </c>
      <c r="J10" s="4431" t="str">
        <f t="shared" si="0"/>
        <v>NO</v>
      </c>
      <c r="K10" s="4431">
        <f t="shared" si="0"/>
        <v>451.04844248373274</v>
      </c>
      <c r="L10" s="2073" t="str">
        <f t="shared" si="0"/>
        <v>NO</v>
      </c>
      <c r="M10" s="2073">
        <f t="shared" si="0"/>
        <v>50.529806102056853</v>
      </c>
      <c r="N10" s="2073" t="str">
        <f t="shared" si="0"/>
        <v>NO</v>
      </c>
      <c r="O10" s="4431">
        <f t="shared" si="0"/>
        <v>27.573427859687179</v>
      </c>
      <c r="P10" s="2073" t="str">
        <f t="shared" si="0"/>
        <v>NO</v>
      </c>
      <c r="Q10" s="2073" t="str">
        <f t="shared" si="0"/>
        <v>NO</v>
      </c>
      <c r="R10" s="2073">
        <f t="shared" si="0"/>
        <v>5.7974149774574339</v>
      </c>
      <c r="S10" s="2073" t="str">
        <f t="shared" si="0"/>
        <v>NO</v>
      </c>
      <c r="T10" s="2073">
        <f t="shared" si="0"/>
        <v>51.565815968828289</v>
      </c>
      <c r="U10" s="2073">
        <f t="shared" si="0"/>
        <v>69.783120337055138</v>
      </c>
      <c r="V10" s="2074" t="str">
        <f t="shared" si="0"/>
        <v>NO</v>
      </c>
      <c r="W10" s="2075"/>
      <c r="X10" s="2073">
        <f t="shared" si="0"/>
        <v>34.552011729230742</v>
      </c>
      <c r="Y10" s="4431">
        <f t="shared" ref="Y10" si="1">IF(SUM(Y11,Y16,Y20,Y26,Y33,Y37)=0,"NO",SUM(Y11,Y16,Y20,Y26,Y33,Y37))</f>
        <v>3.7676617086956545</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5.5700505429659781</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34.552011729230742</v>
      </c>
      <c r="Y16" s="4432">
        <f t="shared" ref="Y16" si="35">IF(SUM(Y17:Y19)=0,"NO",SUM(Y17:Y19))</f>
        <v>3.7676617086956545</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34.552011729230742</v>
      </c>
      <c r="Y17" s="4432">
        <f>'Table2(II).B-Hs1'!G26</f>
        <v>3.7676617086956545</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41.772771200478346</v>
      </c>
      <c r="D26" s="4430">
        <f t="shared" ref="D26:AK26" si="58">IF(SUM(D27:D32)=0,"NO",SUM(D27:D32))</f>
        <v>185.50611366036628</v>
      </c>
      <c r="E26" s="2097" t="str">
        <f t="shared" si="58"/>
        <v>NO</v>
      </c>
      <c r="F26" s="2097" t="str">
        <f t="shared" si="58"/>
        <v>NO</v>
      </c>
      <c r="G26" s="4430">
        <f t="shared" si="58"/>
        <v>595.32949839705066</v>
      </c>
      <c r="H26" s="4430">
        <f t="shared" si="58"/>
        <v>1.4666225025889377</v>
      </c>
      <c r="I26" s="4430">
        <f t="shared" si="58"/>
        <v>1896.8989741153791</v>
      </c>
      <c r="J26" s="4430" t="str">
        <f t="shared" si="58"/>
        <v>NO</v>
      </c>
      <c r="K26" s="4430">
        <f t="shared" si="58"/>
        <v>451.04844248373274</v>
      </c>
      <c r="L26" s="2097" t="str">
        <f t="shared" si="58"/>
        <v>NO</v>
      </c>
      <c r="M26" s="2097">
        <f t="shared" si="58"/>
        <v>50.529806102056853</v>
      </c>
      <c r="N26" s="2097" t="str">
        <f t="shared" si="58"/>
        <v>NO</v>
      </c>
      <c r="O26" s="4430">
        <f t="shared" si="58"/>
        <v>27.573427859687179</v>
      </c>
      <c r="P26" s="2097" t="str">
        <f t="shared" si="58"/>
        <v>NO</v>
      </c>
      <c r="Q26" s="2097" t="str">
        <f t="shared" si="58"/>
        <v>NO</v>
      </c>
      <c r="R26" s="2097">
        <f t="shared" si="58"/>
        <v>5.7974149774574339</v>
      </c>
      <c r="S26" s="2097" t="str">
        <f t="shared" si="58"/>
        <v>NO</v>
      </c>
      <c r="T26" s="2097">
        <f t="shared" si="58"/>
        <v>51.565815968828289</v>
      </c>
      <c r="U26" s="2097">
        <f t="shared" si="58"/>
        <v>69.783120337055138</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39.37266731518551</v>
      </c>
      <c r="D27" s="4431">
        <f>IF(SUM('Table2(II).B-Hs2'!J14:M14,'Table2(II).B-Hs2'!J27:M27,'Table2(II).B-Hs2'!J40:M40,'Table2(II).B-Hs2'!J53:M53,'Table2(II).B-Hs2'!J66:M66,'Table2(II).B-Hs2'!J79:M79)=0,"NO",SUM('Table2(II).B-Hs2'!J14:M14,'Table2(II).B-Hs2'!J27:M27,'Table2(II).B-Hs2'!J40:M40,'Table2(II).B-Hs2'!J53:M53,'Table2(II).B-Hs2'!J66:M66,'Table2(II).B-Hs2'!J79:M79))</f>
        <v>174.84764089577459</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561.12413923438555</v>
      </c>
      <c r="H27" s="4431">
        <f>IF(SUM('Table2(II).B-Hs2'!J17:M17,'Table2(II).B-Hs2'!J30:M30,'Table2(II).B-Hs2'!J43:M43,'Table2(II).B-Hs2'!J56:M56,'Table2(II).B-Hs2'!J69:M69,'Table2(II).B-Hs2'!J82:M82)=0,"NO",SUM('Table2(II).B-Hs2'!J17:M17,'Table2(II).B-Hs2'!J30:M30,'Table2(II).B-Hs2'!J43:M43,'Table2(II).B-Hs2'!J56:M56,'Table2(II).B-Hs2'!J69:M69,'Table2(II).B-Hs2'!J82:M82))</f>
        <v>1.3823559752420209</v>
      </c>
      <c r="I27" s="4431">
        <f>IF(SUM('Table2(II).B-Hs2'!J18:M18,'Table2(II).B-Hs2'!J31:M31,'Table2(II).B-Hs2'!J44:M44,'Table2(II).B-Hs2'!J57:M57,'Table2(II).B-Hs2'!J70:M70,'Table2(II).B-Hs2'!J83:M83)=0,"NO",SUM('Table2(II).B-Hs2'!J18:M18,'Table2(II).B-Hs2'!J31:M31,'Table2(II).B-Hs2'!J44:M44,'Table2(II).B-Hs2'!J57:M57,'Table2(II).B-Hs2'!J70:M70,'Table2(II).B-Hs2'!J83:M83))</f>
        <v>1787.9104041224414</v>
      </c>
      <c r="J27" s="4431" t="s">
        <v>199</v>
      </c>
      <c r="K27" s="4431">
        <f>IF(SUM('Table2(II).B-Hs2'!J19:M19,'Table2(II).B-Hs2'!J32:M32,'Table2(II).B-Hs2'!J45:M45,'Table2(II).B-Hs2'!J58:M58,'Table2(II).B-Hs2'!J71:M71,'Table2(II).B-Hs2'!J84:M84)=0,"NO",SUM('Table2(II).B-Hs2'!J19:M19,'Table2(II).B-Hs2'!J32:M32,'Table2(II).B-Hs2'!J45:M45,'Table2(II).B-Hs2'!J58:M58,'Table2(II).B-Hs2'!J71:M71,'Table2(II).B-Hs2'!J84:M84))</f>
        <v>425.1329217234512</v>
      </c>
      <c r="L27" s="2073" t="s">
        <v>199</v>
      </c>
      <c r="M27" s="2073">
        <f>IF(SUM('Table2(II).B-Hs2'!J20:M20,'Table2(II).B-Hs2'!J33:M33,'Table2(II).B-Hs2'!J46:M46,'Table2(II).B-Hs2'!J59:M59,'Table2(II).B-Hs2'!J72:M72,'Table2(II).B-Hs2'!J85:M85)=0,"NO",SUM('Table2(II).B-Hs2'!J20:M20,'Table2(II).B-Hs2'!J33:M33,'Table2(II).B-Hs2'!J46:M46,'Table2(II).B-Hs2'!J59:M59,'Table2(II).B-Hs2'!J72:M72,'Table2(II).B-Hs2'!J85:M85))</f>
        <v>47.626556438140582</v>
      </c>
      <c r="N27" s="2073" t="s">
        <v>199</v>
      </c>
      <c r="O27" s="4431">
        <f>IF(SUM('Table2(II).B-Hs2'!J21:M21,'Table2(II).B-Hs2'!J34:M34,'Table2(II).B-Hs2'!J47:M47,'Table2(II).B-Hs2'!J60:M60,'Table2(II).B-Hs2'!J73:M73,'Table2(II).B-Hs2'!J86:M86)=0,"NO",SUM('Table2(II).B-Hs2'!J21:M21,'Table2(II).B-Hs2'!J34:M34,'Table2(II).B-Hs2'!J47:M47,'Table2(II).B-Hs2'!J60:M60,'Table2(II).B-Hs2'!J73:M73,'Table2(II).B-Hs2'!J86:M86))</f>
        <v>25.989164009456459</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5.4643176556333293</v>
      </c>
      <c r="S27" s="2073" t="s">
        <v>199</v>
      </c>
      <c r="T27" s="2073">
        <f>IF(SUM('Table2(II).B-Hs2'!J23:M23,'Table2(II).B-Hs2'!J36:M36,'Table2(II).B-Hs2'!J49:M49,'Table2(II).B-Hs2'!J62:M62,'Table2(II).B-Hs2'!J75:M75,'Table2(II).B-Hs2'!J88:M88)=0,"NO",SUM('Table2(II).B-Hs2'!J23:M23,'Table2(II).B-Hs2'!J36:M36,'Table2(II).B-Hs2'!J49:M49,'Table2(II).B-Hs2'!J62:M62,'Table2(II).B-Hs2'!J75:M75,'Table2(II).B-Hs2'!J88:M88))</f>
        <v>48.603041134927338</v>
      </c>
      <c r="U27" s="2073">
        <f>IF(SUM('Table2(II).B-Hs2'!J24:M24,'Table2(II).B-Hs2'!J37:M37,'Table2(II).B-Hs2'!J50:M50,'Table2(II).B-Hs2'!J63:M63,'Table2(II).B-Hs2'!J76:M76,'Table2(II).B-Hs2'!J89:M89)=0,"NO",SUM('Table2(II).B-Hs2'!J24:M24,'Table2(II).B-Hs2'!J37:M37,'Table2(II).B-Hs2'!J50:M50,'Table2(II).B-Hs2'!J63:M63,'Table2(II).B-Hs2'!J76:M76,'Table2(II).B-Hs2'!J89:M89))</f>
        <v>65.773648773748718</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0.38442085081709065</v>
      </c>
      <c r="D28" s="4431">
        <f>IF(SUM('Table2(II).B-Hs2'!J93:M93,'Table2(II).B-Hs2'!J106:M106)=0,"NO",SUM('Table2(II).B-Hs2'!J93:M93,'Table2(II).B-Hs2'!J106:M106))</f>
        <v>1.7071507586327761</v>
      </c>
      <c r="E28" s="2073" t="s">
        <v>199</v>
      </c>
      <c r="F28" s="2073" t="str">
        <f>IF(SUM('Table2(II).B-Hs2'!J94:M94,'Table2(II).B-Hs2'!J107:M107)=0,"NO",SUM('Table2(II).B-Hs2'!J94:M94,'Table2(II).B-Hs2'!J107:M107))</f>
        <v>NO</v>
      </c>
      <c r="G28" s="4431">
        <f>IF(SUM('Table2(II).B-Hs2'!J95:M95,'Table2(II).B-Hs2'!J108:M108)=0,"NO",SUM('Table2(II).B-Hs2'!J95:M95,'Table2(II).B-Hs2'!J108:M108))</f>
        <v>5.4786183849752685</v>
      </c>
      <c r="H28" s="4431">
        <f>IF(SUM('Table2(II).B-Hs2'!J96:M96,'Table2(II).B-Hs2'!J109:M109)=0,"NO",SUM('Table2(II).B-Hs2'!J96:M96,'Table2(II).B-Hs2'!J109:M109))</f>
        <v>1.3496836673030548E-2</v>
      </c>
      <c r="I28" s="4431">
        <f>IF(SUM('Table2(II).B-Hs2'!J97:M97,'Table2(II).B-Hs2'!J110:M110)=0,"NO",SUM('Table2(II).B-Hs2'!J97:M97,'Table2(II).B-Hs2'!J110:M110))</f>
        <v>17.45652722065876</v>
      </c>
      <c r="J28" s="4431" t="s">
        <v>199</v>
      </c>
      <c r="K28" s="4431">
        <f>IF(SUM('Table2(II).B-Hs2'!J98:M98,'Table2(II).B-Hs2'!J111:M111)=0,"NO",SUM('Table2(II).B-Hs2'!J98:M98,'Table2(II).B-Hs2'!J111:M111))</f>
        <v>4.1508480533207868</v>
      </c>
      <c r="L28" s="2073" t="s">
        <v>199</v>
      </c>
      <c r="M28" s="2073">
        <f>IF(SUM('Table2(II).B-Hs2'!J99:M99,'Table2(II).B-Hs2'!J112:M112)=0,"NO",SUM('Table2(II).B-Hs2'!J99:M99,'Table2(II).B-Hs2'!J112:M112))</f>
        <v>0.46500891597905009</v>
      </c>
      <c r="N28" s="2073" t="s">
        <v>199</v>
      </c>
      <c r="O28" s="4431">
        <f>IF(SUM('Table2(II).B-Hs2'!J100:M100,'Table2(II).B-Hs2'!J113:M113)=0,"NO",SUM('Table2(II).B-Hs2'!J100:M100,'Table2(II).B-Hs2'!J113:M113))</f>
        <v>0.25374904017962885</v>
      </c>
      <c r="P28" s="2073" t="s">
        <v>199</v>
      </c>
      <c r="Q28" s="2073" t="s">
        <v>199</v>
      </c>
      <c r="R28" s="2073">
        <f>IF(SUM('Table2(II).B-Hs2'!J101:M101,'Table2(II).B-Hs2'!J114:M114)=0,"NO",SUM('Table2(II).B-Hs2'!J101:M101,'Table2(II).B-Hs2'!J114:M114))</f>
        <v>5.3351672252675737E-2</v>
      </c>
      <c r="S28" s="2073" t="s">
        <v>199</v>
      </c>
      <c r="T28" s="2073">
        <f>IF(SUM('Table2(II).B-Hs2'!J102:M102,'Table2(II).B-Hs2'!J115:M115)=0,"NO",SUM('Table2(II).B-Hs2'!J102:M102,'Table2(II).B-Hs2'!J115:M115))</f>
        <v>0.47454296849684469</v>
      </c>
      <c r="U28" s="2073">
        <f>IF(SUM('Table2(II).B-Hs2'!J103:M103,'Table2(II).B-Hs2'!J116:M116)=0,"NO",SUM('Table2(II).B-Hs2'!J103:M103,'Table2(II).B-Hs2'!J116:M116))</f>
        <v>0.64219073146708017</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0.28565037711963209</v>
      </c>
      <c r="D29" s="4431">
        <f>IF(SUM('Table2(II).B-Hs2'!J119:M119)=0,"NO",SUM('Table2(II).B-Hs2'!J119:M119))</f>
        <v>1.268527076424228</v>
      </c>
      <c r="E29" s="2073" t="s">
        <v>199</v>
      </c>
      <c r="F29" s="2073" t="str">
        <f>IF(SUM('Table2(II).B-Hs2'!J120:M120)=0,"NO",SUM('Table2(II).B-Hs2'!J120:M120))</f>
        <v>NO</v>
      </c>
      <c r="G29" s="4431">
        <f>IF(SUM('Table2(II).B-Hs2'!J121:M121)=0,"NO",SUM('Table2(II).B-Hs2'!J121:M121))</f>
        <v>4.0709795122620847</v>
      </c>
      <c r="H29" s="4431">
        <f>IF(SUM('Table2(II).B-Hs2'!J122:M122)=0,"NO",SUM('Table2(II).B-Hs2'!J122:M122))</f>
        <v>1.0029051435109756E-2</v>
      </c>
      <c r="I29" s="4431">
        <f>IF(SUM('Table2(II).B-Hs2'!J123:M123)=0,"NO",SUM('Table2(II).B-Hs2'!J123:M123))</f>
        <v>12.971366077520294</v>
      </c>
      <c r="J29" s="4431" t="s">
        <v>199</v>
      </c>
      <c r="K29" s="4431">
        <f>IF(SUM('Table2(II).B-Hs2'!J124:M124)=0,"NO",SUM('Table2(II).B-Hs2'!J124:M124))</f>
        <v>3.084357441270873</v>
      </c>
      <c r="L29" s="2073" t="s">
        <v>199</v>
      </c>
      <c r="M29" s="2073">
        <f>IF(SUM('Table2(II).B-Hs2'!J125:M125)=0,"NO",SUM('Table2(II).B-Hs2'!J125:M125))</f>
        <v>0.34553269400209546</v>
      </c>
      <c r="N29" s="2073" t="s">
        <v>199</v>
      </c>
      <c r="O29" s="4431">
        <f>IF(SUM('Table2(II).B-Hs2'!J126:M126)=0,"NO",SUM('Table2(II).B-Hs2'!J126:M126))</f>
        <v>0.18855249101860933</v>
      </c>
      <c r="P29" s="2073" t="s">
        <v>199</v>
      </c>
      <c r="Q29" s="2073" t="s">
        <v>199</v>
      </c>
      <c r="R29" s="2073">
        <f>IF(SUM('Table2(II).B-Hs2'!J127:M127)=0,"NO",SUM('Table2(II).B-Hs2'!J127:M127))</f>
        <v>3.9643857159535473E-2</v>
      </c>
      <c r="S29" s="2073" t="s">
        <v>199</v>
      </c>
      <c r="T29" s="2073">
        <f>IF(SUM('Table2(II).B-Hs2'!J128:M128)=0,"NO",SUM('Table2(II).B-Hs2'!J128:M128))</f>
        <v>0.35261713203764367</v>
      </c>
      <c r="U29" s="2073">
        <f>IF(SUM('Table2(II).B-Hs2'!J129:M129)=0,"NO",SUM('Table2(II).B-Hs2'!J129:M129))</f>
        <v>0.47719062125895562</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1.1304841122069618</v>
      </c>
      <c r="D30" s="4431">
        <f>IF(SUM('Table2(II).B-Hs2'!J133:M133)=0,"NO",SUM('Table2(II).B-Hs2'!J133:M133))</f>
        <v>5.0202969107278568</v>
      </c>
      <c r="E30" s="2073" t="s">
        <v>199</v>
      </c>
      <c r="F30" s="2073" t="str">
        <f>IF(SUM('Table2(II).B-Hs2'!J134:M134)=0,"NO",SUM('Table2(II).B-Hs2'!J134:M134))</f>
        <v>NO</v>
      </c>
      <c r="G30" s="4431">
        <f>IF(SUM('Table2(II).B-Hs2'!J135:M135)=0,"NO",SUM('Table2(II).B-Hs2'!J135:M135))</f>
        <v>16.11122556930815</v>
      </c>
      <c r="H30" s="4431">
        <f>IF(SUM('Table2(II).B-Hs2'!J136:M136)=0,"NO",SUM('Table2(II).B-Hs2'!J136:M136))</f>
        <v>3.9690769612216258E-2</v>
      </c>
      <c r="I30" s="4431">
        <f>IF(SUM('Table2(II).B-Hs2'!J137:M137)=0,"NO",SUM('Table2(II).B-Hs2'!J137:M137))</f>
        <v>51.335214089760107</v>
      </c>
      <c r="J30" s="4431" t="s">
        <v>199</v>
      </c>
      <c r="K30" s="4431">
        <f>IF(SUM('Table2(II).B-Hs2'!J138:M138)=0,"NO",SUM('Table2(II).B-Hs2'!J138:M138))</f>
        <v>12.20659016411429</v>
      </c>
      <c r="L30" s="2073" t="s">
        <v>199</v>
      </c>
      <c r="M30" s="2073">
        <f>IF(SUM('Table2(II).B-Hs2'!J139:M139)=0,"NO",SUM('Table2(II).B-Hs2'!J139:M139))</f>
        <v>1.367473149366244</v>
      </c>
      <c r="N30" s="2073" t="s">
        <v>199</v>
      </c>
      <c r="O30" s="4431">
        <f>IF(SUM('Table2(II).B-Hs2'!J140:M140)=0,"NO",SUM('Table2(II).B-Hs2'!J140:M140))</f>
        <v>0.74621149659575925</v>
      </c>
      <c r="P30" s="2073" t="s">
        <v>199</v>
      </c>
      <c r="Q30" s="2073" t="s">
        <v>199</v>
      </c>
      <c r="R30" s="2073">
        <f>IF(SUM('Table2(II).B-Hs2'!J141:M141)=0,"NO",SUM('Table2(II).B-Hs2'!J141:M141))</f>
        <v>0.15689372132944018</v>
      </c>
      <c r="S30" s="2073" t="s">
        <v>199</v>
      </c>
      <c r="T30" s="2073">
        <f>IF(SUM('Table2(II).B-Hs2'!J142:M142)=0,"NO",SUM('Table2(II).B-Hs2'!J142:M142))</f>
        <v>1.3955103769864541</v>
      </c>
      <c r="U30" s="2073">
        <f>IF(SUM('Table2(II).B-Hs2'!J143:M143)=0,"NO",SUM('Table2(II).B-Hs2'!J143:M143))</f>
        <v>1.888519879676166</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0.59954854514914757</v>
      </c>
      <c r="D31" s="4431">
        <f>IF(SUM('Table2(II).B-Hs2'!J148:M148)=0,"NO",SUM('Table2(II).B-Hs2'!J148:M148))</f>
        <v>2.6624980188068417</v>
      </c>
      <c r="E31" s="2073" t="s">
        <v>199</v>
      </c>
      <c r="F31" s="2073" t="str">
        <f>IF(SUM('Table2(II).B-Hs2'!J149:M149)=0,"NO",SUM('Table2(II).B-Hs2'!J149:M149))</f>
        <v>NO</v>
      </c>
      <c r="G31" s="4431">
        <f>IF(SUM('Table2(II).B-Hs2'!J150:M150)=0,"NO",SUM('Table2(II).B-Hs2'!J150:M150))</f>
        <v>8.5445356961195902</v>
      </c>
      <c r="H31" s="4431">
        <f>IF(SUM('Table2(II).B-Hs2'!J151:M151)=0,"NO",SUM('Table2(II).B-Hs2'!J151:M151))</f>
        <v>2.1049869626560254E-2</v>
      </c>
      <c r="I31" s="4431">
        <f>IF(SUM('Table2(II).B-Hs2'!J152:M152)=0,"NO",SUM('Table2(II).B-Hs2'!J152:M152))</f>
        <v>27.225462604998615</v>
      </c>
      <c r="J31" s="4431" t="s">
        <v>199</v>
      </c>
      <c r="K31" s="4431">
        <f>IF(SUM('Table2(II).B-Hs2'!J153:M153)=0,"NO",SUM('Table2(II).B-Hs2'!J153:M153))</f>
        <v>6.4737251015756021</v>
      </c>
      <c r="L31" s="2073" t="s">
        <v>199</v>
      </c>
      <c r="M31" s="2073">
        <f>IF(SUM('Table2(II).B-Hs2'!J154:M154)=0,"NO",SUM('Table2(II).B-Hs2'!J154:M154))</f>
        <v>0.72523490456888318</v>
      </c>
      <c r="N31" s="2073" t="s">
        <v>199</v>
      </c>
      <c r="O31" s="4431">
        <f>IF(SUM('Table2(II).B-Hs2'!J155:M155)=0,"NO",SUM('Table2(II).B-Hs2'!J155:M155))</f>
        <v>0.3957508224367246</v>
      </c>
      <c r="P31" s="2073" t="s">
        <v>199</v>
      </c>
      <c r="Q31" s="2073" t="s">
        <v>199</v>
      </c>
      <c r="R31" s="2073">
        <f>IF(SUM('Table2(II).B-Hs2'!J156:M156)=0,"NO",SUM('Table2(II).B-Hs2'!J156:M156))</f>
        <v>8.3208071082453899E-2</v>
      </c>
      <c r="S31" s="2073" t="s">
        <v>199</v>
      </c>
      <c r="T31" s="2073">
        <f>IF(SUM('Table2(II).B-Hs2'!J157:M157)=0,"NO",SUM('Table2(II).B-Hs2'!J157:M157))</f>
        <v>0.74010435638001582</v>
      </c>
      <c r="U31" s="4493">
        <f>IF(SUM('Table2(II).B-Hs2'!J158:M158)=0,"NO",SUM('Table2(II).B-Hs2'!J158:M158))</f>
        <v>1.0015703309042188</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5.5700505429659781</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4.7969163750478483</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0.77313416791812983</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517.98236288593148</v>
      </c>
      <c r="D39" s="4183">
        <f t="shared" ref="D39:AK39" si="72">IF(SUM(D40:D45)=0,"NO",SUM(D40:D45))</f>
        <v>125.58763894806798</v>
      </c>
      <c r="E39" s="4183" t="str">
        <f t="shared" si="72"/>
        <v>NO</v>
      </c>
      <c r="F39" s="4183" t="str">
        <f t="shared" si="72"/>
        <v>NO</v>
      </c>
      <c r="G39" s="4183">
        <f t="shared" si="72"/>
        <v>1887.1945099186505</v>
      </c>
      <c r="H39" s="4183">
        <f t="shared" si="72"/>
        <v>1.6426172028996102</v>
      </c>
      <c r="I39" s="4183">
        <f t="shared" si="72"/>
        <v>2465.9686663499929</v>
      </c>
      <c r="J39" s="4183" t="str">
        <f t="shared" si="72"/>
        <v>NO</v>
      </c>
      <c r="K39" s="4183">
        <f t="shared" si="72"/>
        <v>2165.0325239219173</v>
      </c>
      <c r="L39" s="4183" t="str">
        <f t="shared" si="72"/>
        <v>NO</v>
      </c>
      <c r="M39" s="4183">
        <f t="shared" si="72"/>
        <v>6.973113242083846</v>
      </c>
      <c r="N39" s="4183" t="str">
        <f t="shared" si="72"/>
        <v>NO</v>
      </c>
      <c r="O39" s="4183">
        <f t="shared" si="72"/>
        <v>92.370983329952054</v>
      </c>
      <c r="P39" s="4183" t="str">
        <f t="shared" si="72"/>
        <v>NO</v>
      </c>
      <c r="Q39" s="4183" t="str">
        <f t="shared" si="72"/>
        <v>NO</v>
      </c>
      <c r="R39" s="4183">
        <f t="shared" si="72"/>
        <v>46.727164718306916</v>
      </c>
      <c r="S39" s="4183" t="str">
        <f t="shared" si="72"/>
        <v>NO</v>
      </c>
      <c r="T39" s="4183">
        <f t="shared" si="72"/>
        <v>44.243470101254672</v>
      </c>
      <c r="U39" s="4183">
        <f t="shared" si="72"/>
        <v>56.105628750992331</v>
      </c>
      <c r="V39" s="4183" t="str">
        <f t="shared" si="72"/>
        <v>NO</v>
      </c>
      <c r="W39" s="4183">
        <f t="shared" si="72"/>
        <v>7409.8286793700499</v>
      </c>
      <c r="X39" s="4183">
        <f t="shared" si="72"/>
        <v>229.07983776479983</v>
      </c>
      <c r="Y39" s="4183">
        <f t="shared" si="72"/>
        <v>41.821044966521768</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270.90088273132159</v>
      </c>
      <c r="AI39" s="4184" t="str">
        <f t="shared" si="72"/>
        <v>NO</v>
      </c>
      <c r="AJ39" s="4184">
        <f t="shared" si="72"/>
        <v>130.8961877597005</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229.07983776479983</v>
      </c>
      <c r="Y41" s="4186">
        <f>IF(SUM(Y16)=0,"NO",Y16*11100/1000)</f>
        <v>41.821044966521768</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270.90088273132159</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517.98236288593148</v>
      </c>
      <c r="D43" s="4186">
        <f>IF(SUM(D26)=0,"NO",D26*677/1000)</f>
        <v>125.58763894806798</v>
      </c>
      <c r="E43" s="4186" t="str">
        <f>IF(SUM(E26)=0,"NO",E26*116/1000)</f>
        <v>NO</v>
      </c>
      <c r="F43" s="4186" t="str">
        <f>IF(SUM(F26)=0,"NO",F26*1650/1000)</f>
        <v>NO</v>
      </c>
      <c r="G43" s="4186">
        <f>IF(SUM(G26)=0,"NO",G26*3170/1000)</f>
        <v>1887.1945099186505</v>
      </c>
      <c r="H43" s="4186">
        <f>IF(SUM(H26)=0,"NO",H26*1120/1000)</f>
        <v>1.6426172028996102</v>
      </c>
      <c r="I43" s="4186">
        <f>IF(SUM(I26)=0,"NO",I26*1300/1000)</f>
        <v>2465.9686663499929</v>
      </c>
      <c r="J43" s="4186" t="str">
        <f>IF(SUM(J26)=0,"NO",J26*328/1000)</f>
        <v>NO</v>
      </c>
      <c r="K43" s="4186">
        <f>IF(SUM(K26)=0,"NO",K26*4800/1000)</f>
        <v>2165.0325239219173</v>
      </c>
      <c r="L43" s="4186" t="str">
        <f>IF(SUM(L26)=0,"NO",L26*16/1000)</f>
        <v>NO</v>
      </c>
      <c r="M43" s="4186">
        <f>IF(SUM(M26)=0,"NO",M26*138/1000)</f>
        <v>6.973113242083846</v>
      </c>
      <c r="N43" s="4186" t="str">
        <f>IF(SUM(N26)=0,"NO",N26*4/1000)</f>
        <v>NO</v>
      </c>
      <c r="O43" s="4186">
        <f>IF(SUM(O26)=0,"NO",O26*3350/1000)</f>
        <v>92.370983329952054</v>
      </c>
      <c r="P43" s="4186" t="str">
        <f>IF(SUM(P26)=0,"NO",P26*1210/1000)</f>
        <v>NO</v>
      </c>
      <c r="Q43" s="4186" t="str">
        <f>IF(SUM(Q26)=0,"NO",Q26*1330/1000)</f>
        <v>NO</v>
      </c>
      <c r="R43" s="4186">
        <f>IF(SUM(R26)=0,"NO",R26*8060/1000)</f>
        <v>46.727164718306916</v>
      </c>
      <c r="S43" s="4186" t="str">
        <f>IF(SUM(S26)=0,"NO",S26*716/1000)</f>
        <v>NO</v>
      </c>
      <c r="T43" s="4186">
        <f>IF(SUM(T26)=0,"NO",T26*858/1000)</f>
        <v>44.243470101254672</v>
      </c>
      <c r="U43" s="4186">
        <f>IF(SUM(U26)=0,"NO",U26*804/1000)</f>
        <v>56.105628750992331</v>
      </c>
      <c r="V43" s="4186" t="str">
        <f>IF(SUM(V26)=0,"NO",V26*1/1000)</f>
        <v>NO</v>
      </c>
      <c r="W43" s="4186">
        <f t="shared" si="73"/>
        <v>7409.8286793700499</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130.8961877597005</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80"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6453.9523771024305</v>
      </c>
      <c r="I10" s="615"/>
      <c r="J10" s="615"/>
      <c r="K10" s="3161" t="str">
        <f>IF(SUM(K11:K14)=0,"NO",SUM(K11:K14))</f>
        <v>NO</v>
      </c>
      <c r="L10" s="3161" t="str">
        <f>IF(SUM(L11:L14)=0,"NO",SUM(L11:L14))</f>
        <v>NO</v>
      </c>
      <c r="M10" s="615"/>
      <c r="N10" s="1842"/>
    </row>
    <row r="11" spans="2:14" ht="18" customHeight="1" x14ac:dyDescent="0.2">
      <c r="B11" s="286" t="s">
        <v>748</v>
      </c>
      <c r="C11" s="2126" t="s">
        <v>749</v>
      </c>
      <c r="D11" s="699">
        <v>6373.8149999999996</v>
      </c>
      <c r="E11" s="1938">
        <f>IF(SUM($D11)=0,"NA",H11/$D11)</f>
        <v>0.54842071378601365</v>
      </c>
      <c r="F11" s="615"/>
      <c r="G11" s="615"/>
      <c r="H11" s="3149">
        <v>3495.53217184</v>
      </c>
      <c r="I11" s="615"/>
      <c r="J11" s="615"/>
      <c r="K11" s="3149" t="s">
        <v>199</v>
      </c>
      <c r="L11" s="699" t="s">
        <v>199</v>
      </c>
      <c r="M11" s="615"/>
      <c r="N11" s="1842"/>
    </row>
    <row r="12" spans="2:14" ht="18" customHeight="1" x14ac:dyDescent="0.2">
      <c r="B12" s="286" t="s">
        <v>750</v>
      </c>
      <c r="C12" s="2127" t="s">
        <v>751</v>
      </c>
      <c r="D12" s="699">
        <v>1633.8130000000001</v>
      </c>
      <c r="E12" s="1938">
        <f>IF(SUM($D12)=0,"NA",H12/$D12)</f>
        <v>0.76136818665152861</v>
      </c>
      <c r="F12" s="615"/>
      <c r="G12" s="615"/>
      <c r="H12" s="3149">
        <v>1243.933241137694</v>
      </c>
      <c r="I12" s="615"/>
      <c r="J12" s="615"/>
      <c r="K12" s="3149" t="s">
        <v>199</v>
      </c>
      <c r="L12" s="699" t="s">
        <v>199</v>
      </c>
      <c r="M12" s="615"/>
      <c r="N12" s="1842"/>
    </row>
    <row r="13" spans="2:14" ht="18" customHeight="1" x14ac:dyDescent="0.2">
      <c r="B13" s="286" t="s">
        <v>752</v>
      </c>
      <c r="C13" s="2127" t="s">
        <v>753</v>
      </c>
      <c r="D13" s="699">
        <v>258.09692999999999</v>
      </c>
      <c r="E13" s="1938">
        <f>IF(SUM($D13)=0,"NA",H13/$D13)</f>
        <v>0.43226290381977811</v>
      </c>
      <c r="F13" s="615"/>
      <c r="G13" s="615"/>
      <c r="H13" s="3149">
        <v>111.56572842877</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1602.9212356959672</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31.220283727390374</v>
      </c>
      <c r="I15" s="615"/>
      <c r="J15" s="615"/>
      <c r="K15" s="3149" t="s">
        <v>199</v>
      </c>
      <c r="L15" s="699" t="s">
        <v>199</v>
      </c>
      <c r="M15" s="615"/>
      <c r="N15" s="1842"/>
    </row>
    <row r="16" spans="2:14" ht="18" customHeight="1" x14ac:dyDescent="0.2">
      <c r="B16" s="160" t="s">
        <v>756</v>
      </c>
      <c r="C16" s="474" t="s">
        <v>757</v>
      </c>
      <c r="D16" s="2917">
        <v>361.10894537717758</v>
      </c>
      <c r="E16" s="1938">
        <f>IF(SUM($D16)=0,"NA",H16/$D16)</f>
        <v>0.41491999999999996</v>
      </c>
      <c r="F16" s="615"/>
      <c r="G16" s="615"/>
      <c r="H16" s="3149">
        <v>149.8313236158985</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1421.8696283526783</v>
      </c>
      <c r="I18" s="615"/>
      <c r="J18" s="615"/>
      <c r="K18" s="3150" t="str">
        <f>K19</f>
        <v>NO</v>
      </c>
      <c r="L18" s="3162" t="str">
        <f>L19</f>
        <v>NO</v>
      </c>
      <c r="M18" s="615"/>
      <c r="N18" s="1842"/>
    </row>
    <row r="19" spans="2:14" ht="18" customHeight="1" x14ac:dyDescent="0.2">
      <c r="B19" s="3151" t="s">
        <v>761</v>
      </c>
      <c r="C19" s="474" t="s">
        <v>753</v>
      </c>
      <c r="D19" s="2917">
        <v>1796.27223</v>
      </c>
      <c r="E19" s="1938">
        <f>IF(SUM($D19)=0,"NA",H19/$D19)</f>
        <v>0.41097695079488034</v>
      </c>
      <c r="F19" s="615"/>
      <c r="G19" s="615"/>
      <c r="H19" s="3149">
        <v>738.22648388291998</v>
      </c>
      <c r="I19" s="615"/>
      <c r="J19" s="615"/>
      <c r="K19" s="3149" t="s">
        <v>199</v>
      </c>
      <c r="L19" s="3149" t="s">
        <v>199</v>
      </c>
      <c r="M19" s="615"/>
      <c r="N19" s="1842"/>
    </row>
    <row r="20" spans="2:14" ht="18" customHeight="1" x14ac:dyDescent="0.2">
      <c r="B20" s="3152" t="s">
        <v>762</v>
      </c>
      <c r="C20" s="474" t="s">
        <v>753</v>
      </c>
      <c r="D20" s="2917">
        <v>601.35474698885582</v>
      </c>
      <c r="E20" s="1938">
        <f>IF(SUM($D20)=0,"NA",H20/$D20)</f>
        <v>0.51253955643162574</v>
      </c>
      <c r="F20" s="615"/>
      <c r="G20" s="615"/>
      <c r="H20" s="3149">
        <v>308.21809527972067</v>
      </c>
      <c r="I20" s="615"/>
      <c r="J20" s="615"/>
      <c r="K20" s="3149" t="s">
        <v>199</v>
      </c>
      <c r="L20" s="3149" t="s">
        <v>199</v>
      </c>
      <c r="M20" s="2161"/>
      <c r="N20" s="2174"/>
    </row>
    <row r="21" spans="2:14" ht="18" customHeight="1" thickBot="1" x14ac:dyDescent="0.25">
      <c r="B21" s="3152" t="s">
        <v>763</v>
      </c>
      <c r="C21" s="474" t="s">
        <v>753</v>
      </c>
      <c r="D21" s="2917">
        <v>860.75237546499989</v>
      </c>
      <c r="E21" s="1938">
        <f>IF(SUM($D21)=0,"NA",H21/$D21)</f>
        <v>0.43615917875012966</v>
      </c>
      <c r="F21" s="615"/>
      <c r="G21" s="615"/>
      <c r="H21" s="3149">
        <v>375.42504919003761</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3536.8966812225599</v>
      </c>
      <c r="I22" s="3046">
        <f>IF(SUM(I23:I26,I30,I33:I35,I47)=0,"IE",SUM(I23:I26,I30,I33:I35,I47))</f>
        <v>0.57776359999999993</v>
      </c>
      <c r="J22" s="3046">
        <f>IF(SUM(J23:J26,J30,J33:J35,J47)=0,"IE",SUM(J23:J26,J30,J33:J35,J47))</f>
        <v>8.5573786003910044</v>
      </c>
      <c r="K22" s="3046">
        <f>IF(SUM(K23:K26,K30,K33:K35,K47)=0,"NO",SUM(K23:K26,K30,K33:K35,K47))</f>
        <v>-188.11279999999999</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1854.9748568678149</v>
      </c>
      <c r="E23" s="1938">
        <f>IF(SUM($D23)=0,"NA",(H23-K23)/$D23)</f>
        <v>1.3610595280327451</v>
      </c>
      <c r="F23" s="1938" t="str">
        <f>IFERROR(IF(SUM($D23)=0,"NA",I23/$D23),"NA")</f>
        <v>NA</v>
      </c>
      <c r="G23" s="1938" t="str">
        <f>IFERROR(IF(SUM($D23)=0,"NA",J23/$D23),"NA")</f>
        <v>NA</v>
      </c>
      <c r="H23" s="699">
        <v>2336.618403201117</v>
      </c>
      <c r="I23" s="699" t="s">
        <v>199</v>
      </c>
      <c r="J23" s="699" t="s">
        <v>199</v>
      </c>
      <c r="K23" s="3149">
        <v>-188.11279999999999</v>
      </c>
      <c r="L23" s="699" t="s">
        <v>199</v>
      </c>
      <c r="M23" s="699" t="s">
        <v>199</v>
      </c>
      <c r="N23" s="2921" t="s">
        <v>199</v>
      </c>
    </row>
    <row r="24" spans="2:14" ht="18" customHeight="1" x14ac:dyDescent="0.2">
      <c r="B24" s="286" t="s">
        <v>766</v>
      </c>
      <c r="C24" s="474" t="s">
        <v>349</v>
      </c>
      <c r="D24" s="699">
        <v>1269.4069999999999</v>
      </c>
      <c r="E24" s="2135"/>
      <c r="F24" s="2135"/>
      <c r="G24" s="1938">
        <f>IF(SUM($D24)=0,"NA",J24/$D24)</f>
        <v>6.7412410679876548E-3</v>
      </c>
      <c r="H24" s="2135"/>
      <c r="I24" s="2135"/>
      <c r="J24" s="699">
        <v>8.5573786003910044</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1030.124462625</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121.85900939644294</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121.85900939644294</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121.85900939644294</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13563.090273006292</v>
      </c>
      <c r="I52" s="3161">
        <f>IF(SUM(I53,I62:I67)=0,"IE",SUM(I53,I62:I67))</f>
        <v>3.3259016335588574</v>
      </c>
      <c r="J52" s="1934">
        <f>J67</f>
        <v>8.2625404574377156E-2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1943.329</v>
      </c>
      <c r="E63" s="4121">
        <f>IF(SUM($D63)=0,"NA",H63/$D63)</f>
        <v>1.6511667979819342</v>
      </c>
      <c r="F63" s="1917"/>
      <c r="G63" s="2134"/>
      <c r="H63" s="699">
        <v>3208.7603223554343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10354.329950650857</v>
      </c>
      <c r="I67" s="3168">
        <f t="shared" ref="I67:N67" si="8">IF(SUM(I69:I70)=0,I70,SUM(I69:I70))</f>
        <v>3.3259016335588574</v>
      </c>
      <c r="J67" s="3168">
        <f t="shared" si="8"/>
        <v>8.2625404574377156E-2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10354.329950650857</v>
      </c>
      <c r="I70" s="3074">
        <f t="shared" si="9"/>
        <v>3.3259016335588574</v>
      </c>
      <c r="J70" s="3074">
        <f t="shared" si="9"/>
        <v>8.2625404574377156E-2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10354.329950650857</v>
      </c>
      <c r="I71" s="3101">
        <v>3.3259016335588574</v>
      </c>
      <c r="J71" s="3101">
        <v>8.2625404574377156E-2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232.16629320999996</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431.80412371134025</v>
      </c>
      <c r="E73" s="4121">
        <f t="shared" ref="E73:G74" si="11">IF(SUM($D73)=0,"NA",H73/$D73)</f>
        <v>0.53766576199999982</v>
      </c>
      <c r="F73" s="276" t="s">
        <v>205</v>
      </c>
      <c r="G73" s="276" t="s">
        <v>205</v>
      </c>
      <c r="H73" s="3100">
        <v>232.16629320999996</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310.95936899999998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261.5775182716128</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261.5775182716128</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4" t="s">
        <v>837</v>
      </c>
      <c r="C135" s="4495"/>
      <c r="D135" s="4495"/>
      <c r="E135" s="4495"/>
      <c r="F135" s="4495"/>
      <c r="G135" s="4495"/>
      <c r="H135" s="4495"/>
      <c r="I135" s="4495"/>
      <c r="J135" s="4495"/>
      <c r="K135" s="4495"/>
      <c r="L135" s="4495"/>
      <c r="M135" s="4495"/>
      <c r="N135" s="4496"/>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30"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38.319673437926397</v>
      </c>
      <c r="H22" s="2628" t="str">
        <f>H23</f>
        <v>NO</v>
      </c>
    </row>
    <row r="23" spans="2:8" ht="18" customHeight="1" x14ac:dyDescent="0.2">
      <c r="B23" s="169" t="s">
        <v>857</v>
      </c>
      <c r="C23" s="2523"/>
      <c r="D23" s="76"/>
      <c r="E23" s="76"/>
      <c r="F23" s="1829"/>
      <c r="G23" s="3157">
        <f>IF(SUM(G24,G27)=0,"NO",SUM(G24,G27))</f>
        <v>38.319673437926397</v>
      </c>
      <c r="H23" s="2628" t="str">
        <f>H24</f>
        <v>NO</v>
      </c>
    </row>
    <row r="24" spans="2:8" ht="18" customHeight="1" x14ac:dyDescent="0.2">
      <c r="B24" s="171" t="s">
        <v>858</v>
      </c>
      <c r="C24" s="2523"/>
      <c r="D24" s="76"/>
      <c r="E24" s="76"/>
      <c r="F24" s="1829"/>
      <c r="G24" s="3157">
        <f>IF(SUM(G25:G26)=0,"NO",SUM(G25:G26))</f>
        <v>38.319673437926397</v>
      </c>
      <c r="H24" s="2628" t="str">
        <f>H25</f>
        <v>NO</v>
      </c>
    </row>
    <row r="25" spans="2:8" ht="18" customHeight="1" x14ac:dyDescent="0.25">
      <c r="B25" s="2626" t="s">
        <v>859</v>
      </c>
      <c r="C25" s="2638" t="s">
        <v>859</v>
      </c>
      <c r="D25" s="73" t="s">
        <v>860</v>
      </c>
      <c r="E25" s="699">
        <v>1943329</v>
      </c>
      <c r="F25" s="4135">
        <f>IF(SUM(E25)=0,"NA",G25*1000/E25)</f>
        <v>1.7779805544625094E-2</v>
      </c>
      <c r="G25" s="699">
        <v>34.552011729230742</v>
      </c>
      <c r="H25" s="2627" t="s">
        <v>199</v>
      </c>
    </row>
    <row r="26" spans="2:8" ht="18" customHeight="1" x14ac:dyDescent="0.25">
      <c r="B26" s="2626" t="s">
        <v>861</v>
      </c>
      <c r="C26" s="2638" t="s">
        <v>861</v>
      </c>
      <c r="D26" s="73" t="s">
        <v>860</v>
      </c>
      <c r="E26" s="699">
        <v>1943329</v>
      </c>
      <c r="F26" s="4135">
        <f>IF(SUM(E26)=0,"NA",G26*1000/E26)</f>
        <v>1.9387667804554218E-3</v>
      </c>
      <c r="G26" s="699">
        <v>3.7676617086956545</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53.483848874043275</v>
      </c>
      <c r="K10" s="3191">
        <f>IF(SUM(K11,K90,K117,K130,K146,K159)=0,"NO",SUM(K11,K90,K117,K130,K146,K159))</f>
        <v>2695.8277777447838</v>
      </c>
      <c r="L10" s="3192">
        <f>IF(SUM(L11,L90,L117,L130,L146,L159)=0,"NO",SUM(L11,L90,L117,L130,L146,L159))</f>
        <v>882.62892024817904</v>
      </c>
      <c r="M10" s="3462">
        <f>IF(SUM(M11,M90,M117,M130,M146,M159)=0,"NO",SUM(M11,M90,M117,M130,M146,M159))</f>
        <v>-254.66853926232554</v>
      </c>
    </row>
    <row r="11" spans="1:13" ht="18" customHeight="1" x14ac:dyDescent="0.2">
      <c r="B11" s="147" t="s">
        <v>888</v>
      </c>
      <c r="C11" s="2524"/>
      <c r="D11" s="150"/>
      <c r="E11" s="150"/>
      <c r="F11" s="150"/>
      <c r="G11" s="150"/>
      <c r="H11" s="150"/>
      <c r="I11" s="150"/>
      <c r="J11" s="3081">
        <f>IF(SUM(J12,J25,J38,J51,J64,J77)=0,"NO",SUM(J12,J25,J38,J51,J64,J77))</f>
        <v>27.77714633363518</v>
      </c>
      <c r="K11" s="3081">
        <f t="shared" ref="K11:M11" si="0">IF(SUM(K12,K25,K38,K51,K64,K77)=0,"NO",SUM(K12,K25,K38,K51,K64,K77))</f>
        <v>2549.8377316443684</v>
      </c>
      <c r="L11" s="3081">
        <f t="shared" si="0"/>
        <v>851.87122788805709</v>
      </c>
      <c r="M11" s="3193">
        <f t="shared" si="0"/>
        <v>-246.25924858767445</v>
      </c>
    </row>
    <row r="12" spans="1:13" ht="18" customHeight="1" x14ac:dyDescent="0.2">
      <c r="B12" s="104" t="s">
        <v>889</v>
      </c>
      <c r="C12" s="2524"/>
      <c r="D12" s="150"/>
      <c r="E12" s="150"/>
      <c r="F12" s="150"/>
      <c r="G12" s="150"/>
      <c r="H12" s="150"/>
      <c r="I12" s="150"/>
      <c r="J12" s="3081">
        <f>IF(SUM(J13:J24)=0,"NO",SUM(J13:J24))</f>
        <v>21.4373530793886</v>
      </c>
      <c r="K12" s="3081">
        <f>IF(SUM(K13:K24)=0,"NO",SUM(K13:K24))</f>
        <v>1519.2552483362454</v>
      </c>
      <c r="L12" s="3081">
        <f>IF(SUM(L13:L24)=0,"NO",SUM(L13:L24))</f>
        <v>315.65720073126965</v>
      </c>
      <c r="M12" s="3193">
        <f>IF(SUM(M13:M24)=0,"NO",SUM(M13:M24))</f>
        <v>-77.803833890496392</v>
      </c>
    </row>
    <row r="13" spans="1:13" ht="18" customHeight="1" x14ac:dyDescent="0.2">
      <c r="B13" s="2634" t="s">
        <v>671</v>
      </c>
      <c r="C13" s="2636" t="s">
        <v>671</v>
      </c>
      <c r="D13" s="3160">
        <v>15.151664983923745</v>
      </c>
      <c r="E13" s="3160">
        <v>129.54226297694061</v>
      </c>
      <c r="F13" s="3160">
        <v>4.8766657628050583</v>
      </c>
      <c r="G13" s="3668">
        <f>IF(SUM(D13)=0,"NA",J13/D13)</f>
        <v>1.7500000000000005E-2</v>
      </c>
      <c r="H13" s="3081">
        <f>IF(SUM(E13)=0,"NA",K13/E13)</f>
        <v>0.14505961240195167</v>
      </c>
      <c r="I13" s="3081">
        <f>IF(SUM(F13)=0,"NA",L13/F13)</f>
        <v>0.8016362712963695</v>
      </c>
      <c r="J13" s="3194">
        <v>0.2651541372186656</v>
      </c>
      <c r="K13" s="3194">
        <v>18.791350457106699</v>
      </c>
      <c r="L13" s="3194">
        <v>3.9093121584537123</v>
      </c>
      <c r="M13" s="3460">
        <v>-0.96735360435134643</v>
      </c>
    </row>
    <row r="14" spans="1:13" ht="18" customHeight="1" x14ac:dyDescent="0.2">
      <c r="B14" s="2634" t="s">
        <v>672</v>
      </c>
      <c r="C14" s="2636" t="s">
        <v>672</v>
      </c>
      <c r="D14" s="3160">
        <v>67.286091055873385</v>
      </c>
      <c r="E14" s="3160">
        <v>575.27621627712915</v>
      </c>
      <c r="F14" s="3160">
        <v>21.656483093661091</v>
      </c>
      <c r="G14" s="3668">
        <f t="shared" ref="G14:G24" si="1">IF(SUM(D14)=0,"NA",J14/D14)</f>
        <v>1.7500000000000005E-2</v>
      </c>
      <c r="H14" s="3081">
        <f t="shared" ref="H14:H24" si="2">IF(SUM(E14)=0,"NA",K14/E14)</f>
        <v>0.14505961240195167</v>
      </c>
      <c r="I14" s="3081">
        <f t="shared" ref="I14:I24" si="3">IF(SUM(F14)=0,"NA",L14/F14)</f>
        <v>0.8016362712963695</v>
      </c>
      <c r="J14" s="3194">
        <v>1.1775065934777846</v>
      </c>
      <c r="K14" s="3194">
        <v>83.449344957221683</v>
      </c>
      <c r="L14" s="3194">
        <v>17.360622356595343</v>
      </c>
      <c r="M14" s="3460">
        <v>-4.2958607370657527</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215.93571255948157</v>
      </c>
      <c r="E16" s="3160">
        <v>1846.1866000979553</v>
      </c>
      <c r="F16" s="3160">
        <v>69.500368277878593</v>
      </c>
      <c r="G16" s="3668">
        <f t="shared" si="1"/>
        <v>1.7500000000000005E-2</v>
      </c>
      <c r="H16" s="3081">
        <f t="shared" si="2"/>
        <v>0.14505961240195167</v>
      </c>
      <c r="I16" s="3081">
        <f t="shared" si="3"/>
        <v>0.80163627129636972</v>
      </c>
      <c r="J16" s="3194">
        <v>3.7788749697909285</v>
      </c>
      <c r="K16" s="3194">
        <v>267.80711263188635</v>
      </c>
      <c r="L16" s="3194">
        <v>55.714016080003091</v>
      </c>
      <c r="M16" s="3460">
        <v>-13.786352197875528</v>
      </c>
    </row>
    <row r="17" spans="2:13" ht="18" customHeight="1" x14ac:dyDescent="0.2">
      <c r="B17" s="2634" t="s">
        <v>676</v>
      </c>
      <c r="C17" s="2636" t="s">
        <v>676</v>
      </c>
      <c r="D17" s="3160">
        <v>0.5319678866997688</v>
      </c>
      <c r="E17" s="3160">
        <v>4.5481683991341084</v>
      </c>
      <c r="F17" s="3160">
        <v>0.17121745911971109</v>
      </c>
      <c r="G17" s="3668">
        <f t="shared" si="1"/>
        <v>1.7500000000000002E-2</v>
      </c>
      <c r="H17" s="3081">
        <f t="shared" si="2"/>
        <v>0.14505961240195167</v>
      </c>
      <c r="I17" s="3081">
        <f t="shared" si="3"/>
        <v>0.80163627129636994</v>
      </c>
      <c r="J17" s="3194">
        <v>9.3094380172459544E-3</v>
      </c>
      <c r="K17" s="3194">
        <v>0.65975554511719881</v>
      </c>
      <c r="L17" s="3194">
        <v>0.13725412550956384</v>
      </c>
      <c r="M17" s="3460">
        <v>-3.3963333610147348E-2</v>
      </c>
    </row>
    <row r="18" spans="2:13" ht="18" customHeight="1" x14ac:dyDescent="0.2">
      <c r="B18" s="2634" t="s">
        <v>677</v>
      </c>
      <c r="C18" s="2636" t="s">
        <v>677</v>
      </c>
      <c r="D18" s="3160">
        <v>688.03617615428277</v>
      </c>
      <c r="E18" s="3160">
        <v>5882.5062040109387</v>
      </c>
      <c r="F18" s="3160">
        <v>221.44909271574923</v>
      </c>
      <c r="G18" s="3668">
        <f t="shared" si="1"/>
        <v>1.7500000000000002E-2</v>
      </c>
      <c r="H18" s="3081">
        <f t="shared" si="2"/>
        <v>0.14505961240195167</v>
      </c>
      <c r="I18" s="3081">
        <f t="shared" si="3"/>
        <v>0.80163627129636983</v>
      </c>
      <c r="J18" s="3194">
        <v>12.04063308269995</v>
      </c>
      <c r="K18" s="3194">
        <v>853.31406990590278</v>
      </c>
      <c r="L18" s="3194">
        <v>177.52162496661731</v>
      </c>
      <c r="M18" s="3460">
        <v>-43.927467749132028</v>
      </c>
    </row>
    <row r="19" spans="2:13" ht="18" customHeight="1" x14ac:dyDescent="0.2">
      <c r="B19" s="2634" t="s">
        <v>679</v>
      </c>
      <c r="C19" s="2636" t="s">
        <v>679</v>
      </c>
      <c r="D19" s="3160">
        <v>163.60262189059318</v>
      </c>
      <c r="E19" s="3160">
        <v>1398.7541231379478</v>
      </c>
      <c r="F19" s="3160">
        <v>52.656609404017182</v>
      </c>
      <c r="G19" s="3668">
        <f t="shared" si="1"/>
        <v>1.7500000000000005E-2</v>
      </c>
      <c r="H19" s="3081">
        <f t="shared" si="2"/>
        <v>0.14505961240195164</v>
      </c>
      <c r="I19" s="3081">
        <f t="shared" si="3"/>
        <v>0.80163627129636983</v>
      </c>
      <c r="J19" s="3194">
        <v>2.8630458830853813</v>
      </c>
      <c r="K19" s="3194">
        <v>202.90273094802245</v>
      </c>
      <c r="L19" s="3194">
        <v>42.211448021745696</v>
      </c>
      <c r="M19" s="3460">
        <v>-10.445161382271511</v>
      </c>
    </row>
    <row r="20" spans="2:13" ht="18" customHeight="1" x14ac:dyDescent="0.2">
      <c r="B20" s="2634" t="s">
        <v>681</v>
      </c>
      <c r="C20" s="2636" t="s">
        <v>681</v>
      </c>
      <c r="D20" s="3160">
        <v>18.32798427680623</v>
      </c>
      <c r="E20" s="3160">
        <v>156.69885531011911</v>
      </c>
      <c r="F20" s="3160">
        <v>5.8989855912709235</v>
      </c>
      <c r="G20" s="3668">
        <f t="shared" si="1"/>
        <v>1.7500000000000002E-2</v>
      </c>
      <c r="H20" s="3081">
        <f t="shared" si="2"/>
        <v>0.14505961240195167</v>
      </c>
      <c r="I20" s="3081">
        <f t="shared" si="3"/>
        <v>0.78143274562734089</v>
      </c>
      <c r="J20" s="3194">
        <v>0.32073972484410906</v>
      </c>
      <c r="K20" s="3194">
        <v>22.730675215115387</v>
      </c>
      <c r="L20" s="3194">
        <v>4.6096605070029604</v>
      </c>
      <c r="M20" s="3460">
        <v>-1.050964470639018</v>
      </c>
    </row>
    <row r="21" spans="2:13" ht="18" customHeight="1" x14ac:dyDescent="0.2">
      <c r="B21" s="2634" t="s">
        <v>683</v>
      </c>
      <c r="C21" s="2636" t="s">
        <v>683</v>
      </c>
      <c r="D21" s="3160">
        <v>10.001331713984676</v>
      </c>
      <c r="E21" s="3160">
        <v>85.508433851149334</v>
      </c>
      <c r="F21" s="3160">
        <v>3.2189961963780811</v>
      </c>
      <c r="G21" s="3668">
        <f t="shared" si="1"/>
        <v>1.7500000000000005E-2</v>
      </c>
      <c r="H21" s="3081">
        <f t="shared" si="2"/>
        <v>0.14505961240195164</v>
      </c>
      <c r="I21" s="3081">
        <f t="shared" si="3"/>
        <v>0.80163627129636994</v>
      </c>
      <c r="J21" s="3194">
        <v>0.1750233049947319</v>
      </c>
      <c r="K21" s="3194">
        <v>12.403820271545644</v>
      </c>
      <c r="L21" s="3194">
        <v>2.5804641081817223</v>
      </c>
      <c r="M21" s="3460">
        <v>-0.63853208819636065</v>
      </c>
    </row>
    <row r="22" spans="2:13" ht="18" customHeight="1" x14ac:dyDescent="0.2">
      <c r="B22" s="2634" t="s">
        <v>686</v>
      </c>
      <c r="C22" s="2636" t="s">
        <v>686</v>
      </c>
      <c r="D22" s="3160">
        <v>2.102816906487905</v>
      </c>
      <c r="E22" s="3160">
        <v>15.120001508644417</v>
      </c>
      <c r="F22" s="3160">
        <v>0.67680583118737869</v>
      </c>
      <c r="G22" s="3668">
        <f t="shared" si="1"/>
        <v>1.7500000000000005E-2</v>
      </c>
      <c r="H22" s="3081">
        <f t="shared" si="2"/>
        <v>0.1724833817972049</v>
      </c>
      <c r="I22" s="3081">
        <f t="shared" si="3"/>
        <v>0.80163627129636938</v>
      </c>
      <c r="J22" s="3194">
        <v>3.6799295863538348E-2</v>
      </c>
      <c r="K22" s="3194">
        <v>2.6079489929898294</v>
      </c>
      <c r="L22" s="3194">
        <v>0.54255210290469025</v>
      </c>
      <c r="M22" s="3460">
        <v>-0.13425372828268842</v>
      </c>
    </row>
    <row r="23" spans="2:13" ht="18" customHeight="1" x14ac:dyDescent="0.2">
      <c r="B23" s="2634" t="s">
        <v>688</v>
      </c>
      <c r="C23" s="2636" t="s">
        <v>688</v>
      </c>
      <c r="D23" s="3160">
        <v>18.703761941783853</v>
      </c>
      <c r="E23" s="3160">
        <v>159.91164341948149</v>
      </c>
      <c r="F23" s="3160">
        <v>6.0199321720702983</v>
      </c>
      <c r="G23" s="3668">
        <f t="shared" si="1"/>
        <v>1.7500000000000009E-2</v>
      </c>
      <c r="H23" s="3081">
        <f t="shared" si="2"/>
        <v>0.14505961240195164</v>
      </c>
      <c r="I23" s="3081">
        <f t="shared" si="3"/>
        <v>0.78143274562734166</v>
      </c>
      <c r="J23" s="3194">
        <v>0.32731583398121755</v>
      </c>
      <c r="K23" s="3194">
        <v>23.196721012989087</v>
      </c>
      <c r="L23" s="3194">
        <v>4.7041721257112599</v>
      </c>
      <c r="M23" s="3460">
        <v>-1.0725123380305757</v>
      </c>
    </row>
    <row r="24" spans="2:13" ht="18" customHeight="1" x14ac:dyDescent="0.2">
      <c r="B24" s="2634" t="s">
        <v>689</v>
      </c>
      <c r="C24" s="2636" t="s">
        <v>689</v>
      </c>
      <c r="D24" s="3160">
        <v>25.311475166574247</v>
      </c>
      <c r="E24" s="3160">
        <v>216.40564095376018</v>
      </c>
      <c r="F24" s="3160">
        <v>8.1466693252451812</v>
      </c>
      <c r="G24" s="3668">
        <f t="shared" si="1"/>
        <v>1.7500000000000005E-2</v>
      </c>
      <c r="H24" s="3081">
        <f t="shared" si="2"/>
        <v>0.14505961240195167</v>
      </c>
      <c r="I24" s="3081">
        <f t="shared" si="3"/>
        <v>0.78143274562734022</v>
      </c>
      <c r="J24" s="3194">
        <v>0.44295081541504944</v>
      </c>
      <c r="K24" s="3194">
        <v>31.391718398348374</v>
      </c>
      <c r="L24" s="3194">
        <v>6.3660741785443733</v>
      </c>
      <c r="M24" s="3460">
        <v>-1.4514122610414431</v>
      </c>
    </row>
    <row r="25" spans="2:13" ht="18" customHeight="1" x14ac:dyDescent="0.2">
      <c r="B25" s="105" t="s">
        <v>890</v>
      </c>
      <c r="C25" s="2524"/>
      <c r="D25" s="150"/>
      <c r="E25" s="150"/>
      <c r="F25" s="150"/>
      <c r="G25" s="3669"/>
      <c r="H25" s="2135"/>
      <c r="I25" s="2135"/>
      <c r="J25" s="3081">
        <f>IF(SUM(J26:J37)=0,"NO",SUM(J26:J37))</f>
        <v>3.0725224249421493E-2</v>
      </c>
      <c r="K25" s="3081">
        <f>IF(SUM(K26:K37)=0,"NO",SUM(K26:K37))</f>
        <v>13.470353502784691</v>
      </c>
      <c r="L25" s="3081">
        <f>IF(SUM(L26:L37)=0,"NO",SUM(L26:L37))</f>
        <v>30.464764927014588</v>
      </c>
      <c r="M25" s="3193">
        <f>IF(SUM(M26:M37)=0,"NO",SUM(M26:M37))</f>
        <v>-6.1863376220980442</v>
      </c>
    </row>
    <row r="26" spans="2:13" ht="18" customHeight="1" x14ac:dyDescent="0.2">
      <c r="B26" s="2634" t="s">
        <v>671</v>
      </c>
      <c r="C26" s="2636" t="s">
        <v>671</v>
      </c>
      <c r="D26" s="3461">
        <v>6.3338978903902152E-2</v>
      </c>
      <c r="E26" s="3461">
        <v>9.6077204841240249</v>
      </c>
      <c r="F26" s="3461">
        <v>0.45332982288128454</v>
      </c>
      <c r="G26" s="3668">
        <f>IF(SUM(D26)=0,"NA",J26/D26)</f>
        <v>5.9999999999999993E-3</v>
      </c>
      <c r="H26" s="3081">
        <f>IF(SUM(E26)=0,"NA",K26/E26)</f>
        <v>1.7341468853632788E-2</v>
      </c>
      <c r="I26" s="3081">
        <f>IF(SUM(F26)=0,"NA",L26/F26)</f>
        <v>0.83121005394562619</v>
      </c>
      <c r="J26" s="3194">
        <v>3.8003387342341286E-4</v>
      </c>
      <c r="K26" s="3194">
        <v>0.16661198552984652</v>
      </c>
      <c r="L26" s="3194">
        <v>0.37681230653231368</v>
      </c>
      <c r="M26" s="3460">
        <v>-7.6517516348970846E-2</v>
      </c>
    </row>
    <row r="27" spans="2:13" ht="18" customHeight="1" x14ac:dyDescent="0.2">
      <c r="B27" s="2634" t="s">
        <v>672</v>
      </c>
      <c r="C27" s="2636" t="s">
        <v>672</v>
      </c>
      <c r="D27" s="3461">
        <v>0.28127815038386228</v>
      </c>
      <c r="E27" s="3461">
        <v>42.666331127309377</v>
      </c>
      <c r="F27" s="3461">
        <v>2.0131643468290257</v>
      </c>
      <c r="G27" s="3668">
        <f t="shared" ref="G27:G37" si="7">IF(SUM(D27)=0,"NA",J27/D27)</f>
        <v>6.0000000000000001E-3</v>
      </c>
      <c r="H27" s="3081">
        <f t="shared" ref="H27:H37" si="8">IF(SUM(E27)=0,"NA",K27/E27)</f>
        <v>1.7341468853632785E-2</v>
      </c>
      <c r="I27" s="3081">
        <f t="shared" ref="I27:I37" si="9">IF(SUM(F27)=0,"NA",L27/F27)</f>
        <v>0.8312100539456263</v>
      </c>
      <c r="J27" s="3194">
        <v>1.6876689023031736E-3</v>
      </c>
      <c r="K27" s="3194">
        <v>0.73989685234301861</v>
      </c>
      <c r="L27" s="3194">
        <v>1.673362445329166</v>
      </c>
      <c r="M27" s="3460">
        <v>-0.33980190149985995</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0.90268281122344241</v>
      </c>
      <c r="E29" s="3461">
        <v>136.92554389322223</v>
      </c>
      <c r="F29" s="3461">
        <v>6.4606826003741062</v>
      </c>
      <c r="G29" s="3668">
        <f t="shared" si="7"/>
        <v>6.0000000000000001E-3</v>
      </c>
      <c r="H29" s="3081">
        <f t="shared" si="8"/>
        <v>1.7341468853632785E-2</v>
      </c>
      <c r="I29" s="3081">
        <f t="shared" si="9"/>
        <v>0.83121005394562608</v>
      </c>
      <c r="J29" s="3194">
        <v>5.4160968673406546E-3</v>
      </c>
      <c r="K29" s="3194">
        <v>2.3744900546910421</v>
      </c>
      <c r="L29" s="3194">
        <v>5.3701843327825287</v>
      </c>
      <c r="M29" s="3460">
        <v>-1.0904982675915771</v>
      </c>
    </row>
    <row r="30" spans="2:13" ht="18" customHeight="1" x14ac:dyDescent="0.2">
      <c r="B30" s="2634" t="s">
        <v>676</v>
      </c>
      <c r="C30" s="2636" t="s">
        <v>676</v>
      </c>
      <c r="D30" s="3461">
        <v>2.2238019906710227E-3</v>
      </c>
      <c r="E30" s="3461">
        <v>0.33732258252571057</v>
      </c>
      <c r="F30" s="3461">
        <v>1.5916198524189271E-2</v>
      </c>
      <c r="G30" s="3668">
        <f t="shared" si="7"/>
        <v>6.000000000000001E-3</v>
      </c>
      <c r="H30" s="3081">
        <f t="shared" si="8"/>
        <v>1.7341468853632788E-2</v>
      </c>
      <c r="I30" s="3081">
        <f t="shared" si="9"/>
        <v>0.8312100539456263</v>
      </c>
      <c r="J30" s="3194">
        <v>1.3342811944026138E-5</v>
      </c>
      <c r="K30" s="3194">
        <v>5.8496690584965861E-3</v>
      </c>
      <c r="L30" s="3194">
        <v>1.3229704233900663E-2</v>
      </c>
      <c r="M30" s="3460">
        <v>-2.6864942902886115E-3</v>
      </c>
    </row>
    <row r="31" spans="2:13" ht="18" customHeight="1" x14ac:dyDescent="0.2">
      <c r="B31" s="2634" t="s">
        <v>677</v>
      </c>
      <c r="C31" s="2636" t="s">
        <v>677</v>
      </c>
      <c r="D31" s="3461">
        <v>2.8762191411172595</v>
      </c>
      <c r="E31" s="3461">
        <v>436.28599698249099</v>
      </c>
      <c r="F31" s="3461">
        <v>20.585679409020585</v>
      </c>
      <c r="G31" s="3668">
        <f t="shared" si="7"/>
        <v>6.000000000000001E-3</v>
      </c>
      <c r="H31" s="3081">
        <f t="shared" si="8"/>
        <v>1.7341468853632788E-2</v>
      </c>
      <c r="I31" s="3081">
        <f t="shared" si="9"/>
        <v>0.83121005394562641</v>
      </c>
      <c r="J31" s="3194">
        <v>1.7257314846703561E-2</v>
      </c>
      <c r="K31" s="3194">
        <v>7.5658400279479956</v>
      </c>
      <c r="L31" s="3194">
        <v>17.111023692079371</v>
      </c>
      <c r="M31" s="3460">
        <v>-3.4746557169412187</v>
      </c>
    </row>
    <row r="32" spans="2:13" ht="18" customHeight="1" x14ac:dyDescent="0.2">
      <c r="B32" s="2634" t="s">
        <v>679</v>
      </c>
      <c r="C32" s="2636" t="s">
        <v>679</v>
      </c>
      <c r="D32" s="3461">
        <v>0.68391315591693203</v>
      </c>
      <c r="E32" s="3461">
        <v>103.74095937723122</v>
      </c>
      <c r="F32" s="3461">
        <v>4.8949041364937846</v>
      </c>
      <c r="G32" s="3668">
        <f t="shared" si="7"/>
        <v>6.000000000000001E-3</v>
      </c>
      <c r="H32" s="3081">
        <f t="shared" si="8"/>
        <v>1.7341468853632785E-2</v>
      </c>
      <c r="I32" s="3081">
        <f t="shared" si="9"/>
        <v>0.83121005394562619</v>
      </c>
      <c r="J32" s="3194">
        <v>4.1034789355015927E-3</v>
      </c>
      <c r="K32" s="3194">
        <v>1.7990206158862392</v>
      </c>
      <c r="L32" s="3194">
        <v>4.0686935313536674</v>
      </c>
      <c r="M32" s="3460">
        <v>-0.82621060514011713</v>
      </c>
    </row>
    <row r="33" spans="2:13" ht="18" customHeight="1" x14ac:dyDescent="0.2">
      <c r="B33" s="2634" t="s">
        <v>681</v>
      </c>
      <c r="C33" s="2636" t="s">
        <v>681</v>
      </c>
      <c r="D33" s="3461">
        <v>7.6617045763049479E-2</v>
      </c>
      <c r="E33" s="3461">
        <v>11.621834970335595</v>
      </c>
      <c r="F33" s="3461">
        <v>0.5483636204200113</v>
      </c>
      <c r="G33" s="3668">
        <f t="shared" si="7"/>
        <v>6.000000000000001E-3</v>
      </c>
      <c r="H33" s="3081">
        <f t="shared" si="8"/>
        <v>1.7341468853632788E-2</v>
      </c>
      <c r="I33" s="3081">
        <f t="shared" si="9"/>
        <v>0.83121005394562619</v>
      </c>
      <c r="J33" s="3194">
        <v>4.5970227457829693E-4</v>
      </c>
      <c r="K33" s="3194">
        <v>0.20153968916013504</v>
      </c>
      <c r="L33" s="3194">
        <v>0.45580535451113646</v>
      </c>
      <c r="M33" s="3460">
        <v>-9.2558265908874823E-2</v>
      </c>
    </row>
    <row r="34" spans="2:13" ht="18" customHeight="1" x14ac:dyDescent="0.2">
      <c r="B34" s="2634" t="s">
        <v>683</v>
      </c>
      <c r="C34" s="2636" t="s">
        <v>683</v>
      </c>
      <c r="D34" s="3461">
        <v>4.1808879691778635E-2</v>
      </c>
      <c r="E34" s="3461">
        <v>6.3418772576428708</v>
      </c>
      <c r="F34" s="3461">
        <v>0.29923456856313935</v>
      </c>
      <c r="G34" s="3668">
        <f t="shared" si="7"/>
        <v>6.0000000000000001E-3</v>
      </c>
      <c r="H34" s="3081">
        <f t="shared" si="8"/>
        <v>1.7341468853632785E-2</v>
      </c>
      <c r="I34" s="3081">
        <f t="shared" si="9"/>
        <v>0.83121005394562619</v>
      </c>
      <c r="J34" s="3194">
        <v>2.5085327815067181E-4</v>
      </c>
      <c r="K34" s="3194">
        <v>0.10997746693697595</v>
      </c>
      <c r="L34" s="3194">
        <v>0.24872678187776323</v>
      </c>
      <c r="M34" s="3460">
        <v>-5.0507786685376109E-2</v>
      </c>
    </row>
    <row r="35" spans="2:13" ht="18" customHeight="1" x14ac:dyDescent="0.2">
      <c r="B35" s="2634" t="s">
        <v>686</v>
      </c>
      <c r="C35" s="2636" t="s">
        <v>686</v>
      </c>
      <c r="D35" s="3461">
        <v>8.7904712663673615E-3</v>
      </c>
      <c r="E35" s="3461">
        <v>1.3334031004686473</v>
      </c>
      <c r="F35" s="3461">
        <v>6.2915172476514819E-2</v>
      </c>
      <c r="G35" s="3668">
        <f t="shared" si="7"/>
        <v>6.000000000000001E-3</v>
      </c>
      <c r="H35" s="3081">
        <f t="shared" si="8"/>
        <v>1.7341468853632788E-2</v>
      </c>
      <c r="I35" s="3081">
        <f t="shared" si="9"/>
        <v>0.8312100539456263</v>
      </c>
      <c r="J35" s="3194">
        <v>5.2742827598204178E-5</v>
      </c>
      <c r="K35" s="3194">
        <v>2.3123168336114438E-2</v>
      </c>
      <c r="L35" s="3194">
        <v>5.2295723908202266E-2</v>
      </c>
      <c r="M35" s="3460">
        <v>-1.0619448568312562E-2</v>
      </c>
    </row>
    <row r="36" spans="2:13" ht="18" customHeight="1" x14ac:dyDescent="0.2">
      <c r="B36" s="2634" t="s">
        <v>688</v>
      </c>
      <c r="C36" s="2636" t="s">
        <v>688</v>
      </c>
      <c r="D36" s="3461">
        <v>7.8187920886003237E-2</v>
      </c>
      <c r="E36" s="3461">
        <v>11.860116820753518</v>
      </c>
      <c r="F36" s="3461">
        <v>0.55960668991024853</v>
      </c>
      <c r="G36" s="3668">
        <f t="shared" si="7"/>
        <v>6.0000000000000019E-3</v>
      </c>
      <c r="H36" s="3081">
        <f t="shared" si="8"/>
        <v>1.7341468853632788E-2</v>
      </c>
      <c r="I36" s="3081">
        <f t="shared" si="9"/>
        <v>0.8312100539456263</v>
      </c>
      <c r="J36" s="3194">
        <v>4.6912752531601953E-4</v>
      </c>
      <c r="K36" s="3194">
        <v>0.20567184644754347</v>
      </c>
      <c r="L36" s="3194">
        <v>0.46515070690863103</v>
      </c>
      <c r="M36" s="3460">
        <v>-9.4455983001617547E-2</v>
      </c>
    </row>
    <row r="37" spans="2:13" ht="18" customHeight="1" x14ac:dyDescent="0.2">
      <c r="B37" s="2634" t="s">
        <v>689</v>
      </c>
      <c r="C37" s="2636" t="s">
        <v>689</v>
      </c>
      <c r="D37" s="3461">
        <v>0.10581035109364703</v>
      </c>
      <c r="E37" s="3461">
        <v>16.050089458770195</v>
      </c>
      <c r="F37" s="3461">
        <v>0.75730598361973944</v>
      </c>
      <c r="G37" s="3668">
        <f t="shared" si="7"/>
        <v>6.000000000000001E-3</v>
      </c>
      <c r="H37" s="3081">
        <f t="shared" si="8"/>
        <v>1.7341468853632788E-2</v>
      </c>
      <c r="I37" s="3081">
        <f t="shared" si="9"/>
        <v>0.83121005394562619</v>
      </c>
      <c r="J37" s="3194">
        <v>6.3486210656188229E-4</v>
      </c>
      <c r="K37" s="3194">
        <v>0.27833212644728328</v>
      </c>
      <c r="L37" s="3194">
        <v>0.62948034749790915</v>
      </c>
      <c r="M37" s="3460">
        <v>-0.12782563612183034</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5.1688675500527781</v>
      </c>
      <c r="K51" s="3081">
        <f>IF(SUM(K52:K63)=0,"NO",SUM(K52:K63))</f>
        <v>130.73498568292325</v>
      </c>
      <c r="L51" s="3081">
        <f>IF(SUM(L52:L63)=0,"NO",SUM(L52:L63))</f>
        <v>49.289636649974334</v>
      </c>
      <c r="M51" s="3193">
        <f>IF(SUM(M52:M63)=0,"NO",SUM(M52:M63))</f>
        <v>-11.677185869339739</v>
      </c>
    </row>
    <row r="52" spans="2:13" ht="18" customHeight="1" x14ac:dyDescent="0.2">
      <c r="B52" s="2634" t="s">
        <v>671</v>
      </c>
      <c r="C52" s="2636" t="s">
        <v>671</v>
      </c>
      <c r="D52" s="3461">
        <v>1.2535812118261012</v>
      </c>
      <c r="E52" s="3461">
        <v>7.1254563369144508</v>
      </c>
      <c r="F52" s="3461">
        <v>0.75408587824282247</v>
      </c>
      <c r="G52" s="3081">
        <f>IF(SUM(D52)=0,"NA",J52/D52)</f>
        <v>5.0999999999999997E-2</v>
      </c>
      <c r="H52" s="3081">
        <f>IF(SUM(E52)=0,"NA",K52/E52)</f>
        <v>0.22693756328060866</v>
      </c>
      <c r="I52" s="3081">
        <f>IF(SUM(F52)=0,"NA",L52/F52)</f>
        <v>0.80846654972644427</v>
      </c>
      <c r="J52" s="3194">
        <v>6.3932641803131157E-2</v>
      </c>
      <c r="K52" s="3194">
        <v>1.617033698361737</v>
      </c>
      <c r="L52" s="3194">
        <v>0.60965320818041024</v>
      </c>
      <c r="M52" s="3460">
        <v>-0.14443267006241231</v>
      </c>
    </row>
    <row r="53" spans="2:13" ht="18" customHeight="1" x14ac:dyDescent="0.2">
      <c r="B53" s="2634" t="s">
        <v>672</v>
      </c>
      <c r="C53" s="2636" t="s">
        <v>672</v>
      </c>
      <c r="D53" s="3461">
        <v>5.5669512000403172</v>
      </c>
      <c r="E53" s="3461">
        <v>31.642997941742813</v>
      </c>
      <c r="F53" s="3461">
        <v>3.3487732946333315</v>
      </c>
      <c r="G53" s="3081">
        <f t="shared" ref="G53:G63" si="39">IF(SUM(D53)=0,"NA",J53/D53)</f>
        <v>5.099999999999999E-2</v>
      </c>
      <c r="H53" s="3081">
        <f t="shared" ref="H53:H63" si="40">IF(SUM(E53)=0,"NA",K53/E53)</f>
        <v>0.22693756328060868</v>
      </c>
      <c r="I53" s="3081">
        <f t="shared" ref="I53:I63" si="41">IF(SUM(F53)=0,"NA",L53/F53)</f>
        <v>0.80846654972644461</v>
      </c>
      <c r="J53" s="3194">
        <v>0.28391451120205613</v>
      </c>
      <c r="K53" s="3194">
        <v>7.1809848477924296</v>
      </c>
      <c r="L53" s="3194">
        <v>2.7073711913282681</v>
      </c>
      <c r="M53" s="3460">
        <v>-0.64140210330506486</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17.865558175557524</v>
      </c>
      <c r="E55" s="3461">
        <v>101.5492682194087</v>
      </c>
      <c r="F55" s="3461">
        <v>10.746942439802947</v>
      </c>
      <c r="G55" s="3081">
        <f t="shared" si="39"/>
        <v>5.1000000000000004E-2</v>
      </c>
      <c r="H55" s="3081">
        <f t="shared" si="40"/>
        <v>0.22693756328060866</v>
      </c>
      <c r="I55" s="3081">
        <f t="shared" si="41"/>
        <v>0.80846654972644449</v>
      </c>
      <c r="J55" s="3194">
        <v>0.91114346695343373</v>
      </c>
      <c r="K55" s="3194">
        <v>23.045343482641563</v>
      </c>
      <c r="L55" s="3194">
        <v>8.6885434744161856</v>
      </c>
      <c r="M55" s="3460">
        <v>-2.0583989653867647</v>
      </c>
    </row>
    <row r="56" spans="2:13" ht="18" customHeight="1" x14ac:dyDescent="0.2">
      <c r="B56" s="2634" t="s">
        <v>676</v>
      </c>
      <c r="C56" s="2636" t="s">
        <v>676</v>
      </c>
      <c r="D56" s="3461">
        <v>4.4012651333647144E-2</v>
      </c>
      <c r="E56" s="3461">
        <v>0.25017144672494246</v>
      </c>
      <c r="F56" s="3461">
        <v>2.6475603272947359E-2</v>
      </c>
      <c r="G56" s="3081">
        <f t="shared" si="39"/>
        <v>5.0999999999999997E-2</v>
      </c>
      <c r="H56" s="3081">
        <f t="shared" si="40"/>
        <v>0.22693756328060866</v>
      </c>
      <c r="I56" s="3081">
        <f t="shared" si="41"/>
        <v>0.80846654972644472</v>
      </c>
      <c r="J56" s="3194">
        <v>2.2446452180160041E-3</v>
      </c>
      <c r="K56" s="3194">
        <v>5.6773298522143044E-2</v>
      </c>
      <c r="L56" s="3194">
        <v>2.1404639630005919E-2</v>
      </c>
      <c r="M56" s="3460">
        <v>-5.0709636429414548E-3</v>
      </c>
    </row>
    <row r="57" spans="2:13" ht="18" customHeight="1" x14ac:dyDescent="0.2">
      <c r="B57" s="2634" t="s">
        <v>677</v>
      </c>
      <c r="C57" s="2636" t="s">
        <v>677</v>
      </c>
      <c r="D57" s="3461">
        <v>56.925045821619214</v>
      </c>
      <c r="E57" s="3461">
        <v>323.56653454301284</v>
      </c>
      <c r="F57" s="3461">
        <v>34.242993407565088</v>
      </c>
      <c r="G57" s="3081">
        <f t="shared" si="39"/>
        <v>5.1000000000000004E-2</v>
      </c>
      <c r="H57" s="3081">
        <f t="shared" si="40"/>
        <v>0.22693756328060863</v>
      </c>
      <c r="I57" s="3081">
        <f t="shared" si="41"/>
        <v>0.80846654972644472</v>
      </c>
      <c r="J57" s="3194">
        <v>2.90317733690258</v>
      </c>
      <c r="K57" s="3194">
        <v>73.429400908342217</v>
      </c>
      <c r="L57" s="3194">
        <v>27.684314732519539</v>
      </c>
      <c r="M57" s="3460">
        <v>-6.5586786750455675</v>
      </c>
    </row>
    <row r="58" spans="2:13" ht="18" customHeight="1" x14ac:dyDescent="0.2">
      <c r="B58" s="2634" t="s">
        <v>679</v>
      </c>
      <c r="C58" s="2636" t="s">
        <v>679</v>
      </c>
      <c r="D58" s="3461">
        <v>13.535751564276362</v>
      </c>
      <c r="E58" s="3461">
        <v>76.938299528337353</v>
      </c>
      <c r="F58" s="3461">
        <v>8.1423676501622193</v>
      </c>
      <c r="G58" s="3081">
        <f t="shared" si="39"/>
        <v>5.099999999999999E-2</v>
      </c>
      <c r="H58" s="3081">
        <f t="shared" si="40"/>
        <v>0.22693756328060863</v>
      </c>
      <c r="I58" s="3081">
        <f t="shared" si="41"/>
        <v>0.80846654972644516</v>
      </c>
      <c r="J58" s="3194">
        <v>0.6903233297780943</v>
      </c>
      <c r="K58" s="3194">
        <v>17.46019021791448</v>
      </c>
      <c r="L58" s="3194">
        <v>6.5828318807308719</v>
      </c>
      <c r="M58" s="3460">
        <v>-1.559535769431355</v>
      </c>
    </row>
    <row r="59" spans="2:13" ht="18" customHeight="1" x14ac:dyDescent="0.2">
      <c r="B59" s="2634" t="s">
        <v>681</v>
      </c>
      <c r="C59" s="2636" t="s">
        <v>681</v>
      </c>
      <c r="D59" s="3461">
        <v>1.5163757094963572</v>
      </c>
      <c r="E59" s="3461">
        <v>8.6192013779740932</v>
      </c>
      <c r="F59" s="3461">
        <v>0.91216867152621994</v>
      </c>
      <c r="G59" s="3081">
        <f t="shared" si="39"/>
        <v>5.099999999999999E-2</v>
      </c>
      <c r="H59" s="3081">
        <f t="shared" si="40"/>
        <v>0.22693756328060866</v>
      </c>
      <c r="I59" s="3081">
        <f t="shared" si="41"/>
        <v>0.80846654972644449</v>
      </c>
      <c r="J59" s="3194">
        <v>7.7335161184314202E-2</v>
      </c>
      <c r="K59" s="3194">
        <v>1.9560205581423051</v>
      </c>
      <c r="L59" s="3194">
        <v>0.73745785863735747</v>
      </c>
      <c r="M59" s="3460">
        <v>-0.17471081288886273</v>
      </c>
    </row>
    <row r="60" spans="2:13" ht="18" customHeight="1" x14ac:dyDescent="0.2">
      <c r="B60" s="2634" t="s">
        <v>683</v>
      </c>
      <c r="C60" s="2636" t="s">
        <v>683</v>
      </c>
      <c r="D60" s="3461">
        <v>0.82746559821605581</v>
      </c>
      <c r="E60" s="3461">
        <v>4.7033809495265579</v>
      </c>
      <c r="F60" s="3461">
        <v>0.4977580363042618</v>
      </c>
      <c r="G60" s="3081">
        <f t="shared" si="39"/>
        <v>5.099999999999999E-2</v>
      </c>
      <c r="H60" s="3081">
        <f t="shared" si="40"/>
        <v>0.22693756328060868</v>
      </c>
      <c r="I60" s="3081">
        <f t="shared" si="41"/>
        <v>0.80846654972644449</v>
      </c>
      <c r="J60" s="3194">
        <v>4.2200745509018839E-2</v>
      </c>
      <c r="K60" s="3194">
        <v>1.0673738118659926</v>
      </c>
      <c r="L60" s="3194">
        <v>0.40242072220951686</v>
      </c>
      <c r="M60" s="3460">
        <v>-9.5337314094745121E-2</v>
      </c>
    </row>
    <row r="61" spans="2:13" ht="18" customHeight="1" x14ac:dyDescent="0.2">
      <c r="B61" s="2634" t="s">
        <v>686</v>
      </c>
      <c r="C61" s="2636" t="s">
        <v>686</v>
      </c>
      <c r="D61" s="3461">
        <v>0.17397769609349406</v>
      </c>
      <c r="E61" s="3461">
        <v>0.98890320420910449</v>
      </c>
      <c r="F61" s="3461">
        <v>0.10465546429354494</v>
      </c>
      <c r="G61" s="3081">
        <f t="shared" si="39"/>
        <v>5.0999999999999997E-2</v>
      </c>
      <c r="H61" s="3081">
        <f t="shared" si="40"/>
        <v>0.22693756328060868</v>
      </c>
      <c r="I61" s="3081">
        <f t="shared" si="41"/>
        <v>0.80846654972644472</v>
      </c>
      <c r="J61" s="3194">
        <v>8.8728625007681965E-3</v>
      </c>
      <c r="K61" s="3194">
        <v>0.22441928348360035</v>
      </c>
      <c r="L61" s="3194">
        <v>8.4610442127421415E-2</v>
      </c>
      <c r="M61" s="3460">
        <v>-2.004502216612359E-2</v>
      </c>
    </row>
    <row r="62" spans="2:13" ht="18" customHeight="1" x14ac:dyDescent="0.2">
      <c r="B62" s="2634" t="s">
        <v>688</v>
      </c>
      <c r="C62" s="2636" t="s">
        <v>688</v>
      </c>
      <c r="D62" s="3461">
        <v>1.5474658782098054</v>
      </c>
      <c r="E62" s="3461">
        <v>8.7959203951267764</v>
      </c>
      <c r="F62" s="3461">
        <v>0.93087081619608625</v>
      </c>
      <c r="G62" s="3081">
        <f t="shared" si="39"/>
        <v>5.0999999999999997E-2</v>
      </c>
      <c r="H62" s="3081">
        <f t="shared" si="40"/>
        <v>0.22693756328060866</v>
      </c>
      <c r="I62" s="3081">
        <f t="shared" si="41"/>
        <v>0.80846654972644427</v>
      </c>
      <c r="J62" s="3194">
        <v>7.8920759788700071E-2</v>
      </c>
      <c r="K62" s="3194">
        <v>1.9961247412802792</v>
      </c>
      <c r="L62" s="3194">
        <v>0.75257791701108889</v>
      </c>
      <c r="M62" s="3460">
        <v>-0.17829289918499744</v>
      </c>
    </row>
    <row r="63" spans="2:13" ht="18" customHeight="1" x14ac:dyDescent="0.2">
      <c r="B63" s="2634" t="s">
        <v>689</v>
      </c>
      <c r="C63" s="2636" t="s">
        <v>689</v>
      </c>
      <c r="D63" s="3461">
        <v>2.0941586120130453</v>
      </c>
      <c r="E63" s="3461">
        <v>11.903365822414946</v>
      </c>
      <c r="F63" s="3461">
        <v>1.2597312573145785</v>
      </c>
      <c r="G63" s="3081">
        <f t="shared" si="39"/>
        <v>5.099999999999999E-2</v>
      </c>
      <c r="H63" s="3081">
        <f t="shared" si="40"/>
        <v>0.22693756328060866</v>
      </c>
      <c r="I63" s="3081">
        <f t="shared" si="41"/>
        <v>0.80846654972644472</v>
      </c>
      <c r="J63" s="3194">
        <v>0.10680208921266529</v>
      </c>
      <c r="K63" s="3194">
        <v>2.7013208345765261</v>
      </c>
      <c r="L63" s="3194">
        <v>1.0184505831836734</v>
      </c>
      <c r="M63" s="3460">
        <v>-0.24128067413090581</v>
      </c>
    </row>
    <row r="64" spans="2:13" ht="18" customHeight="1" x14ac:dyDescent="0.2">
      <c r="B64" s="104" t="s">
        <v>893</v>
      </c>
      <c r="C64" s="2524"/>
      <c r="D64" s="150"/>
      <c r="E64" s="150"/>
      <c r="F64" s="150"/>
      <c r="G64" s="2135"/>
      <c r="H64" s="2135"/>
      <c r="I64" s="2135"/>
      <c r="J64" s="3081">
        <f>IF(SUM(J65:J76)=0,"NO",SUM(J65:J76))</f>
        <v>0.33945330116152733</v>
      </c>
      <c r="K64" s="3081">
        <f>IF(SUM(K65:K76)=0,"NO",SUM(K65:K76))</f>
        <v>448.4822533279069</v>
      </c>
      <c r="L64" s="3081">
        <f>IF(SUM(L65:L76)=0,"NO",SUM(L65:L76))</f>
        <v>71.644767657519566</v>
      </c>
      <c r="M64" s="3193">
        <f>IF(SUM(M65:M76)=0,"NO",SUM(M65:M76))</f>
        <v>-24.458111860024104</v>
      </c>
    </row>
    <row r="65" spans="2:13" ht="18" customHeight="1" x14ac:dyDescent="0.2">
      <c r="B65" s="2634" t="s">
        <v>671</v>
      </c>
      <c r="C65" s="2636" t="s">
        <v>671</v>
      </c>
      <c r="D65" s="3461">
        <v>1.1996076842694621</v>
      </c>
      <c r="E65" s="3461">
        <v>51.709696810911261</v>
      </c>
      <c r="F65" s="3461">
        <v>1.2895816141253877</v>
      </c>
      <c r="G65" s="3081">
        <f>IF(SUM(D65)=0,"NA",J65/D65)</f>
        <v>3.5000000000000001E-3</v>
      </c>
      <c r="H65" s="3081">
        <f>IF(SUM(E65)=0,"NA",K65/E65)</f>
        <v>0.10727549272297168</v>
      </c>
      <c r="I65" s="3081">
        <f>IF(SUM(F65)=0,"NA",L65/F65)</f>
        <v>0.68716794575733442</v>
      </c>
      <c r="J65" s="3194">
        <v>4.1986268949431175E-3</v>
      </c>
      <c r="K65" s="3194">
        <v>5.5471832039459832</v>
      </c>
      <c r="L65" s="3194">
        <v>0.88615914866497025</v>
      </c>
      <c r="M65" s="3460">
        <v>-0.30251727086949026</v>
      </c>
    </row>
    <row r="66" spans="2:13" ht="18" customHeight="1" x14ac:dyDescent="0.2">
      <c r="B66" s="2634" t="s">
        <v>672</v>
      </c>
      <c r="C66" s="2636" t="s">
        <v>672</v>
      </c>
      <c r="D66" s="3461">
        <v>5.3272635027716673</v>
      </c>
      <c r="E66" s="3461">
        <v>229.63439145349648</v>
      </c>
      <c r="F66" s="3461">
        <v>5.7268231579887017</v>
      </c>
      <c r="G66" s="3081">
        <f t="shared" ref="G66:G76" si="42">IF(SUM(D66)=0,"NA",J66/D66)</f>
        <v>3.5000000000000001E-3</v>
      </c>
      <c r="H66" s="3081">
        <f t="shared" ref="H66:H76" si="43">IF(SUM(E66)=0,"NA",K66/E66)</f>
        <v>0.1072754927229717</v>
      </c>
      <c r="I66" s="3081">
        <f t="shared" ref="I66:I76" si="44">IF(SUM(F66)=0,"NA",L66/F66)</f>
        <v>0.68716794575733242</v>
      </c>
      <c r="J66" s="3194">
        <v>1.8645422259700836E-2</v>
      </c>
      <c r="K66" s="3194">
        <v>24.634142489313597</v>
      </c>
      <c r="L66" s="3194">
        <v>3.935289305190615</v>
      </c>
      <c r="M66" s="3460">
        <v>-1.3434302207246638</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17.096348181496957</v>
      </c>
      <c r="E68" s="3461">
        <v>736.94674736711897</v>
      </c>
      <c r="F68" s="3461">
        <v>18.378622088412818</v>
      </c>
      <c r="G68" s="3081">
        <f t="shared" si="42"/>
        <v>3.5000000000000005E-3</v>
      </c>
      <c r="H68" s="3081">
        <f t="shared" si="43"/>
        <v>0.10727549272297167</v>
      </c>
      <c r="I68" s="3081">
        <f t="shared" si="44"/>
        <v>0.68716794575733398</v>
      </c>
      <c r="J68" s="3194">
        <v>5.9837218635239359E-2</v>
      </c>
      <c r="K68" s="3194">
        <v>79.056325434399014</v>
      </c>
      <c r="L68" s="3194">
        <v>12.629199986345</v>
      </c>
      <c r="M68" s="3460">
        <v>-4.3113600067097311</v>
      </c>
    </row>
    <row r="69" spans="2:13" ht="18" customHeight="1" x14ac:dyDescent="0.2">
      <c r="B69" s="2634" t="s">
        <v>676</v>
      </c>
      <c r="C69" s="2636" t="s">
        <v>676</v>
      </c>
      <c r="D69" s="3461">
        <v>4.2117665969167314E-2</v>
      </c>
      <c r="E69" s="3461">
        <v>1.815503323467931</v>
      </c>
      <c r="F69" s="3461">
        <v>4.5276608657928846E-2</v>
      </c>
      <c r="G69" s="3081">
        <f t="shared" si="42"/>
        <v>3.5000000000000005E-3</v>
      </c>
      <c r="H69" s="3081">
        <f t="shared" si="43"/>
        <v>0.10727549272297168</v>
      </c>
      <c r="I69" s="3081">
        <f t="shared" si="44"/>
        <v>0.68716794575733253</v>
      </c>
      <c r="J69" s="3194">
        <v>1.4741183089208562E-4</v>
      </c>
      <c r="K69" s="3194">
        <v>0.19475901356521494</v>
      </c>
      <c r="L69" s="3194">
        <v>3.1112634162327624E-2</v>
      </c>
      <c r="M69" s="3460">
        <v>-1.0621240203329073E-2</v>
      </c>
    </row>
    <row r="70" spans="2:13" ht="18" customHeight="1" x14ac:dyDescent="0.2">
      <c r="B70" s="2634" t="s">
        <v>677</v>
      </c>
      <c r="C70" s="2636" t="s">
        <v>677</v>
      </c>
      <c r="D70" s="3461">
        <v>54.474111250862158</v>
      </c>
      <c r="E70" s="3461">
        <v>2348.1341556605094</v>
      </c>
      <c r="F70" s="3461">
        <v>58.559821878527679</v>
      </c>
      <c r="G70" s="3081">
        <f t="shared" si="42"/>
        <v>3.5000000000000005E-3</v>
      </c>
      <c r="H70" s="3081">
        <f t="shared" si="43"/>
        <v>0.1072754927229717</v>
      </c>
      <c r="I70" s="3081">
        <f t="shared" si="44"/>
        <v>0.68716794575733353</v>
      </c>
      <c r="J70" s="3194">
        <v>0.19065938937801757</v>
      </c>
      <c r="K70" s="3194">
        <v>251.89724852812026</v>
      </c>
      <c r="L70" s="3194">
        <v>40.240432504183218</v>
      </c>
      <c r="M70" s="3460">
        <v>-13.737290686569276</v>
      </c>
    </row>
    <row r="71" spans="2:13" ht="18" customHeight="1" x14ac:dyDescent="0.2">
      <c r="B71" s="2634" t="s">
        <v>679</v>
      </c>
      <c r="C71" s="2636" t="s">
        <v>679</v>
      </c>
      <c r="D71" s="3461">
        <v>12.952963426449966</v>
      </c>
      <c r="E71" s="3461">
        <v>558.34404894833722</v>
      </c>
      <c r="F71" s="3461">
        <v>13.924471893793189</v>
      </c>
      <c r="G71" s="3081">
        <f t="shared" si="42"/>
        <v>3.5000000000000001E-3</v>
      </c>
      <c r="H71" s="3081">
        <f t="shared" si="43"/>
        <v>0.1072754927229717</v>
      </c>
      <c r="I71" s="3081">
        <f t="shared" si="44"/>
        <v>0.68716794575733398</v>
      </c>
      <c r="J71" s="3194">
        <v>4.5335371992574883E-2</v>
      </c>
      <c r="K71" s="3194">
        <v>59.896632959871901</v>
      </c>
      <c r="L71" s="3194">
        <v>9.5684507470135998</v>
      </c>
      <c r="M71" s="3460">
        <v>-3.2664805309481268</v>
      </c>
    </row>
    <row r="72" spans="2:13" ht="18" customHeight="1" x14ac:dyDescent="0.2">
      <c r="B72" s="2634" t="s">
        <v>681</v>
      </c>
      <c r="C72" s="2636" t="s">
        <v>681</v>
      </c>
      <c r="D72" s="3461">
        <v>1.4510874414762129</v>
      </c>
      <c r="E72" s="3461">
        <v>62.549859115441521</v>
      </c>
      <c r="F72" s="3461">
        <v>1.5599230561411057</v>
      </c>
      <c r="G72" s="3081">
        <f t="shared" si="42"/>
        <v>3.5000000000000001E-3</v>
      </c>
      <c r="H72" s="3081">
        <f t="shared" si="43"/>
        <v>0.1072754927229717</v>
      </c>
      <c r="I72" s="3081">
        <f t="shared" si="44"/>
        <v>0.68716794575733331</v>
      </c>
      <c r="J72" s="3194">
        <v>5.0788060451667453E-3</v>
      </c>
      <c r="K72" s="3194">
        <v>6.7100669563614517</v>
      </c>
      <c r="L72" s="3194">
        <v>1.071929122027985</v>
      </c>
      <c r="M72" s="3460">
        <v>-0.36593547902763296</v>
      </c>
    </row>
    <row r="73" spans="2:13" ht="18" customHeight="1" x14ac:dyDescent="0.2">
      <c r="B73" s="2634" t="s">
        <v>683</v>
      </c>
      <c r="C73" s="2636" t="s">
        <v>683</v>
      </c>
      <c r="D73" s="3461">
        <v>0.79183867843921363</v>
      </c>
      <c r="E73" s="3461">
        <v>34.132607286672688</v>
      </c>
      <c r="F73" s="3461">
        <v>0.85122879292858977</v>
      </c>
      <c r="G73" s="3081">
        <f t="shared" si="42"/>
        <v>3.5000000000000001E-3</v>
      </c>
      <c r="H73" s="3081">
        <f t="shared" si="43"/>
        <v>0.10727549272297168</v>
      </c>
      <c r="I73" s="3081">
        <f t="shared" si="44"/>
        <v>0.68716794575733375</v>
      </c>
      <c r="J73" s="3194">
        <v>2.7714353745372476E-3</v>
      </c>
      <c r="K73" s="3194">
        <v>3.6615922645975063</v>
      </c>
      <c r="L73" s="3194">
        <v>0.58493714100623384</v>
      </c>
      <c r="M73" s="3460">
        <v>-0.19968601327876037</v>
      </c>
    </row>
    <row r="74" spans="2:13" ht="18" customHeight="1" x14ac:dyDescent="0.2">
      <c r="B74" s="2634" t="s">
        <v>686</v>
      </c>
      <c r="C74" s="2636" t="s">
        <v>686</v>
      </c>
      <c r="D74" s="3461">
        <v>0.16648700471605707</v>
      </c>
      <c r="E74" s="3461">
        <v>7.1765066610645922</v>
      </c>
      <c r="F74" s="3461">
        <v>0.17897399548868448</v>
      </c>
      <c r="G74" s="3081">
        <f t="shared" si="42"/>
        <v>3.5000000000000001E-3</v>
      </c>
      <c r="H74" s="3081">
        <f t="shared" si="43"/>
        <v>0.1072754927229717</v>
      </c>
      <c r="I74" s="3081">
        <f t="shared" si="44"/>
        <v>0.68716794575733231</v>
      </c>
      <c r="J74" s="3194">
        <v>5.8270451650619976E-4</v>
      </c>
      <c r="K74" s="3194">
        <v>0.76986328809539262</v>
      </c>
      <c r="L74" s="3194">
        <v>0.12298519282394138</v>
      </c>
      <c r="M74" s="3460">
        <v>-4.1984721307123815E-2</v>
      </c>
    </row>
    <row r="75" spans="2:13" ht="18" customHeight="1" x14ac:dyDescent="0.2">
      <c r="B75" s="2634" t="s">
        <v>688</v>
      </c>
      <c r="C75" s="2636" t="s">
        <v>688</v>
      </c>
      <c r="D75" s="3461">
        <v>1.4808390083807275</v>
      </c>
      <c r="E75" s="3461">
        <v>63.832315475512999</v>
      </c>
      <c r="F75" s="3461">
        <v>1.5919060737347683</v>
      </c>
      <c r="G75" s="3081">
        <f t="shared" si="42"/>
        <v>3.5000000000000001E-3</v>
      </c>
      <c r="H75" s="3081">
        <f t="shared" si="43"/>
        <v>0.10727549272297167</v>
      </c>
      <c r="I75" s="3081">
        <f t="shared" si="44"/>
        <v>0.68716794575733375</v>
      </c>
      <c r="J75" s="3194">
        <v>5.1829365293325465E-3</v>
      </c>
      <c r="K75" s="3194">
        <v>6.8476430942838267</v>
      </c>
      <c r="L75" s="3194">
        <v>1.0939068265269434</v>
      </c>
      <c r="M75" s="3460">
        <v>-0.37343823425508538</v>
      </c>
    </row>
    <row r="76" spans="2:13" ht="18" customHeight="1" x14ac:dyDescent="0.2">
      <c r="B76" s="2634" t="s">
        <v>689</v>
      </c>
      <c r="C76" s="2636" t="s">
        <v>689</v>
      </c>
      <c r="D76" s="3461">
        <v>2.0039936298905001</v>
      </c>
      <c r="E76" s="3461">
        <v>86.383160404429589</v>
      </c>
      <c r="F76" s="3461">
        <v>2.1542987543506631</v>
      </c>
      <c r="G76" s="3081">
        <f t="shared" si="42"/>
        <v>3.4999999999999996E-3</v>
      </c>
      <c r="H76" s="3081">
        <f t="shared" si="43"/>
        <v>0.1072754927229717</v>
      </c>
      <c r="I76" s="3081">
        <f t="shared" si="44"/>
        <v>0.68716794575733342</v>
      </c>
      <c r="J76" s="3194">
        <v>7.0139777046167497E-3</v>
      </c>
      <c r="K76" s="3194">
        <v>9.2667960953526833</v>
      </c>
      <c r="L76" s="3194">
        <v>1.4803650495747274</v>
      </c>
      <c r="M76" s="3460">
        <v>-0.50536745613088285</v>
      </c>
    </row>
    <row r="77" spans="2:13" ht="18" customHeight="1" x14ac:dyDescent="0.2">
      <c r="B77" s="104" t="s">
        <v>894</v>
      </c>
      <c r="C77" s="2524"/>
      <c r="D77" s="150"/>
      <c r="E77" s="150"/>
      <c r="F77" s="150"/>
      <c r="G77" s="2135"/>
      <c r="H77" s="2135"/>
      <c r="I77" s="2135"/>
      <c r="J77" s="3081">
        <f>IF(SUM(J78:J89)=0,"NO",SUM(J78:J89))</f>
        <v>0.80074717878285262</v>
      </c>
      <c r="K77" s="3081">
        <f>IF(SUM(K78:K89)=0,"NO",SUM(K78:K89))</f>
        <v>437.89489079450823</v>
      </c>
      <c r="L77" s="3081">
        <f>IF(SUM(L78:L89)=0,"NO",SUM(L78:L89))</f>
        <v>384.81485792227892</v>
      </c>
      <c r="M77" s="3193">
        <f>IF(SUM(M78:M89)=0,"NO",SUM(M78:M89))</f>
        <v>-126.13377934571618</v>
      </c>
    </row>
    <row r="78" spans="2:13" ht="18" customHeight="1" x14ac:dyDescent="0.2">
      <c r="B78" s="2634" t="s">
        <v>671</v>
      </c>
      <c r="C78" s="2636" t="s">
        <v>671</v>
      </c>
      <c r="D78" s="3461">
        <v>0.6897292864325093</v>
      </c>
      <c r="E78" s="3461">
        <v>134.4023578156168</v>
      </c>
      <c r="F78" s="3461">
        <v>4.1440167742459693</v>
      </c>
      <c r="G78" s="3081">
        <f>IF(SUM(D78)=0,"NA",J78/D78)</f>
        <v>1.4359654715853725E-2</v>
      </c>
      <c r="H78" s="3081">
        <f>IF(SUM(E78)=0,"NA",K78/E78)</f>
        <v>4.0298625848887819E-2</v>
      </c>
      <c r="I78" s="3081">
        <f>IF(SUM(F78)=0,"NA",L78/F78)</f>
        <v>0.88420365123565947</v>
      </c>
      <c r="J78" s="3194">
        <v>9.9042744005830071E-3</v>
      </c>
      <c r="K78" s="3194">
        <v>5.4162303308198849</v>
      </c>
      <c r="L78" s="3194">
        <v>3.6641547625701056</v>
      </c>
      <c r="M78" s="3460">
        <v>-0.4645825975386868</v>
      </c>
    </row>
    <row r="79" spans="2:13" ht="18" customHeight="1" x14ac:dyDescent="0.2">
      <c r="B79" s="2634" t="s">
        <v>672</v>
      </c>
      <c r="C79" s="2636" t="s">
        <v>672</v>
      </c>
      <c r="D79" s="3461">
        <v>3.0629760900892133</v>
      </c>
      <c r="E79" s="3461">
        <v>596.85911057965745</v>
      </c>
      <c r="F79" s="3461">
        <v>18.402907555363111</v>
      </c>
      <c r="G79" s="3081">
        <f t="shared" ref="G79:G89" si="45">IF(SUM(D79)=0,"NA",J79/D79)</f>
        <v>1.4359654715853726E-2</v>
      </c>
      <c r="H79" s="3081">
        <f t="shared" ref="H79:H89" si="46">IF(SUM(E79)=0,"NA",K79/E79)</f>
        <v>4.0298625848887819E-2</v>
      </c>
      <c r="I79" s="3081">
        <f t="shared" ref="I79:I89" si="47">IF(SUM(F79)=0,"NA",L79/F79)</f>
        <v>5.0797059246392289</v>
      </c>
      <c r="J79" s="3194">
        <v>4.3983279056596783E-2</v>
      </c>
      <c r="K79" s="3194">
        <v>24.052601981749579</v>
      </c>
      <c r="L79" s="3194">
        <v>93.481358539566017</v>
      </c>
      <c r="M79" s="3460">
        <v>-79.272576582958209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9.8297570001034416</v>
      </c>
      <c r="E81" s="3461">
        <v>1915.4508059268005</v>
      </c>
      <c r="F81" s="3461">
        <v>59.058936160131189</v>
      </c>
      <c r="G81" s="3081">
        <f t="shared" si="45"/>
        <v>1.4359654715853728E-2</v>
      </c>
      <c r="H81" s="3081">
        <f t="shared" si="46"/>
        <v>4.0298625848887819E-2</v>
      </c>
      <c r="I81" s="3081">
        <f t="shared" si="47"/>
        <v>0.8842036512356598</v>
      </c>
      <c r="J81" s="3194">
        <v>0.14115191646223157</v>
      </c>
      <c r="K81" s="3194">
        <v>77.190035359994766</v>
      </c>
      <c r="L81" s="3194">
        <v>52.220126990881738</v>
      </c>
      <c r="M81" s="3460">
        <v>-6.6210528248012945</v>
      </c>
    </row>
    <row r="82" spans="2:13" ht="18" customHeight="1" x14ac:dyDescent="0.2">
      <c r="B82" s="2634" t="s">
        <v>676</v>
      </c>
      <c r="C82" s="2636" t="s">
        <v>676</v>
      </c>
      <c r="D82" s="3461">
        <v>2.421607336802557E-2</v>
      </c>
      <c r="E82" s="3461">
        <v>4.7188040608408723</v>
      </c>
      <c r="F82" s="3461">
        <v>0.14549449503952389</v>
      </c>
      <c r="G82" s="3081">
        <f t="shared" si="45"/>
        <v>1.435965471585373E-2</v>
      </c>
      <c r="H82" s="3081">
        <f t="shared" si="46"/>
        <v>4.0298625848887812E-2</v>
      </c>
      <c r="I82" s="3081">
        <f t="shared" si="47"/>
        <v>1.4415940682777708</v>
      </c>
      <c r="J82" s="3194">
        <v>3.4773445213862828E-4</v>
      </c>
      <c r="K82" s="3194">
        <v>0.19016131930203875</v>
      </c>
      <c r="L82" s="3194">
        <v>0.20974400101604718</v>
      </c>
      <c r="M82" s="3460">
        <v>-9.7408515458446587E-2</v>
      </c>
    </row>
    <row r="83" spans="2:13" ht="18" customHeight="1" x14ac:dyDescent="0.2">
      <c r="B83" s="2634" t="s">
        <v>677</v>
      </c>
      <c r="C83" s="2636" t="s">
        <v>677</v>
      </c>
      <c r="D83" s="3461">
        <v>31.320564526879586</v>
      </c>
      <c r="E83" s="3461">
        <v>6103.2028120799469</v>
      </c>
      <c r="F83" s="3461">
        <v>188.17954715185587</v>
      </c>
      <c r="G83" s="3081">
        <f t="shared" si="45"/>
        <v>1.4359654715853728E-2</v>
      </c>
      <c r="H83" s="3081">
        <f t="shared" si="46"/>
        <v>4.0298625848887819E-2</v>
      </c>
      <c r="I83" s="3081">
        <f t="shared" si="47"/>
        <v>0.91130542758271627</v>
      </c>
      <c r="J83" s="3194">
        <v>0.44975249211160745</v>
      </c>
      <c r="K83" s="3194">
        <v>245.95068660388978</v>
      </c>
      <c r="L83" s="3194">
        <v>171.48904267954393</v>
      </c>
      <c r="M83" s="3460">
        <v>-26.196667214956079</v>
      </c>
    </row>
    <row r="84" spans="2:13" ht="18" customHeight="1" x14ac:dyDescent="0.2">
      <c r="B84" s="2634" t="s">
        <v>679</v>
      </c>
      <c r="C84" s="2636" t="s">
        <v>679</v>
      </c>
      <c r="D84" s="3461">
        <v>7.4474666496925463</v>
      </c>
      <c r="E84" s="3461">
        <v>1451.2318052334801</v>
      </c>
      <c r="F84" s="3461">
        <v>44.745710134469206</v>
      </c>
      <c r="G84" s="3081">
        <f t="shared" si="45"/>
        <v>1.4359654715853725E-2</v>
      </c>
      <c r="H84" s="3081">
        <f t="shared" si="46"/>
        <v>4.0298625848887819E-2</v>
      </c>
      <c r="I84" s="3081">
        <f t="shared" si="47"/>
        <v>1.012618033109534</v>
      </c>
      <c r="J84" s="3194">
        <v>0.10694304959742092</v>
      </c>
      <c r="K84" s="3194">
        <v>58.482647539110054</v>
      </c>
      <c r="L84" s="3194">
        <v>45.31031298645555</v>
      </c>
      <c r="M84" s="3460">
        <v>-10.762400550251144</v>
      </c>
    </row>
    <row r="85" spans="2:13" ht="18" customHeight="1" x14ac:dyDescent="0.2">
      <c r="B85" s="2634" t="s">
        <v>681</v>
      </c>
      <c r="C85" s="2636" t="s">
        <v>681</v>
      </c>
      <c r="D85" s="3461" t="s">
        <v>199</v>
      </c>
      <c r="E85" s="3461">
        <v>154.86598427153675</v>
      </c>
      <c r="F85" s="3461">
        <v>4.9316504945355035</v>
      </c>
      <c r="G85" s="3081" t="str">
        <f t="shared" si="45"/>
        <v>NA</v>
      </c>
      <c r="H85" s="3081">
        <f t="shared" si="46"/>
        <v>4.2305363624304516E-2</v>
      </c>
      <c r="I85" s="3081">
        <f t="shared" si="47"/>
        <v>0.91552510091691242</v>
      </c>
      <c r="J85" s="3194">
        <v>1.1980556967149307E-2</v>
      </c>
      <c r="K85" s="3194">
        <v>6.5516617776431865</v>
      </c>
      <c r="L85" s="3194">
        <v>4.5150498166965578</v>
      </c>
      <c r="M85" s="3460">
        <v>-0.64473534000882482</v>
      </c>
    </row>
    <row r="86" spans="2:13" ht="18" customHeight="1" x14ac:dyDescent="0.2">
      <c r="B86" s="2634" t="s">
        <v>683</v>
      </c>
      <c r="C86" s="2636" t="s">
        <v>683</v>
      </c>
      <c r="D86" s="3461">
        <v>0.45527744929554814</v>
      </c>
      <c r="E86" s="3461">
        <v>88.716491889298851</v>
      </c>
      <c r="F86" s="3461">
        <v>2.7353882514908752</v>
      </c>
      <c r="G86" s="3081">
        <f t="shared" si="45"/>
        <v>1.4359654715853726E-2</v>
      </c>
      <c r="H86" s="3081">
        <f t="shared" si="46"/>
        <v>4.0298625848887819E-2</v>
      </c>
      <c r="I86" s="3081">
        <f t="shared" si="47"/>
        <v>0.89070459810338332</v>
      </c>
      <c r="J86" s="3194">
        <v>6.537626971798674E-3</v>
      </c>
      <c r="K86" s="3194">
        <v>3.5751527132727454</v>
      </c>
      <c r="L86" s="3194">
        <v>2.4364228932008962</v>
      </c>
      <c r="M86" s="3460">
        <v>-0.32444492911153316</v>
      </c>
    </row>
    <row r="87" spans="2:13" ht="18" customHeight="1" x14ac:dyDescent="0.2">
      <c r="B87" s="2634" t="s">
        <v>686</v>
      </c>
      <c r="C87" s="2636" t="s">
        <v>686</v>
      </c>
      <c r="D87" s="3461">
        <v>9.5723764084607116E-2</v>
      </c>
      <c r="E87" s="3461">
        <v>18.652969860829529</v>
      </c>
      <c r="F87" s="3461">
        <v>0.57512547584042817</v>
      </c>
      <c r="G87" s="3081">
        <f t="shared" si="45"/>
        <v>1.4359654715853728E-2</v>
      </c>
      <c r="H87" s="3081">
        <f t="shared" si="46"/>
        <v>4.0298625848887826E-2</v>
      </c>
      <c r="I87" s="3081">
        <f t="shared" si="47"/>
        <v>1.2733962140824349</v>
      </c>
      <c r="J87" s="3194">
        <v>1.3745602003567984E-3</v>
      </c>
      <c r="K87" s="3194">
        <v>0.75168905339215042</v>
      </c>
      <c r="L87" s="3194">
        <v>0.73236260355756011</v>
      </c>
      <c r="M87" s="3460">
        <v>-0.28831144157009142</v>
      </c>
    </row>
    <row r="88" spans="2:13" ht="18" customHeight="1" x14ac:dyDescent="0.2">
      <c r="B88" s="2634" t="s">
        <v>688</v>
      </c>
      <c r="C88" s="2636" t="s">
        <v>688</v>
      </c>
      <c r="D88" s="3461" t="s">
        <v>199</v>
      </c>
      <c r="E88" s="3461">
        <v>158.04119312566394</v>
      </c>
      <c r="F88" s="3461">
        <v>5.0327638564488213</v>
      </c>
      <c r="G88" s="3081" t="str">
        <f t="shared" si="45"/>
        <v>NA</v>
      </c>
      <c r="H88" s="3081">
        <f t="shared" si="46"/>
        <v>4.2305363624304523E-2</v>
      </c>
      <c r="I88" s="3081">
        <f t="shared" si="47"/>
        <v>0.92099740857158863</v>
      </c>
      <c r="J88" s="3194">
        <v>1.2226193675161111E-2</v>
      </c>
      <c r="K88" s="3194">
        <v>6.6859901428001489</v>
      </c>
      <c r="L88" s="3194">
        <v>4.6351624697421192</v>
      </c>
      <c r="M88" s="3460">
        <v>-0.68549514580105342</v>
      </c>
    </row>
    <row r="89" spans="2:13" ht="18" customHeight="1" x14ac:dyDescent="0.2">
      <c r="B89" s="2634" t="s">
        <v>689</v>
      </c>
      <c r="C89" s="2636" t="s">
        <v>689</v>
      </c>
      <c r="D89" s="3461" t="s">
        <v>199</v>
      </c>
      <c r="E89" s="3461">
        <v>213.87439315935217</v>
      </c>
      <c r="F89" s="3461">
        <v>6.8107516428102786</v>
      </c>
      <c r="G89" s="3081" t="str">
        <f t="shared" si="45"/>
        <v>NA</v>
      </c>
      <c r="H89" s="3081">
        <f t="shared" si="46"/>
        <v>4.2305363624304509E-2</v>
      </c>
      <c r="I89" s="3081">
        <f t="shared" si="47"/>
        <v>0.89874370701950435</v>
      </c>
      <c r="J89" s="3194">
        <v>1.6545494887808265E-2</v>
      </c>
      <c r="K89" s="3194">
        <v>9.0480339725338581</v>
      </c>
      <c r="L89" s="3194">
        <v>6.1211201790484893</v>
      </c>
      <c r="M89" s="3460">
        <v>-0.77610420326082175</v>
      </c>
    </row>
    <row r="90" spans="2:13" ht="18" customHeight="1" x14ac:dyDescent="0.2">
      <c r="B90" s="88" t="s">
        <v>657</v>
      </c>
      <c r="C90" s="2524" t="s">
        <v>895</v>
      </c>
      <c r="D90" s="150"/>
      <c r="E90" s="150"/>
      <c r="F90" s="150"/>
      <c r="G90" s="2135"/>
      <c r="H90" s="2135"/>
      <c r="I90" s="2135"/>
      <c r="J90" s="3081">
        <f>IF(SUM(J91,J104)=0,"NO",SUM(J91,J104))</f>
        <v>25.561468024480948</v>
      </c>
      <c r="K90" s="3081">
        <f t="shared" ref="K90:M90" si="48">IF(SUM(K91,K104)=0,"NO",SUM(K91,K104))</f>
        <v>3.3787576774722528</v>
      </c>
      <c r="L90" s="3081">
        <f t="shared" si="48"/>
        <v>2.1396797314997933</v>
      </c>
      <c r="M90" s="3193" t="str">
        <f t="shared" si="48"/>
        <v>NO</v>
      </c>
    </row>
    <row r="91" spans="2:13" ht="18" customHeight="1" x14ac:dyDescent="0.2">
      <c r="B91" s="104" t="s">
        <v>896</v>
      </c>
      <c r="C91" s="2524"/>
      <c r="D91" s="150"/>
      <c r="E91" s="150"/>
      <c r="F91" s="150"/>
      <c r="G91" s="2135"/>
      <c r="H91" s="2135"/>
      <c r="I91" s="2135"/>
      <c r="J91" s="3081">
        <f>IF(SUM(J92:J103)=0,"NO",SUM(J92:J103))</f>
        <v>25.561468024480948</v>
      </c>
      <c r="K91" s="3081">
        <f>IF(SUM(K92:K103)=0,"NO",SUM(K92:K103))</f>
        <v>3.3787576774722528</v>
      </c>
      <c r="L91" s="3081">
        <f>IF(SUM(L92:L103)=0,"NO",SUM(L92:L103))</f>
        <v>2.1396797314997933</v>
      </c>
      <c r="M91" s="3193" t="str">
        <f>IF(SUM(M92:M103)=0,"NO",SUM(M92:M103))</f>
        <v>NO</v>
      </c>
    </row>
    <row r="92" spans="2:13" ht="18" customHeight="1" x14ac:dyDescent="0.2">
      <c r="B92" s="2634" t="s">
        <v>671</v>
      </c>
      <c r="C92" s="2636" t="s">
        <v>671</v>
      </c>
      <c r="D92" s="3461">
        <v>0.52694075421950803</v>
      </c>
      <c r="E92" s="3461">
        <v>1.7364338436430726</v>
      </c>
      <c r="F92" s="3461">
        <v>2.6465251145001818E-2</v>
      </c>
      <c r="G92" s="3081">
        <f>IF(SUM(D92)=0,"NA",J92/D92)</f>
        <v>0.6</v>
      </c>
      <c r="H92" s="3081">
        <f>IF(SUM(E92)=0,"NA",K92/E92)</f>
        <v>2.4067226801284612E-2</v>
      </c>
      <c r="I92" s="3081">
        <f>IF(SUM(F92)=0,"NA",L92/F92)</f>
        <v>0.99999999999999134</v>
      </c>
      <c r="J92" s="3194">
        <v>0.31616445253170483</v>
      </c>
      <c r="K92" s="3194">
        <v>4.1791147140384212E-2</v>
      </c>
      <c r="L92" s="3194">
        <v>2.6465251145001589E-2</v>
      </c>
      <c r="M92" s="3460" t="s">
        <v>199</v>
      </c>
    </row>
    <row r="93" spans="2:13" ht="18" customHeight="1" x14ac:dyDescent="0.2">
      <c r="B93" s="2634" t="s">
        <v>672</v>
      </c>
      <c r="C93" s="2636" t="s">
        <v>672</v>
      </c>
      <c r="D93" s="3461">
        <v>2.340058574888225</v>
      </c>
      <c r="E93" s="3461">
        <v>7.7112215614479043</v>
      </c>
      <c r="F93" s="3461">
        <v>0.11752789546551869</v>
      </c>
      <c r="G93" s="3081">
        <f t="shared" ref="G93:G103" si="49">IF(SUM(D93)=0,"NA",J93/D93)</f>
        <v>0.6</v>
      </c>
      <c r="H93" s="3081">
        <f t="shared" ref="H93:H103" si="50">IF(SUM(E93)=0,"NA",K93/E93)</f>
        <v>2.4067226801284612E-2</v>
      </c>
      <c r="I93" s="3081">
        <f t="shared" ref="I93:I103" si="51">IF(SUM(F93)=0,"NA",L93/F93)</f>
        <v>0.999999999999997</v>
      </c>
      <c r="J93" s="3194">
        <v>1.4040351449329349</v>
      </c>
      <c r="K93" s="3194">
        <v>0.18558771823432277</v>
      </c>
      <c r="L93" s="3194">
        <v>0.11752789546551834</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7.5097573342433908</v>
      </c>
      <c r="E95" s="3461">
        <v>24.74698851494573</v>
      </c>
      <c r="F95" s="3461">
        <v>0.37717259919125229</v>
      </c>
      <c r="G95" s="3081">
        <f t="shared" si="49"/>
        <v>0.6</v>
      </c>
      <c r="H95" s="3081">
        <f t="shared" si="50"/>
        <v>2.4067226801284612E-2</v>
      </c>
      <c r="I95" s="3081">
        <f t="shared" si="51"/>
        <v>0.99999999999999456</v>
      </c>
      <c r="J95" s="3194">
        <v>4.5058544005460339</v>
      </c>
      <c r="K95" s="3194">
        <v>0.59559138523798438</v>
      </c>
      <c r="L95" s="3194">
        <v>0.37717259919125024</v>
      </c>
      <c r="M95" s="3460" t="s">
        <v>199</v>
      </c>
    </row>
    <row r="96" spans="2:13" ht="18" customHeight="1" x14ac:dyDescent="0.2">
      <c r="B96" s="2634" t="s">
        <v>676</v>
      </c>
      <c r="C96" s="2636" t="s">
        <v>676</v>
      </c>
      <c r="D96" s="3461">
        <v>1.8500643971177757E-2</v>
      </c>
      <c r="E96" s="3461">
        <v>6.0965381902045548E-2</v>
      </c>
      <c r="F96" s="3461">
        <v>9.2918261706043722E-4</v>
      </c>
      <c r="G96" s="3081">
        <f t="shared" si="49"/>
        <v>0.6</v>
      </c>
      <c r="H96" s="3081">
        <f t="shared" si="50"/>
        <v>2.4067226801284612E-2</v>
      </c>
      <c r="I96" s="3081">
        <f t="shared" si="51"/>
        <v>0.99999999999999534</v>
      </c>
      <c r="J96" s="3194">
        <v>1.1100386382706653E-2</v>
      </c>
      <c r="K96" s="3194">
        <v>1.4672676732634625E-3</v>
      </c>
      <c r="L96" s="3194">
        <v>9.2918261706043288E-4</v>
      </c>
      <c r="M96" s="3460" t="s">
        <v>199</v>
      </c>
    </row>
    <row r="97" spans="2:13" ht="18" customHeight="1" x14ac:dyDescent="0.2">
      <c r="B97" s="2634" t="s">
        <v>677</v>
      </c>
      <c r="C97" s="2636" t="s">
        <v>677</v>
      </c>
      <c r="D97" s="3461">
        <v>23.928347279175078</v>
      </c>
      <c r="E97" s="3461">
        <v>78.851354170825303</v>
      </c>
      <c r="F97" s="3461">
        <v>1.2017854287360508</v>
      </c>
      <c r="G97" s="3081">
        <f t="shared" si="49"/>
        <v>0.6</v>
      </c>
      <c r="H97" s="3081">
        <f t="shared" si="50"/>
        <v>2.4067226801284612E-2</v>
      </c>
      <c r="I97" s="3081">
        <f t="shared" si="51"/>
        <v>0.99999999999999223</v>
      </c>
      <c r="J97" s="3194">
        <v>14.357008367505045</v>
      </c>
      <c r="K97" s="3194">
        <v>1.897733424417672</v>
      </c>
      <c r="L97" s="3194">
        <v>1.2017854287360414</v>
      </c>
      <c r="M97" s="3460" t="s">
        <v>199</v>
      </c>
    </row>
    <row r="98" spans="2:13" ht="18" customHeight="1" x14ac:dyDescent="0.2">
      <c r="B98" s="2634" t="s">
        <v>679</v>
      </c>
      <c r="C98" s="2636" t="s">
        <v>679</v>
      </c>
      <c r="D98" s="3461">
        <v>5.6897304067102672</v>
      </c>
      <c r="E98" s="3461">
        <v>18.74943313893144</v>
      </c>
      <c r="F98" s="3461">
        <v>0.28576294954444403</v>
      </c>
      <c r="G98" s="3081">
        <f t="shared" si="49"/>
        <v>0.59999999999999987</v>
      </c>
      <c r="H98" s="3081">
        <f t="shared" si="50"/>
        <v>2.4067226801284612E-2</v>
      </c>
      <c r="I98" s="3081">
        <f t="shared" si="51"/>
        <v>0.99999999999999378</v>
      </c>
      <c r="J98" s="3194">
        <v>3.4138382440261599</v>
      </c>
      <c r="K98" s="3194">
        <v>0.45124685975018464</v>
      </c>
      <c r="L98" s="3194">
        <v>0.28576294954444226</v>
      </c>
      <c r="M98" s="3460" t="s">
        <v>199</v>
      </c>
    </row>
    <row r="99" spans="2:13" ht="18" customHeight="1" x14ac:dyDescent="0.2">
      <c r="B99" s="2634" t="s">
        <v>681</v>
      </c>
      <c r="C99" s="2636" t="s">
        <v>681</v>
      </c>
      <c r="D99" s="3461">
        <v>0.63740597936864762</v>
      </c>
      <c r="E99" s="3461">
        <v>2.1004511529110381</v>
      </c>
      <c r="F99" s="3461">
        <v>3.201329407573196E-2</v>
      </c>
      <c r="G99" s="3081">
        <f t="shared" si="49"/>
        <v>0.6</v>
      </c>
      <c r="H99" s="3081">
        <f t="shared" si="50"/>
        <v>2.4067226801284616E-2</v>
      </c>
      <c r="I99" s="3081">
        <f t="shared" si="51"/>
        <v>0.99999999999999434</v>
      </c>
      <c r="J99" s="3194">
        <v>0.38244358762118857</v>
      </c>
      <c r="K99" s="3194">
        <v>5.0552034282129704E-2</v>
      </c>
      <c r="L99" s="3194">
        <v>3.201329407573178E-2</v>
      </c>
      <c r="M99" s="3460" t="s">
        <v>199</v>
      </c>
    </row>
    <row r="100" spans="2:13" ht="18" customHeight="1" x14ac:dyDescent="0.2">
      <c r="B100" s="2634" t="s">
        <v>683</v>
      </c>
      <c r="C100" s="2636" t="s">
        <v>683</v>
      </c>
      <c r="D100" s="3461">
        <v>0.34782377264533459</v>
      </c>
      <c r="E100" s="3461">
        <v>1.1461876228183618</v>
      </c>
      <c r="F100" s="3461">
        <v>1.746921911723336E-2</v>
      </c>
      <c r="G100" s="3081">
        <f t="shared" si="49"/>
        <v>0.6</v>
      </c>
      <c r="H100" s="3081">
        <f t="shared" si="50"/>
        <v>2.4067226801284612E-2</v>
      </c>
      <c r="I100" s="3081">
        <f t="shared" si="51"/>
        <v>0.99999999999999745</v>
      </c>
      <c r="J100" s="3194">
        <v>0.20869426358720075</v>
      </c>
      <c r="K100" s="3194">
        <v>2.7585557475194776E-2</v>
      </c>
      <c r="L100" s="3194">
        <v>1.7469219117233314E-2</v>
      </c>
      <c r="M100" s="3460" t="s">
        <v>199</v>
      </c>
    </row>
    <row r="101" spans="2:13" ht="18" customHeight="1" x14ac:dyDescent="0.2">
      <c r="B101" s="2634" t="s">
        <v>686</v>
      </c>
      <c r="C101" s="2636" t="s">
        <v>686</v>
      </c>
      <c r="D101" s="3461">
        <v>7.313123197126821E-2</v>
      </c>
      <c r="E101" s="3461">
        <v>0.24099017812792509</v>
      </c>
      <c r="F101" s="3461">
        <v>3.6729677960280786E-3</v>
      </c>
      <c r="G101" s="3081">
        <f t="shared" si="49"/>
        <v>0.6</v>
      </c>
      <c r="H101" s="3081">
        <f t="shared" si="50"/>
        <v>2.4067226801284609E-2</v>
      </c>
      <c r="I101" s="3081">
        <f t="shared" si="51"/>
        <v>0.99999999999999556</v>
      </c>
      <c r="J101" s="3194">
        <v>4.3878739182760924E-2</v>
      </c>
      <c r="K101" s="3194">
        <v>5.7999652738867508E-3</v>
      </c>
      <c r="L101" s="3194">
        <v>3.6729677960280621E-3</v>
      </c>
      <c r="M101" s="3460" t="s">
        <v>199</v>
      </c>
    </row>
    <row r="102" spans="2:13" ht="18" customHeight="1" x14ac:dyDescent="0.2">
      <c r="B102" s="2634" t="s">
        <v>688</v>
      </c>
      <c r="C102" s="2636" t="s">
        <v>688</v>
      </c>
      <c r="D102" s="3461">
        <v>0.65047467950241189</v>
      </c>
      <c r="E102" s="3461">
        <v>2.1435165886796255</v>
      </c>
      <c r="F102" s="3461">
        <v>3.2669660903329269E-2</v>
      </c>
      <c r="G102" s="3081">
        <f t="shared" si="49"/>
        <v>0.6</v>
      </c>
      <c r="H102" s="3081">
        <f t="shared" si="50"/>
        <v>2.4067226801284612E-2</v>
      </c>
      <c r="I102" s="3081">
        <f t="shared" si="51"/>
        <v>0.99999999999999556</v>
      </c>
      <c r="J102" s="3194">
        <v>0.39028480770144713</v>
      </c>
      <c r="K102" s="3194">
        <v>5.1588499892068443E-2</v>
      </c>
      <c r="L102" s="3194">
        <v>3.2669660903329123E-2</v>
      </c>
      <c r="M102" s="3460" t="s">
        <v>199</v>
      </c>
    </row>
    <row r="103" spans="2:13" ht="18" customHeight="1" x14ac:dyDescent="0.2">
      <c r="B103" s="2634" t="s">
        <v>689</v>
      </c>
      <c r="C103" s="2636" t="s">
        <v>689</v>
      </c>
      <c r="D103" s="3461">
        <v>0.88027605077293636</v>
      </c>
      <c r="E103" s="3461">
        <v>2.9007836537043579</v>
      </c>
      <c r="F103" s="3461">
        <v>4.4211282908156693E-2</v>
      </c>
      <c r="G103" s="3081">
        <f t="shared" si="49"/>
        <v>0.60000000000000009</v>
      </c>
      <c r="H103" s="3081">
        <f t="shared" si="50"/>
        <v>2.4067226801284612E-2</v>
      </c>
      <c r="I103" s="3081">
        <f t="shared" si="51"/>
        <v>0.99999999999999467</v>
      </c>
      <c r="J103" s="3194">
        <v>0.52816563046376186</v>
      </c>
      <c r="K103" s="3194">
        <v>6.9813818095161823E-2</v>
      </c>
      <c r="L103" s="3194">
        <v>4.4211282908156457E-2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0.14523451592714495</v>
      </c>
      <c r="K117" s="3081">
        <f>IF(SUM(K118:K129)=0,"NO",SUM(K118:K129))</f>
        <v>16.742590920400797</v>
      </c>
      <c r="L117" s="3081">
        <f>IF(SUM(L118:L129)=0,"NO",SUM(L118:L129))</f>
        <v>14.615911569832202</v>
      </c>
      <c r="M117" s="3193">
        <f>IF(SUM(M118:M129)=0,"NO",SUM(M118:M129))</f>
        <v>-8.409290674651082</v>
      </c>
    </row>
    <row r="118" spans="2:13" ht="18" customHeight="1" x14ac:dyDescent="0.2">
      <c r="B118" s="2634" t="s">
        <v>671</v>
      </c>
      <c r="C118" s="2636" t="s">
        <v>671</v>
      </c>
      <c r="D118" s="3461">
        <v>0.51325010165228802</v>
      </c>
      <c r="E118" s="3461">
        <v>4.1764822439353617</v>
      </c>
      <c r="F118" s="3461">
        <v>0.28479391148766625</v>
      </c>
      <c r="G118" s="4443">
        <f>IF(SUM(D118)=0,"NA",J118/D118)</f>
        <v>3.5000000000000005E-3</v>
      </c>
      <c r="H118" s="3081">
        <f>IF(SUM(E118)=0,"NA",K118/E118)</f>
        <v>4.9583739079101338E-2</v>
      </c>
      <c r="I118" s="3081">
        <f>IF(SUM(F118)=0,"NA",L118/F118)</f>
        <v>0.63477885729903172</v>
      </c>
      <c r="J118" s="3194">
        <v>1.7963753557830083E-3</v>
      </c>
      <c r="K118" s="3194">
        <v>0.20708560585179064</v>
      </c>
      <c r="L118" s="3194">
        <v>0.18078115369986236</v>
      </c>
      <c r="M118" s="3460">
        <v>-0.10401275778780388</v>
      </c>
    </row>
    <row r="119" spans="2:13" ht="18" customHeight="1" x14ac:dyDescent="0.2">
      <c r="B119" s="2634" t="s">
        <v>672</v>
      </c>
      <c r="C119" s="2636" t="s">
        <v>672</v>
      </c>
      <c r="D119" s="3461">
        <v>2.2792606034290026</v>
      </c>
      <c r="E119" s="3461">
        <v>18.54708144991595</v>
      </c>
      <c r="F119" s="3461">
        <v>1.2647236512191549</v>
      </c>
      <c r="G119" s="4443">
        <f t="shared" ref="G119:G129" si="77">IF(SUM(D119)=0,"NA",J119/D119)</f>
        <v>3.5000000000000005E-3</v>
      </c>
      <c r="H119" s="3081">
        <f t="shared" ref="H119:H129" si="78">IF(SUM(E119)=0,"NA",K119/E119)</f>
        <v>4.9583739079101345E-2</v>
      </c>
      <c r="I119" s="3081">
        <f t="shared" ref="I119:I129" si="79">IF(SUM(F119)=0,"NA",L119/F119)</f>
        <v>0.63477885729903161</v>
      </c>
      <c r="J119" s="3194">
        <v>7.9774121120015102E-3</v>
      </c>
      <c r="K119" s="3194">
        <v>0.91963364729147312</v>
      </c>
      <c r="L119" s="3194">
        <v>0.80281983411995417</v>
      </c>
      <c r="M119" s="3460">
        <v>-0.46190381709920059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7.3146434097576236</v>
      </c>
      <c r="E121" s="3461">
        <v>59.521621570506582</v>
      </c>
      <c r="F121" s="3461">
        <v>4.058773492876262</v>
      </c>
      <c r="G121" s="4443">
        <f t="shared" si="77"/>
        <v>3.4999999999999996E-3</v>
      </c>
      <c r="H121" s="3081">
        <f t="shared" si="78"/>
        <v>4.9583739079101345E-2</v>
      </c>
      <c r="I121" s="3081">
        <f t="shared" si="79"/>
        <v>0.63477885729903172</v>
      </c>
      <c r="J121" s="3194">
        <v>2.5601251934151682E-2</v>
      </c>
      <c r="K121" s="3194">
        <v>2.9513045535170086</v>
      </c>
      <c r="L121" s="3194">
        <v>2.5764235998435931</v>
      </c>
      <c r="M121" s="3460">
        <v>-1.4823498930326688</v>
      </c>
    </row>
    <row r="122" spans="2:13" ht="18" customHeight="1" x14ac:dyDescent="0.2">
      <c r="B122" s="2634" t="s">
        <v>676</v>
      </c>
      <c r="C122" s="2636" t="s">
        <v>676</v>
      </c>
      <c r="D122" s="3461">
        <v>1.8019971548612169E-2</v>
      </c>
      <c r="E122" s="3461">
        <v>0.14663434252953278</v>
      </c>
      <c r="F122" s="3461">
        <v>9.9989813264615458E-3</v>
      </c>
      <c r="G122" s="4443">
        <f t="shared" si="77"/>
        <v>3.5000000000000005E-3</v>
      </c>
      <c r="H122" s="3081">
        <f t="shared" si="78"/>
        <v>4.9583739079101338E-2</v>
      </c>
      <c r="I122" s="3081">
        <f t="shared" si="79"/>
        <v>0.63477885729903161</v>
      </c>
      <c r="J122" s="3194">
        <v>6.3069900420142596E-5</v>
      </c>
      <c r="K122" s="3194">
        <v>7.2706789800199264E-3</v>
      </c>
      <c r="L122" s="3194">
        <v>6.3471419405656156E-3</v>
      </c>
      <c r="M122" s="3460">
        <v>-3.651839385895929E-3</v>
      </c>
    </row>
    <row r="123" spans="2:13" ht="18" customHeight="1" x14ac:dyDescent="0.2">
      <c r="B123" s="2634" t="s">
        <v>677</v>
      </c>
      <c r="C123" s="2636" t="s">
        <v>677</v>
      </c>
      <c r="D123" s="3461">
        <v>23.306655587113422</v>
      </c>
      <c r="E123" s="3461">
        <v>189.6538021360997</v>
      </c>
      <c r="F123" s="3461">
        <v>12.932474025785343</v>
      </c>
      <c r="G123" s="4443">
        <f t="shared" si="77"/>
        <v>3.5000000000000001E-3</v>
      </c>
      <c r="H123" s="3081">
        <f t="shared" si="78"/>
        <v>4.9583739079101338E-2</v>
      </c>
      <c r="I123" s="3081">
        <f t="shared" si="79"/>
        <v>0.63477885729903194</v>
      </c>
      <c r="J123" s="3194">
        <v>8.157329455489698E-2</v>
      </c>
      <c r="K123" s="3194">
        <v>9.40374464047588</v>
      </c>
      <c r="L123" s="3194">
        <v>8.2092610841374309</v>
      </c>
      <c r="M123" s="3460">
        <v>-4.7232129416479145</v>
      </c>
    </row>
    <row r="124" spans="2:13" ht="18" customHeight="1" x14ac:dyDescent="0.2">
      <c r="B124" s="2634" t="s">
        <v>679</v>
      </c>
      <c r="C124" s="2636" t="s">
        <v>679</v>
      </c>
      <c r="D124" s="3461">
        <v>5.5419033093076457</v>
      </c>
      <c r="E124" s="3461">
        <v>45.096261441386943</v>
      </c>
      <c r="F124" s="3461">
        <v>3.0751096112074787</v>
      </c>
      <c r="G124" s="4443">
        <f t="shared" si="77"/>
        <v>3.5000000000000005E-3</v>
      </c>
      <c r="H124" s="3081">
        <f t="shared" si="78"/>
        <v>4.9583739079101338E-2</v>
      </c>
      <c r="I124" s="3081">
        <f t="shared" si="79"/>
        <v>0.63477885729903183</v>
      </c>
      <c r="J124" s="3194">
        <v>1.9396661582576764E-2</v>
      </c>
      <c r="K124" s="3194">
        <v>2.2360412607526685</v>
      </c>
      <c r="L124" s="3194">
        <v>1.9520145650715535</v>
      </c>
      <c r="M124" s="3460">
        <v>-1.1230950461359257</v>
      </c>
    </row>
    <row r="125" spans="2:13" ht="18" customHeight="1" x14ac:dyDescent="0.2">
      <c r="B125" s="2634" t="s">
        <v>681</v>
      </c>
      <c r="C125" s="2636" t="s">
        <v>681</v>
      </c>
      <c r="D125" s="3461">
        <v>0.62084528684690432</v>
      </c>
      <c r="E125" s="3461">
        <v>5.052019100239165</v>
      </c>
      <c r="F125" s="3461">
        <v>0.34449668319714755</v>
      </c>
      <c r="G125" s="4443">
        <f t="shared" si="77"/>
        <v>3.5000000000000005E-3</v>
      </c>
      <c r="H125" s="3081">
        <f t="shared" si="78"/>
        <v>4.9583739079101338E-2</v>
      </c>
      <c r="I125" s="3081">
        <f t="shared" si="79"/>
        <v>0.63477885729903194</v>
      </c>
      <c r="J125" s="3194">
        <v>2.1729585039641655E-3</v>
      </c>
      <c r="K125" s="3194">
        <v>0.25049799688889507</v>
      </c>
      <c r="L125" s="3194">
        <v>0.21867921090319192</v>
      </c>
      <c r="M125" s="3460">
        <v>-0.12581747229395568</v>
      </c>
    </row>
    <row r="126" spans="2:13" ht="18" customHeight="1" x14ac:dyDescent="0.2">
      <c r="B126" s="2634" t="s">
        <v>683</v>
      </c>
      <c r="C126" s="2636" t="s">
        <v>683</v>
      </c>
      <c r="D126" s="3461">
        <v>0.3387868280025535</v>
      </c>
      <c r="E126" s="3461">
        <v>2.7568181030588996</v>
      </c>
      <c r="F126" s="3461">
        <v>0.18798715401465585</v>
      </c>
      <c r="G126" s="4443">
        <f t="shared" si="77"/>
        <v>3.5000000000000009E-3</v>
      </c>
      <c r="H126" s="3081">
        <f t="shared" si="78"/>
        <v>4.9583739079101345E-2</v>
      </c>
      <c r="I126" s="3081">
        <f t="shared" si="79"/>
        <v>0.63477885729903172</v>
      </c>
      <c r="J126" s="3194">
        <v>1.1857538980089375E-3</v>
      </c>
      <c r="K126" s="3194">
        <v>0.1366933495106156</v>
      </c>
      <c r="L126" s="3194">
        <v>0.11933027081232032</v>
      </c>
      <c r="M126" s="3460">
        <v>-6.8656883202335525E-2</v>
      </c>
    </row>
    <row r="127" spans="2:13" ht="18" customHeight="1" x14ac:dyDescent="0.2">
      <c r="B127" s="2634" t="s">
        <v>686</v>
      </c>
      <c r="C127" s="2636" t="s">
        <v>686</v>
      </c>
      <c r="D127" s="3461">
        <v>7.1231181005928887E-2</v>
      </c>
      <c r="E127" s="3461">
        <v>0.57963118122741752</v>
      </c>
      <c r="F127" s="3461">
        <v>3.9524992967868433E-2</v>
      </c>
      <c r="G127" s="4443">
        <f t="shared" si="77"/>
        <v>3.5000000000000009E-3</v>
      </c>
      <c r="H127" s="3081">
        <f t="shared" si="78"/>
        <v>4.9583739079101338E-2</v>
      </c>
      <c r="I127" s="3081">
        <f t="shared" si="79"/>
        <v>0.63477885729903194</v>
      </c>
      <c r="J127" s="3194">
        <v>2.4930913352075117E-4</v>
      </c>
      <c r="K127" s="3194">
        <v>2.8740281252091573E-2</v>
      </c>
      <c r="L127" s="3194">
        <v>2.5089629870895795E-2</v>
      </c>
      <c r="M127" s="3460">
        <v>-1.4435363096972647E-2</v>
      </c>
    </row>
    <row r="128" spans="2:13" ht="18" customHeight="1" x14ac:dyDescent="0.2">
      <c r="B128" s="2634" t="s">
        <v>688</v>
      </c>
      <c r="C128" s="2636" t="s">
        <v>688</v>
      </c>
      <c r="D128" s="3461">
        <v>0.63357444400244223</v>
      </c>
      <c r="E128" s="3461">
        <v>5.1556003731297508</v>
      </c>
      <c r="F128" s="3461">
        <v>0.35155987995949872</v>
      </c>
      <c r="G128" s="4443">
        <f t="shared" si="77"/>
        <v>3.5000000000000005E-3</v>
      </c>
      <c r="H128" s="3081">
        <f t="shared" si="78"/>
        <v>4.9583739079101352E-2</v>
      </c>
      <c r="I128" s="3081">
        <f t="shared" si="79"/>
        <v>0.63477885729903161</v>
      </c>
      <c r="J128" s="3194">
        <v>2.217510554008548E-3</v>
      </c>
      <c r="K128" s="3194">
        <v>0.25563394369738313</v>
      </c>
      <c r="L128" s="3194">
        <v>0.22316277887287533</v>
      </c>
      <c r="M128" s="3460">
        <v>-0.12839710108662333</v>
      </c>
    </row>
    <row r="129" spans="2:13" ht="18" customHeight="1" x14ac:dyDescent="0.2">
      <c r="B129" s="2634" t="s">
        <v>689</v>
      </c>
      <c r="C129" s="2636" t="s">
        <v>689</v>
      </c>
      <c r="D129" s="3461">
        <v>0.8574052565178456</v>
      </c>
      <c r="E129" s="3461">
        <v>6.9769841606960012</v>
      </c>
      <c r="F129" s="3461">
        <v>0.47575986044174318</v>
      </c>
      <c r="G129" s="4443">
        <f t="shared" si="77"/>
        <v>3.5000000000000001E-3</v>
      </c>
      <c r="H129" s="3081">
        <f t="shared" si="78"/>
        <v>4.9583739079101338E-2</v>
      </c>
      <c r="I129" s="3081">
        <f t="shared" si="79"/>
        <v>0.63477885729903161</v>
      </c>
      <c r="J129" s="3194">
        <v>3.0009183978124596E-3</v>
      </c>
      <c r="K129" s="3194">
        <v>0.34594496218297338</v>
      </c>
      <c r="L129" s="3194">
        <v>0.30200230055995647</v>
      </c>
      <c r="M129" s="3460">
        <v>-0.17375755988178662</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91.398110239683646</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91.398110239683646</v>
      </c>
      <c r="L131" s="3196"/>
      <c r="M131" s="3193" t="str">
        <f>IF(SUM(M132:M143)=0,"NO",SUM(M132:M143))</f>
        <v>NO</v>
      </c>
    </row>
    <row r="132" spans="2:13" ht="18" customHeight="1" x14ac:dyDescent="0.2">
      <c r="B132" s="2634" t="s">
        <v>671</v>
      </c>
      <c r="C132" s="2636" t="s">
        <v>671</v>
      </c>
      <c r="D132" s="3461" t="s">
        <v>199</v>
      </c>
      <c r="E132" s="3461">
        <v>1.493947548238914</v>
      </c>
      <c r="F132" s="346"/>
      <c r="G132" s="3668" t="str">
        <f>IF(SUM(D132)=0,"NA",J132/D132)</f>
        <v>NA</v>
      </c>
      <c r="H132" s="3081">
        <f>IF(SUM(E132)=0,"NA",K132/E132)</f>
        <v>0.75670937278861772</v>
      </c>
      <c r="I132" s="4253"/>
      <c r="J132" s="3194" t="s">
        <v>199</v>
      </c>
      <c r="K132" s="3194">
        <v>1.1304841122069618</v>
      </c>
      <c r="L132" s="3196"/>
      <c r="M132" s="3460" t="s">
        <v>199</v>
      </c>
    </row>
    <row r="133" spans="2:13" ht="18" customHeight="1" x14ac:dyDescent="0.2">
      <c r="B133" s="2634" t="s">
        <v>672</v>
      </c>
      <c r="C133" s="2636" t="s">
        <v>672</v>
      </c>
      <c r="D133" s="3461" t="s">
        <v>199</v>
      </c>
      <c r="E133" s="3461">
        <v>6.634379183420327</v>
      </c>
      <c r="F133" s="346"/>
      <c r="G133" s="3668" t="str">
        <f t="shared" ref="G133:G143" si="80">IF(SUM(D133)=0,"NA",J133/D133)</f>
        <v>NA</v>
      </c>
      <c r="H133" s="3081">
        <f t="shared" ref="H133:H143" si="81">IF(SUM(E133)=0,"NA",K133/E133)</f>
        <v>0.75670937278861761</v>
      </c>
      <c r="I133" s="4253"/>
      <c r="J133" s="3194" t="s">
        <v>199</v>
      </c>
      <c r="K133" s="3194">
        <v>5.0202969107278568</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21.291166924410131</v>
      </c>
      <c r="F135" s="346"/>
      <c r="G135" s="3668" t="str">
        <f t="shared" si="80"/>
        <v>NA</v>
      </c>
      <c r="H135" s="3081">
        <f t="shared" si="81"/>
        <v>0.75670937278861761</v>
      </c>
      <c r="I135" s="4253"/>
      <c r="J135" s="3194" t="s">
        <v>199</v>
      </c>
      <c r="K135" s="3194">
        <v>16.11122556930815</v>
      </c>
      <c r="L135" s="3196"/>
      <c r="M135" s="3460" t="s">
        <v>199</v>
      </c>
    </row>
    <row r="136" spans="2:13" ht="18" customHeight="1" x14ac:dyDescent="0.2">
      <c r="B136" s="2634" t="s">
        <v>676</v>
      </c>
      <c r="C136" s="2636" t="s">
        <v>676</v>
      </c>
      <c r="D136" s="3461" t="s">
        <v>199</v>
      </c>
      <c r="E136" s="3461">
        <v>5.2451801232417987E-2</v>
      </c>
      <c r="F136" s="346"/>
      <c r="G136" s="3668" t="str">
        <f t="shared" si="80"/>
        <v>NA</v>
      </c>
      <c r="H136" s="3081">
        <f t="shared" si="81"/>
        <v>0.75670937278861761</v>
      </c>
      <c r="I136" s="4253"/>
      <c r="J136" s="3194" t="s">
        <v>199</v>
      </c>
      <c r="K136" s="3194">
        <v>3.9690769612216258E-2</v>
      </c>
      <c r="L136" s="3196"/>
      <c r="M136" s="3460" t="s">
        <v>199</v>
      </c>
    </row>
    <row r="137" spans="2:13" ht="18" customHeight="1" x14ac:dyDescent="0.2">
      <c r="B137" s="2634" t="s">
        <v>677</v>
      </c>
      <c r="C137" s="2636" t="s">
        <v>677</v>
      </c>
      <c r="D137" s="3461" t="s">
        <v>199</v>
      </c>
      <c r="E137" s="3461">
        <v>67.840066392438217</v>
      </c>
      <c r="F137" s="346"/>
      <c r="G137" s="3668" t="str">
        <f t="shared" si="80"/>
        <v>NA</v>
      </c>
      <c r="H137" s="3081">
        <f t="shared" si="81"/>
        <v>0.75670937278861772</v>
      </c>
      <c r="I137" s="4253"/>
      <c r="J137" s="3194" t="s">
        <v>199</v>
      </c>
      <c r="K137" s="3194">
        <v>51.335214089760107</v>
      </c>
      <c r="L137" s="3196"/>
      <c r="M137" s="3460" t="s">
        <v>199</v>
      </c>
    </row>
    <row r="138" spans="2:13" ht="18" customHeight="1" x14ac:dyDescent="0.2">
      <c r="B138" s="2634" t="s">
        <v>679</v>
      </c>
      <c r="C138" s="2636" t="s">
        <v>679</v>
      </c>
      <c r="D138" s="3461" t="s">
        <v>199</v>
      </c>
      <c r="E138" s="3461">
        <v>16.13114704675943</v>
      </c>
      <c r="F138" s="346"/>
      <c r="G138" s="3668" t="str">
        <f t="shared" si="80"/>
        <v>NA</v>
      </c>
      <c r="H138" s="3081">
        <f t="shared" si="81"/>
        <v>0.75670937278861761</v>
      </c>
      <c r="I138" s="4253"/>
      <c r="J138" s="3194" t="s">
        <v>199</v>
      </c>
      <c r="K138" s="3194">
        <v>12.20659016411429</v>
      </c>
      <c r="L138" s="3196"/>
      <c r="M138" s="3460" t="s">
        <v>199</v>
      </c>
    </row>
    <row r="139" spans="2:13" ht="18" customHeight="1" x14ac:dyDescent="0.2">
      <c r="B139" s="2634" t="s">
        <v>681</v>
      </c>
      <c r="C139" s="2636" t="s">
        <v>681</v>
      </c>
      <c r="D139" s="3461" t="s">
        <v>199</v>
      </c>
      <c r="E139" s="3461">
        <v>1.8071312429061714</v>
      </c>
      <c r="F139" s="346"/>
      <c r="G139" s="3668" t="str">
        <f t="shared" si="80"/>
        <v>NA</v>
      </c>
      <c r="H139" s="3081">
        <f t="shared" si="81"/>
        <v>0.75670937278861761</v>
      </c>
      <c r="I139" s="4253"/>
      <c r="J139" s="3194" t="s">
        <v>199</v>
      </c>
      <c r="K139" s="3194">
        <v>1.367473149366244</v>
      </c>
      <c r="L139" s="3196"/>
      <c r="M139" s="3460" t="s">
        <v>199</v>
      </c>
    </row>
    <row r="140" spans="2:13" ht="18" customHeight="1" x14ac:dyDescent="0.2">
      <c r="B140" s="2634" t="s">
        <v>683</v>
      </c>
      <c r="C140" s="2636" t="s">
        <v>683</v>
      </c>
      <c r="D140" s="3461" t="s">
        <v>199</v>
      </c>
      <c r="E140" s="3461">
        <v>0.98612693780417748</v>
      </c>
      <c r="F140" s="346"/>
      <c r="G140" s="3668" t="str">
        <f t="shared" si="80"/>
        <v>NA</v>
      </c>
      <c r="H140" s="3081">
        <f t="shared" si="81"/>
        <v>0.75670937278861761</v>
      </c>
      <c r="I140" s="4253"/>
      <c r="J140" s="3194" t="s">
        <v>199</v>
      </c>
      <c r="K140" s="3194">
        <v>0.74621149659575925</v>
      </c>
      <c r="L140" s="3196"/>
      <c r="M140" s="3460" t="s">
        <v>199</v>
      </c>
    </row>
    <row r="141" spans="2:13" ht="18" customHeight="1" x14ac:dyDescent="0.2">
      <c r="B141" s="2634" t="s">
        <v>686</v>
      </c>
      <c r="C141" s="2636" t="s">
        <v>686</v>
      </c>
      <c r="D141" s="3461" t="s">
        <v>199</v>
      </c>
      <c r="E141" s="3461">
        <v>0.20733682834039316</v>
      </c>
      <c r="F141" s="346"/>
      <c r="G141" s="3668" t="str">
        <f t="shared" si="80"/>
        <v>NA</v>
      </c>
      <c r="H141" s="3081">
        <f t="shared" si="81"/>
        <v>0.75670937278861761</v>
      </c>
      <c r="I141" s="4253"/>
      <c r="J141" s="3194" t="s">
        <v>199</v>
      </c>
      <c r="K141" s="3194">
        <v>0.15689372132944018</v>
      </c>
      <c r="L141" s="3196"/>
      <c r="M141" s="3460" t="s">
        <v>199</v>
      </c>
    </row>
    <row r="142" spans="2:13" ht="18" customHeight="1" x14ac:dyDescent="0.2">
      <c r="B142" s="2634" t="s">
        <v>688</v>
      </c>
      <c r="C142" s="2636" t="s">
        <v>688</v>
      </c>
      <c r="D142" s="3461" t="s">
        <v>199</v>
      </c>
      <c r="E142" s="3461">
        <v>1.8441827565102484</v>
      </c>
      <c r="F142" s="346"/>
      <c r="G142" s="3668" t="str">
        <f t="shared" si="80"/>
        <v>NA</v>
      </c>
      <c r="H142" s="3081">
        <f t="shared" si="81"/>
        <v>0.75670937278861761</v>
      </c>
      <c r="I142" s="4253"/>
      <c r="J142" s="3194" t="s">
        <v>199</v>
      </c>
      <c r="K142" s="3194">
        <v>1.3955103769864541</v>
      </c>
      <c r="L142" s="3196"/>
      <c r="M142" s="3460" t="s">
        <v>199</v>
      </c>
    </row>
    <row r="143" spans="2:13" ht="18" customHeight="1" x14ac:dyDescent="0.2">
      <c r="B143" s="2634" t="s">
        <v>689</v>
      </c>
      <c r="C143" s="2636" t="s">
        <v>689</v>
      </c>
      <c r="D143" s="3461" t="s">
        <v>199</v>
      </c>
      <c r="E143" s="3461">
        <v>2.495700393820433</v>
      </c>
      <c r="F143" s="346"/>
      <c r="G143" s="3668" t="str">
        <f t="shared" si="80"/>
        <v>NA</v>
      </c>
      <c r="H143" s="3081">
        <f t="shared" si="81"/>
        <v>0.75670937278861772</v>
      </c>
      <c r="I143" s="4253"/>
      <c r="J143" s="3194" t="s">
        <v>199</v>
      </c>
      <c r="K143" s="3194">
        <v>1.888519879676166</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34.470587262858587</v>
      </c>
      <c r="L146" s="3081">
        <f>IF(SUM(L147:L158)=0,"NO",SUM(L147:L158))</f>
        <v>14.002101058790059</v>
      </c>
      <c r="M146" s="3193" t="str">
        <f>IF(SUM(M147:M158)=0,"NO",SUM(M147:M158))</f>
        <v>NO</v>
      </c>
    </row>
    <row r="147" spans="2:13" ht="18" customHeight="1" x14ac:dyDescent="0.2">
      <c r="B147" s="2634" t="s">
        <v>671</v>
      </c>
      <c r="C147" s="2636" t="s">
        <v>671</v>
      </c>
      <c r="D147" s="3461">
        <v>0.60911547819636858</v>
      </c>
      <c r="E147" s="3461">
        <v>1.1572767096964582</v>
      </c>
      <c r="F147" s="3461">
        <v>0.17318905985001057</v>
      </c>
      <c r="G147" s="3668" t="str">
        <f>IFERROR(J147/D147,"NA")</f>
        <v>NA</v>
      </c>
      <c r="H147" s="3081">
        <f>IF(SUM(E147)=0,"NA",K147/E147)</f>
        <v>0.36841619789528707</v>
      </c>
      <c r="I147" s="3081">
        <f>IF(SUM(F147)=0,"NA",L147/F147)</f>
        <v>0.99999999999999989</v>
      </c>
      <c r="J147" s="3194" t="s">
        <v>199</v>
      </c>
      <c r="K147" s="3194">
        <v>0.42635948529913703</v>
      </c>
      <c r="L147" s="3194">
        <v>0.17318905985001054</v>
      </c>
      <c r="M147" s="3460" t="s">
        <v>199</v>
      </c>
    </row>
    <row r="148" spans="2:13" ht="18" customHeight="1" x14ac:dyDescent="0.2">
      <c r="B148" s="2634" t="s">
        <v>672</v>
      </c>
      <c r="C148" s="2636" t="s">
        <v>672</v>
      </c>
      <c r="D148" s="3461">
        <v>2.7049832195305736</v>
      </c>
      <c r="E148" s="3461">
        <v>5.1392784983101061</v>
      </c>
      <c r="F148" s="3461">
        <v>0.7691045745344316</v>
      </c>
      <c r="G148" s="3668" t="str">
        <f t="shared" ref="G148:G158" si="82">IFERROR(J148/D148,"NA")</f>
        <v>NA</v>
      </c>
      <c r="H148" s="3081">
        <f t="shared" ref="H148:H158" si="83">IF(SUM(E148)=0,"NA",K148/E148)</f>
        <v>0.36841619789528707</v>
      </c>
      <c r="I148" s="3081">
        <f t="shared" ref="I148:I158" si="84">IF(SUM(F148)=0,"NA",L148/F148)</f>
        <v>1.0000000000000002</v>
      </c>
      <c r="J148" s="3194" t="s">
        <v>199</v>
      </c>
      <c r="K148" s="3194">
        <v>1.8933934442724099</v>
      </c>
      <c r="L148" s="3194">
        <v>0.76910457453443182</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8.6808799531205469</v>
      </c>
      <c r="E150" s="3461">
        <v>16.493063382931425</v>
      </c>
      <c r="F150" s="3461">
        <v>2.4682239929340128</v>
      </c>
      <c r="G150" s="3668" t="str">
        <f t="shared" si="82"/>
        <v>NA</v>
      </c>
      <c r="H150" s="3081">
        <f t="shared" si="83"/>
        <v>0.36841619789528707</v>
      </c>
      <c r="I150" s="3081">
        <f t="shared" si="84"/>
        <v>1.0000000000000002</v>
      </c>
      <c r="J150" s="3194" t="s">
        <v>199</v>
      </c>
      <c r="K150" s="3194">
        <v>6.0763117031855769</v>
      </c>
      <c r="L150" s="3194">
        <v>2.4682239929340133</v>
      </c>
      <c r="M150" s="3460" t="s">
        <v>199</v>
      </c>
    </row>
    <row r="151" spans="2:13" ht="18" customHeight="1" x14ac:dyDescent="0.2">
      <c r="B151" s="2634" t="s">
        <v>676</v>
      </c>
      <c r="C151" s="2636" t="s">
        <v>676</v>
      </c>
      <c r="D151" s="3461">
        <v>2.138576018121072E-2</v>
      </c>
      <c r="E151" s="3461">
        <v>4.0631445206667921E-2</v>
      </c>
      <c r="F151" s="3461">
        <v>6.0805870685289682E-3</v>
      </c>
      <c r="G151" s="3668" t="str">
        <f t="shared" si="82"/>
        <v>NA</v>
      </c>
      <c r="H151" s="3081">
        <f t="shared" si="83"/>
        <v>0.36841619789528707</v>
      </c>
      <c r="I151" s="3081">
        <f t="shared" si="84"/>
        <v>1.0000000000000004</v>
      </c>
      <c r="J151" s="3194" t="s">
        <v>199</v>
      </c>
      <c r="K151" s="3194">
        <v>1.4969282558031283E-2</v>
      </c>
      <c r="L151" s="3194">
        <v>6.0805870685289708E-3</v>
      </c>
      <c r="M151" s="3460" t="s">
        <v>199</v>
      </c>
    </row>
    <row r="152" spans="2:13" ht="18" customHeight="1" x14ac:dyDescent="0.2">
      <c r="B152" s="2634" t="s">
        <v>677</v>
      </c>
      <c r="C152" s="2636" t="s">
        <v>677</v>
      </c>
      <c r="D152" s="3461">
        <v>27.659896446976902</v>
      </c>
      <c r="E152" s="3461">
        <v>52.551864295890795</v>
      </c>
      <c r="F152" s="3461">
        <v>7.8645045687974404</v>
      </c>
      <c r="G152" s="3668" t="str">
        <f t="shared" si="82"/>
        <v>NA</v>
      </c>
      <c r="H152" s="3081">
        <f t="shared" si="83"/>
        <v>0.36841619789528701</v>
      </c>
      <c r="I152" s="3081">
        <f t="shared" si="84"/>
        <v>1.0000000000000004</v>
      </c>
      <c r="J152" s="3194" t="s">
        <v>199</v>
      </c>
      <c r="K152" s="3194">
        <v>19.360958036201172</v>
      </c>
      <c r="L152" s="3194">
        <v>7.8645045687974431</v>
      </c>
      <c r="M152" s="3460" t="s">
        <v>199</v>
      </c>
    </row>
    <row r="153" spans="2:13" ht="18" customHeight="1" x14ac:dyDescent="0.2">
      <c r="B153" s="2634" t="s">
        <v>679</v>
      </c>
      <c r="C153" s="2636" t="s">
        <v>679</v>
      </c>
      <c r="D153" s="3461">
        <v>6.5770256518212529</v>
      </c>
      <c r="E153" s="3461">
        <v>12.495887690240412</v>
      </c>
      <c r="F153" s="3461">
        <v>1.8700376694107079</v>
      </c>
      <c r="G153" s="3668" t="str">
        <f t="shared" si="82"/>
        <v>NA</v>
      </c>
      <c r="H153" s="3081">
        <f t="shared" si="83"/>
        <v>0.36841619789528707</v>
      </c>
      <c r="I153" s="3081">
        <f t="shared" si="84"/>
        <v>1.0000000000000007</v>
      </c>
      <c r="J153" s="3194" t="s">
        <v>199</v>
      </c>
      <c r="K153" s="3194">
        <v>4.6036874321648931</v>
      </c>
      <c r="L153" s="3194">
        <v>1.870037669410709</v>
      </c>
      <c r="M153" s="3460" t="s">
        <v>199</v>
      </c>
    </row>
    <row r="154" spans="2:13" ht="18" customHeight="1" x14ac:dyDescent="0.2">
      <c r="B154" s="2634" t="s">
        <v>681</v>
      </c>
      <c r="C154" s="2636" t="s">
        <v>681</v>
      </c>
      <c r="D154" s="3461">
        <v>0.73680740162796987</v>
      </c>
      <c r="E154" s="3461">
        <v>1.3998824130374845</v>
      </c>
      <c r="F154" s="3461">
        <v>0.20949554845713331</v>
      </c>
      <c r="G154" s="3668" t="str">
        <f t="shared" si="82"/>
        <v>NA</v>
      </c>
      <c r="H154" s="3081">
        <f t="shared" si="83"/>
        <v>0.36841619789528712</v>
      </c>
      <c r="I154" s="3081">
        <f t="shared" si="84"/>
        <v>0.99999999999999978</v>
      </c>
      <c r="J154" s="3194" t="s">
        <v>199</v>
      </c>
      <c r="K154" s="3194">
        <v>0.51573935611174992</v>
      </c>
      <c r="L154" s="3194">
        <v>0.20949554845713325</v>
      </c>
      <c r="M154" s="3460" t="s">
        <v>199</v>
      </c>
    </row>
    <row r="155" spans="2:13" ht="18" customHeight="1" x14ac:dyDescent="0.2">
      <c r="B155" s="2634" t="s">
        <v>683</v>
      </c>
      <c r="C155" s="2636" t="s">
        <v>683</v>
      </c>
      <c r="D155" s="3461">
        <v>0.4020657766673163</v>
      </c>
      <c r="E155" s="3461">
        <v>0.76389679093509688</v>
      </c>
      <c r="F155" s="3461">
        <v>0.1143188711360052</v>
      </c>
      <c r="G155" s="3668" t="str">
        <f t="shared" si="82"/>
        <v>NA</v>
      </c>
      <c r="H155" s="3081">
        <f t="shared" si="83"/>
        <v>0.36841619789528712</v>
      </c>
      <c r="I155" s="3081">
        <f t="shared" si="84"/>
        <v>1</v>
      </c>
      <c r="J155" s="3194" t="s">
        <v>199</v>
      </c>
      <c r="K155" s="3194">
        <v>0.28143195130071941</v>
      </c>
      <c r="L155" s="3194">
        <v>0.1143188711360052</v>
      </c>
      <c r="M155" s="3460" t="s">
        <v>199</v>
      </c>
    </row>
    <row r="156" spans="2:13" ht="18" customHeight="1" x14ac:dyDescent="0.2">
      <c r="B156" s="2634" t="s">
        <v>686</v>
      </c>
      <c r="C156" s="2636" t="s">
        <v>686</v>
      </c>
      <c r="D156" s="3461">
        <v>8.4535813517115629E-2</v>
      </c>
      <c r="E156" s="3461">
        <v>0.1606121197384214</v>
      </c>
      <c r="F156" s="3461">
        <v>2.4035964592522087E-2</v>
      </c>
      <c r="G156" s="3668" t="str">
        <f t="shared" si="82"/>
        <v>NA</v>
      </c>
      <c r="H156" s="3081">
        <f t="shared" si="83"/>
        <v>0.36841619789528707</v>
      </c>
      <c r="I156" s="3081">
        <f t="shared" si="84"/>
        <v>1.0000000000000007</v>
      </c>
      <c r="J156" s="3194" t="s">
        <v>199</v>
      </c>
      <c r="K156" s="3194">
        <v>5.9172106489931799E-2</v>
      </c>
      <c r="L156" s="3194">
        <v>2.4035964592522101E-2</v>
      </c>
      <c r="M156" s="3460" t="s">
        <v>199</v>
      </c>
    </row>
    <row r="157" spans="2:13" ht="18" customHeight="1" x14ac:dyDescent="0.2">
      <c r="B157" s="2634" t="s">
        <v>688</v>
      </c>
      <c r="C157" s="2636" t="s">
        <v>688</v>
      </c>
      <c r="D157" s="3461">
        <v>0.75191412371700894</v>
      </c>
      <c r="E157" s="3461">
        <v>1.4285841260283765</v>
      </c>
      <c r="F157" s="3461">
        <v>0.21379082429507978</v>
      </c>
      <c r="G157" s="3668" t="str">
        <f t="shared" si="82"/>
        <v>NA</v>
      </c>
      <c r="H157" s="3081">
        <f t="shared" si="83"/>
        <v>0.36841619789528707</v>
      </c>
      <c r="I157" s="3081">
        <f t="shared" si="84"/>
        <v>1</v>
      </c>
      <c r="J157" s="3194" t="s">
        <v>199</v>
      </c>
      <c r="K157" s="3194">
        <v>0.52631353208493603</v>
      </c>
      <c r="L157" s="3194">
        <v>0.21379082429507978</v>
      </c>
      <c r="M157" s="3460" t="s">
        <v>199</v>
      </c>
    </row>
    <row r="158" spans="2:13" ht="18" customHeight="1" x14ac:dyDescent="0.2">
      <c r="B158" s="2634" t="s">
        <v>689</v>
      </c>
      <c r="C158" s="2636" t="s">
        <v>689</v>
      </c>
      <c r="D158" s="3461">
        <v>1.0175522832838377</v>
      </c>
      <c r="E158" s="3461">
        <v>1.9332780080219913</v>
      </c>
      <c r="F158" s="3461">
        <v>0.2893193977141823</v>
      </c>
      <c r="G158" s="3668" t="str">
        <f t="shared" si="82"/>
        <v>NA</v>
      </c>
      <c r="H158" s="3081">
        <f t="shared" si="83"/>
        <v>0.36841619789528707</v>
      </c>
      <c r="I158" s="3081">
        <f t="shared" si="84"/>
        <v>1.0000000000000007</v>
      </c>
      <c r="J158" s="3194" t="s">
        <v>199</v>
      </c>
      <c r="K158" s="3194">
        <v>0.71225093319003629</v>
      </c>
      <c r="L158" s="3194">
        <v>0.28931939771418247</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0.59324438847683392</v>
      </c>
      <c r="K162" s="3200">
        <f t="shared" ref="K162:M162" si="90">IF(SUM(K163,K165,K175)=0,"NO",SUM(K163,K165,K175))</f>
        <v>4.976806154489144</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0.59324438847683392</v>
      </c>
      <c r="K163" s="3197">
        <f t="shared" ref="K163:M163" si="91">K164</f>
        <v>4.2036719865710142</v>
      </c>
      <c r="L163" s="3197">
        <f t="shared" si="91"/>
        <v>0</v>
      </c>
      <c r="M163" s="3193" t="str">
        <f t="shared" si="91"/>
        <v>NO</v>
      </c>
    </row>
    <row r="164" spans="2:13" ht="18" customHeight="1" x14ac:dyDescent="0.2">
      <c r="B164" s="2634" t="s">
        <v>905</v>
      </c>
      <c r="C164" s="2636" t="s">
        <v>905</v>
      </c>
      <c r="D164" s="4136">
        <v>6.9793457467862803</v>
      </c>
      <c r="E164" s="4136">
        <v>579.99027728770307</v>
      </c>
      <c r="F164" s="2635">
        <v>0</v>
      </c>
      <c r="G164" s="3668">
        <f t="shared" ref="G164" si="92">IF(SUM(D164)=0,"NA",J164/D164)</f>
        <v>8.500000000000002E-2</v>
      </c>
      <c r="H164" s="3081">
        <f t="shared" ref="H164" si="93">IF(SUM(E164)=0,"NA",K164/E164)</f>
        <v>7.2478318192320153E-3</v>
      </c>
      <c r="I164" s="3081" t="str">
        <f t="shared" ref="I164" si="94">IF(SUM(F164)=0,"NA",L164/F164)</f>
        <v>NA</v>
      </c>
      <c r="J164" s="3120">
        <v>0.59324438847683392</v>
      </c>
      <c r="K164" s="3120">
        <v>4.2036719865710142</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0.77313416791812983</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0.77313416791812983</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0.77313416791812983</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0.77313416791812983</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2200.5507644848653</v>
      </c>
      <c r="D10" s="2517">
        <f t="shared" ref="D10:I10" si="0">IF(SUM(D11,D21,D32:D33,D43:D48)=0,"NO",SUM(D11,D21,D32:D33,D43:D48))</f>
        <v>2351.6715296492102</v>
      </c>
      <c r="E10" s="2517">
        <f t="shared" si="0"/>
        <v>39.943076959697891</v>
      </c>
      <c r="F10" s="2517">
        <f t="shared" si="0"/>
        <v>24.037059325827276</v>
      </c>
      <c r="G10" s="2517">
        <f t="shared" si="0"/>
        <v>392.79246919199073</v>
      </c>
      <c r="H10" s="2925">
        <f t="shared" si="0"/>
        <v>22.912894036199468</v>
      </c>
      <c r="I10" s="2934" t="str">
        <f t="shared" si="0"/>
        <v>NO</v>
      </c>
      <c r="J10" s="2935">
        <f>IF(SUM(C10:E10)=0,"NO",SUM(C10)+28*SUM(D10)+265*SUM(E10))</f>
        <v>78632.268988982687</v>
      </c>
    </row>
    <row r="11" spans="1:10" ht="18" customHeight="1" x14ac:dyDescent="0.2">
      <c r="B11" s="234" t="s">
        <v>923</v>
      </c>
      <c r="C11" s="2936"/>
      <c r="D11" s="2163">
        <f>SUM(D17:D20)</f>
        <v>2090.8195856383677</v>
      </c>
      <c r="E11" s="1955"/>
      <c r="F11" s="1955"/>
      <c r="G11" s="1955"/>
      <c r="H11" s="2937"/>
      <c r="I11" s="2937"/>
      <c r="J11" s="1887">
        <f>IF(SUM(C11:E11)=0,"NO",SUM(C11)+28*SUM(D11)+265*SUM(E11))</f>
        <v>58542.948397874294</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1584.5646606019891</v>
      </c>
      <c r="E17" s="615"/>
      <c r="F17" s="615"/>
      <c r="G17" s="615"/>
      <c r="H17" s="2939"/>
      <c r="I17" s="2940"/>
      <c r="J17" s="2943">
        <f>IF(SUM(C17:E17)=0,"NO",SUM(C17)+28*SUM(D17)+265*SUM(E17))</f>
        <v>44367.810496855695</v>
      </c>
    </row>
    <row r="18" spans="2:10" ht="18" customHeight="1" x14ac:dyDescent="0.2">
      <c r="B18" s="228" t="s">
        <v>930</v>
      </c>
      <c r="C18" s="2945"/>
      <c r="D18" s="2930">
        <f>Table3.A!G24</f>
        <v>492.74734020836445</v>
      </c>
      <c r="E18" s="615"/>
      <c r="F18" s="615"/>
      <c r="G18" s="615"/>
      <c r="H18" s="2939"/>
      <c r="I18" s="2940"/>
      <c r="J18" s="2943">
        <f t="shared" ref="J18:J22" si="1">IF(SUM(C18:E18)=0,"NO",SUM(C18)+28*SUM(D18)+265*SUM(E18))</f>
        <v>13796.925525834205</v>
      </c>
    </row>
    <row r="19" spans="2:10" ht="18" customHeight="1" x14ac:dyDescent="0.2">
      <c r="B19" s="228" t="s">
        <v>931</v>
      </c>
      <c r="C19" s="2945"/>
      <c r="D19" s="2930">
        <f>Table3.A!G27</f>
        <v>3.5951391331999276</v>
      </c>
      <c r="E19" s="615"/>
      <c r="F19" s="615"/>
      <c r="G19" s="615"/>
      <c r="H19" s="2939"/>
      <c r="I19" s="2940"/>
      <c r="J19" s="2943">
        <f t="shared" si="1"/>
        <v>100.66389572959797</v>
      </c>
    </row>
    <row r="20" spans="2:10" ht="18" customHeight="1" thickBot="1" x14ac:dyDescent="0.25">
      <c r="B20" s="1296" t="s">
        <v>932</v>
      </c>
      <c r="C20" s="2946"/>
      <c r="D20" s="2517">
        <f>Table3.A!G30</f>
        <v>9.9124456948141422</v>
      </c>
      <c r="E20" s="1948"/>
      <c r="F20" s="1948"/>
      <c r="G20" s="1948"/>
      <c r="H20" s="2947"/>
      <c r="I20" s="2948"/>
      <c r="J20" s="2943">
        <f t="shared" si="1"/>
        <v>277.548479454796</v>
      </c>
    </row>
    <row r="21" spans="2:10" ht="18" customHeight="1" x14ac:dyDescent="0.2">
      <c r="B21" s="1455" t="s">
        <v>933</v>
      </c>
      <c r="C21" s="2949"/>
      <c r="D21" s="2930">
        <f>IF(SUM(D27:D31)=0,"NO",SUM(D27:D31))</f>
        <v>238.73826463668865</v>
      </c>
      <c r="E21" s="2930">
        <f>IF(SUM(E27:E31)=0,"NO",SUM(E27:E31))</f>
        <v>1.8551630777807968</v>
      </c>
      <c r="F21" s="2160"/>
      <c r="G21" s="2160"/>
      <c r="H21" s="2930" t="str">
        <f>IF(SUM(H27:H31)=0,"NE",SUM(H27:H31))</f>
        <v>NE</v>
      </c>
      <c r="I21" s="2940"/>
      <c r="J21" s="2950">
        <f t="shared" si="1"/>
        <v>7176.2896254391935</v>
      </c>
    </row>
    <row r="22" spans="2:10" ht="18" customHeight="1" x14ac:dyDescent="0.2">
      <c r="B22" s="228" t="s">
        <v>934</v>
      </c>
      <c r="C22" s="2945"/>
      <c r="D22" s="2930">
        <f>D27</f>
        <v>156.70015968590437</v>
      </c>
      <c r="E22" s="2930">
        <f>E27</f>
        <v>0.74311412119977249</v>
      </c>
      <c r="F22" s="2951"/>
      <c r="G22" s="2951"/>
      <c r="H22" s="2930" t="str">
        <f>H27</f>
        <v>NE</v>
      </c>
      <c r="I22" s="2940"/>
      <c r="J22" s="2943">
        <f t="shared" si="1"/>
        <v>4584.5297133232625</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156.70015968590437</v>
      </c>
      <c r="E27" s="2930">
        <f>'Table3.B(b)'!X15</f>
        <v>0.74311412119977249</v>
      </c>
      <c r="F27" s="615"/>
      <c r="G27" s="615"/>
      <c r="H27" s="2953" t="s">
        <v>221</v>
      </c>
      <c r="I27" s="2940"/>
      <c r="J27" s="2943">
        <f t="shared" ref="J27:J49" si="2">IF(SUM(C27:E27)=0,"NO",SUM(C27)+28*SUM(D27)+265*SUM(E27))</f>
        <v>4584.5297133232625</v>
      </c>
    </row>
    <row r="28" spans="2:10" ht="18" customHeight="1" x14ac:dyDescent="0.2">
      <c r="B28" s="228" t="s">
        <v>938</v>
      </c>
      <c r="C28" s="2945"/>
      <c r="D28" s="2930">
        <f>'Table3.B(a)'!K24</f>
        <v>25.07765253679522</v>
      </c>
      <c r="E28" s="2930" t="str">
        <f>'Table3.B(b)'!X24</f>
        <v>NA</v>
      </c>
      <c r="F28" s="2951"/>
      <c r="G28" s="2951"/>
      <c r="H28" s="2953" t="s">
        <v>221</v>
      </c>
      <c r="I28" s="2940"/>
      <c r="J28" s="2943">
        <f t="shared" si="2"/>
        <v>702.17427103026614</v>
      </c>
    </row>
    <row r="29" spans="2:10" ht="18" customHeight="1" x14ac:dyDescent="0.2">
      <c r="B29" s="228" t="s">
        <v>939</v>
      </c>
      <c r="C29" s="2945"/>
      <c r="D29" s="2930">
        <f>'Table3.B(a)'!K27</f>
        <v>52.644129113434573</v>
      </c>
      <c r="E29" s="2930">
        <f>'Table3.B(b)'!X27</f>
        <v>0.18156163087400642</v>
      </c>
      <c r="F29" s="2951"/>
      <c r="G29" s="2951"/>
      <c r="H29" s="2953" t="s">
        <v>221</v>
      </c>
      <c r="I29" s="2940"/>
      <c r="J29" s="2943">
        <f t="shared" si="2"/>
        <v>1522.1494473577798</v>
      </c>
    </row>
    <row r="30" spans="2:10" ht="18" customHeight="1" x14ac:dyDescent="0.2">
      <c r="B30" s="228" t="s">
        <v>940</v>
      </c>
      <c r="C30" s="2945"/>
      <c r="D30" s="2930">
        <f>'Table3.B(a)'!K30</f>
        <v>4.3163233005544832</v>
      </c>
      <c r="E30" s="2930">
        <f>'Table3.B(b)'!X30</f>
        <v>0.39000942656591814</v>
      </c>
      <c r="F30" s="2951"/>
      <c r="G30" s="2951"/>
      <c r="H30" s="2953" t="s">
        <v>221</v>
      </c>
      <c r="I30" s="2940"/>
      <c r="J30" s="2943">
        <f t="shared" si="2"/>
        <v>224.20955045549385</v>
      </c>
    </row>
    <row r="31" spans="2:10" ht="18" customHeight="1" thickBot="1" x14ac:dyDescent="0.25">
      <c r="B31" s="1296" t="s">
        <v>941</v>
      </c>
      <c r="C31" s="2954"/>
      <c r="D31" s="2955"/>
      <c r="E31" s="2956">
        <f>SUM('Table3.B(b)'!Y47:Z47)</f>
        <v>0.54047789914109967</v>
      </c>
      <c r="F31" s="2957"/>
      <c r="G31" s="2957"/>
      <c r="H31" s="2958"/>
      <c r="I31" s="2959"/>
      <c r="J31" s="2943">
        <f t="shared" si="2"/>
        <v>143.22664327239141</v>
      </c>
    </row>
    <row r="32" spans="2:10" ht="18" customHeight="1" thickBot="1" x14ac:dyDescent="0.25">
      <c r="B32" s="2658" t="s">
        <v>942</v>
      </c>
      <c r="C32" s="2960"/>
      <c r="D32" s="2961">
        <f>Table3.C!G11</f>
        <v>12.042077600000001</v>
      </c>
      <c r="E32" s="2962"/>
      <c r="F32" s="2962"/>
      <c r="G32" s="2962"/>
      <c r="H32" s="2963" t="s">
        <v>221</v>
      </c>
      <c r="I32" s="2964"/>
      <c r="J32" s="2965">
        <f t="shared" si="2"/>
        <v>337.17817280000003</v>
      </c>
    </row>
    <row r="33" spans="2:10" ht="18" customHeight="1" x14ac:dyDescent="0.2">
      <c r="B33" s="2657" t="s">
        <v>943</v>
      </c>
      <c r="C33" s="2966"/>
      <c r="D33" s="2967" t="s">
        <v>221</v>
      </c>
      <c r="E33" s="2967">
        <f>IF(SUM(E34,E42)=0,"NO",SUM(E34,E42))</f>
        <v>37.671868714289943</v>
      </c>
      <c r="F33" s="2967" t="str">
        <f>IF(SUM(F34,F42)=0,"NO",SUM(F34,F42))</f>
        <v>NO</v>
      </c>
      <c r="G33" s="2967" t="str">
        <f>IF(SUM(G34,G42)=0,"NO",SUM(G34,G42))</f>
        <v>NO</v>
      </c>
      <c r="H33" s="2967" t="str">
        <f>IF(SUM(H34,H42)=0,"NO",SUM(H34,H42))</f>
        <v>NO</v>
      </c>
      <c r="I33" s="2968"/>
      <c r="J33" s="2969">
        <f t="shared" si="2"/>
        <v>9983.0452092868345</v>
      </c>
    </row>
    <row r="34" spans="2:10" ht="18" customHeight="1" x14ac:dyDescent="0.2">
      <c r="B34" s="228" t="s">
        <v>944</v>
      </c>
      <c r="C34" s="2970"/>
      <c r="D34" s="615"/>
      <c r="E34" s="2971">
        <f>IF(SUM(E35:E41)=0,"NO",SUM(E35:E41))</f>
        <v>27.473646720996143</v>
      </c>
      <c r="F34" s="615"/>
      <c r="G34" s="615"/>
      <c r="H34" s="615"/>
      <c r="I34" s="2940"/>
      <c r="J34" s="2972">
        <f t="shared" si="2"/>
        <v>7280.5163810639779</v>
      </c>
    </row>
    <row r="35" spans="2:10" ht="18" customHeight="1" x14ac:dyDescent="0.2">
      <c r="B35" s="232" t="s">
        <v>945</v>
      </c>
      <c r="C35" s="2970"/>
      <c r="D35" s="615"/>
      <c r="E35" s="4248">
        <f>Table3.D!F11</f>
        <v>8.1071573507747967</v>
      </c>
      <c r="F35" s="615"/>
      <c r="G35" s="615"/>
      <c r="H35" s="615"/>
      <c r="I35" s="2940"/>
      <c r="J35" s="2972">
        <f t="shared" si="2"/>
        <v>2148.3966979553211</v>
      </c>
    </row>
    <row r="36" spans="2:10" ht="18" customHeight="1" x14ac:dyDescent="0.2">
      <c r="B36" s="232" t="s">
        <v>946</v>
      </c>
      <c r="C36" s="2970"/>
      <c r="D36" s="615"/>
      <c r="E36" s="4248">
        <f>Table3.D!F12</f>
        <v>1.3554009041523016</v>
      </c>
      <c r="F36" s="615"/>
      <c r="G36" s="615"/>
      <c r="H36" s="615"/>
      <c r="I36" s="2940"/>
      <c r="J36" s="2972">
        <f t="shared" si="2"/>
        <v>359.18123960035996</v>
      </c>
    </row>
    <row r="37" spans="2:10" ht="18" customHeight="1" x14ac:dyDescent="0.2">
      <c r="B37" s="232" t="s">
        <v>947</v>
      </c>
      <c r="C37" s="2970"/>
      <c r="D37" s="615"/>
      <c r="E37" s="4248">
        <f>Table3.D!F16</f>
        <v>10.494416403862916</v>
      </c>
      <c r="F37" s="615"/>
      <c r="G37" s="615"/>
      <c r="H37" s="615"/>
      <c r="I37" s="2940"/>
      <c r="J37" s="2972">
        <f t="shared" si="2"/>
        <v>2781.0203470236725</v>
      </c>
    </row>
    <row r="38" spans="2:10" ht="18" customHeight="1" x14ac:dyDescent="0.2">
      <c r="B38" s="232" t="s">
        <v>948</v>
      </c>
      <c r="C38" s="2970"/>
      <c r="D38" s="615"/>
      <c r="E38" s="4248">
        <f>Table3.D!F17</f>
        <v>6.7223847179294527</v>
      </c>
      <c r="F38" s="615"/>
      <c r="G38" s="615"/>
      <c r="H38" s="615"/>
      <c r="I38" s="2940"/>
      <c r="J38" s="2972">
        <f t="shared" si="2"/>
        <v>1781.4319502513049</v>
      </c>
    </row>
    <row r="39" spans="2:10" ht="26.25" customHeight="1" x14ac:dyDescent="0.2">
      <c r="B39" s="1708" t="s">
        <v>949</v>
      </c>
      <c r="C39" s="2970"/>
      <c r="D39" s="2951"/>
      <c r="E39" s="4248">
        <f>Table3.D!F18</f>
        <v>0.70628734427667395</v>
      </c>
      <c r="F39" s="2951"/>
      <c r="G39" s="2951"/>
      <c r="H39" s="2951"/>
      <c r="I39" s="2940"/>
      <c r="J39" s="2972">
        <f t="shared" si="2"/>
        <v>187.16614623331859</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10.198221993293796</v>
      </c>
      <c r="F42" s="2957"/>
      <c r="G42" s="2957"/>
      <c r="H42" s="2957"/>
      <c r="I42" s="2976"/>
      <c r="J42" s="2977">
        <f t="shared" si="2"/>
        <v>2702.5288282228557</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10.07160177415361</v>
      </c>
      <c r="E44" s="2984">
        <f>SUM(Table3.F!J10,Table3.F!J20,Table3.F!J23,Table3.F!J26:J27)</f>
        <v>0.41604516762715538</v>
      </c>
      <c r="F44" s="2919">
        <v>24.037059325827276</v>
      </c>
      <c r="G44" s="2919">
        <v>392.79246919199073</v>
      </c>
      <c r="H44" s="2920">
        <v>22.912894036199468</v>
      </c>
      <c r="I44" s="2985" t="s">
        <v>199</v>
      </c>
      <c r="J44" s="2986">
        <f t="shared" si="2"/>
        <v>392.25681909749727</v>
      </c>
    </row>
    <row r="45" spans="2:10" ht="18" customHeight="1" thickBot="1" x14ac:dyDescent="0.25">
      <c r="B45" s="2660" t="s">
        <v>955</v>
      </c>
      <c r="C45" s="2987">
        <f>'Table3.G-J'!E10</f>
        <v>1088.302771159184</v>
      </c>
      <c r="D45" s="2988"/>
      <c r="E45" s="2988"/>
      <c r="F45" s="2988"/>
      <c r="G45" s="2988"/>
      <c r="H45" s="2989"/>
      <c r="I45" s="2990"/>
      <c r="J45" s="2986">
        <f t="shared" si="2"/>
        <v>1088.302771159184</v>
      </c>
    </row>
    <row r="46" spans="2:10" ht="18" customHeight="1" thickBot="1" x14ac:dyDescent="0.25">
      <c r="B46" s="2660" t="s">
        <v>956</v>
      </c>
      <c r="C46" s="2987">
        <f>'Table3.G-J'!E13</f>
        <v>1112.2479933256814</v>
      </c>
      <c r="D46" s="2988"/>
      <c r="E46" s="2988"/>
      <c r="F46" s="2988"/>
      <c r="G46" s="2988"/>
      <c r="H46" s="2989"/>
      <c r="I46" s="2990"/>
      <c r="J46" s="2986">
        <f t="shared" si="2"/>
        <v>1112.2479933256814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28506.171000000002</v>
      </c>
      <c r="D10" s="3208"/>
      <c r="E10" s="3208"/>
      <c r="F10" s="3109">
        <f>IF(SUM(C10)=0,"NA",G10*1000/C10)</f>
        <v>55.586724032560845</v>
      </c>
      <c r="G10" s="3209">
        <f>G15</f>
        <v>1584.5646606019891</v>
      </c>
      <c r="I10" s="275" t="s">
        <v>977</v>
      </c>
      <c r="J10" s="276" t="s">
        <v>978</v>
      </c>
      <c r="K10" s="699">
        <v>454.97014813459037</v>
      </c>
      <c r="L10" s="699">
        <v>361.23977756504632</v>
      </c>
      <c r="M10" s="3125">
        <v>524.73704034096556</v>
      </c>
      <c r="N10" s="3125">
        <v>44.035040238361503</v>
      </c>
      <c r="O10" s="2921">
        <v>57.951975592647159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16.256935819660136</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28506.171000000002</v>
      </c>
      <c r="D15" s="3215"/>
      <c r="E15" s="3215"/>
      <c r="F15" s="3109">
        <f>IF(SUM(C15)=0,"NA",G15*1000/C15)</f>
        <v>55.586724032560845</v>
      </c>
      <c r="G15" s="3216">
        <f>G20</f>
        <v>1584.5646606019891</v>
      </c>
      <c r="I15" s="1780" t="s">
        <v>989</v>
      </c>
      <c r="J15" s="1853" t="s">
        <v>428</v>
      </c>
      <c r="K15" s="3408">
        <v>75</v>
      </c>
      <c r="L15" s="3408">
        <v>57.623821386768235</v>
      </c>
      <c r="M15" s="1563">
        <v>80.436510243450911</v>
      </c>
      <c r="N15" s="1563">
        <v>66.61853906959557</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1584.5646606019891</v>
      </c>
      <c r="I20" s="72"/>
      <c r="J20" s="287"/>
      <c r="K20" s="287"/>
      <c r="L20" s="287"/>
      <c r="M20" s="287"/>
      <c r="N20" s="287"/>
      <c r="O20" s="287"/>
    </row>
    <row r="21" spans="2:15" ht="18" customHeight="1" x14ac:dyDescent="0.2">
      <c r="B21" s="2652" t="s">
        <v>994</v>
      </c>
      <c r="C21" s="3239">
        <v>2569.991</v>
      </c>
      <c r="D21" s="3224">
        <v>234.34146209734828</v>
      </c>
      <c r="E21" s="3224">
        <v>6.1444769335233875</v>
      </c>
      <c r="F21" s="3109">
        <f t="shared" ref="F21:F30" si="0">IF(SUM(C21)=0,"NA",G21*1000/C21)</f>
        <v>95.176672143287817</v>
      </c>
      <c r="G21" s="3206">
        <v>244.6031908182004</v>
      </c>
      <c r="I21" s="72"/>
      <c r="J21" s="287"/>
      <c r="K21" s="287"/>
      <c r="L21" s="287"/>
      <c r="M21" s="287"/>
      <c r="N21" s="287"/>
      <c r="O21" s="287"/>
    </row>
    <row r="22" spans="2:15" ht="18" customHeight="1" x14ac:dyDescent="0.2">
      <c r="B22" s="2652" t="s">
        <v>965</v>
      </c>
      <c r="C22" s="3239">
        <v>25156.942999999999</v>
      </c>
      <c r="D22" s="3224">
        <v>124.6897672404873</v>
      </c>
      <c r="E22" s="3224">
        <v>6.21225</v>
      </c>
      <c r="F22" s="3109">
        <f t="shared" si="0"/>
        <v>51.200736520124778</v>
      </c>
      <c r="G22" s="3206">
        <v>1288.0540101947972</v>
      </c>
      <c r="I22" s="72"/>
      <c r="J22" s="287"/>
      <c r="K22" s="287"/>
      <c r="L22" s="287"/>
      <c r="M22" s="287"/>
      <c r="N22" s="287"/>
      <c r="O22" s="287"/>
    </row>
    <row r="23" spans="2:15" ht="18" customHeight="1" x14ac:dyDescent="0.2">
      <c r="B23" s="2652" t="s">
        <v>966</v>
      </c>
      <c r="C23" s="3239">
        <v>779.23699999999997</v>
      </c>
      <c r="D23" s="3224">
        <v>199.79196674844158</v>
      </c>
      <c r="E23" s="3224">
        <v>5.044126348704725</v>
      </c>
      <c r="F23" s="3109">
        <f t="shared" si="0"/>
        <v>66.613186474707433</v>
      </c>
      <c r="G23" s="3206">
        <v>51.907459588991593</v>
      </c>
      <c r="I23" s="72"/>
      <c r="J23" s="287"/>
      <c r="K23" s="287"/>
      <c r="L23" s="287"/>
      <c r="M23" s="287"/>
      <c r="N23" s="287"/>
      <c r="O23" s="287"/>
    </row>
    <row r="24" spans="2:15" ht="18" customHeight="1" x14ac:dyDescent="0.2">
      <c r="B24" s="286" t="s">
        <v>995</v>
      </c>
      <c r="C24" s="2654">
        <f>C25</f>
        <v>73096.907000000007</v>
      </c>
      <c r="D24" s="3225"/>
      <c r="E24" s="3225"/>
      <c r="F24" s="3109">
        <f t="shared" si="0"/>
        <v>6.741014913371977</v>
      </c>
      <c r="G24" s="3106">
        <f>G25</f>
        <v>492.74734020836445</v>
      </c>
      <c r="I24" s="72"/>
    </row>
    <row r="25" spans="2:15" ht="18" customHeight="1" x14ac:dyDescent="0.2">
      <c r="B25" s="282" t="s">
        <v>996</v>
      </c>
      <c r="C25" s="2654">
        <f>C26</f>
        <v>73096.907000000007</v>
      </c>
      <c r="D25" s="3225"/>
      <c r="E25" s="3225"/>
      <c r="F25" s="3109">
        <f t="shared" si="0"/>
        <v>6.741014913371977</v>
      </c>
      <c r="G25" s="3106">
        <f>G26</f>
        <v>492.74734020836445</v>
      </c>
    </row>
    <row r="26" spans="2:15" ht="18" customHeight="1" x14ac:dyDescent="0.2">
      <c r="B26" s="2653" t="s">
        <v>967</v>
      </c>
      <c r="C26" s="288">
        <v>73096.907000000007</v>
      </c>
      <c r="D26" s="3226">
        <v>16.529203498403437</v>
      </c>
      <c r="E26" s="3226">
        <v>6.1698825844127603</v>
      </c>
      <c r="F26" s="3109">
        <f t="shared" si="0"/>
        <v>6.741014913371977</v>
      </c>
      <c r="G26" s="3207">
        <v>492.74734020836445</v>
      </c>
    </row>
    <row r="27" spans="2:15" ht="18" customHeight="1" x14ac:dyDescent="0.2">
      <c r="B27" s="286" t="s">
        <v>997</v>
      </c>
      <c r="C27" s="2654">
        <f>C28</f>
        <v>2285.2130000000002</v>
      </c>
      <c r="D27" s="3225"/>
      <c r="E27" s="3225"/>
      <c r="F27" s="3109">
        <f t="shared" si="0"/>
        <v>1.5732183972347118</v>
      </c>
      <c r="G27" s="3106">
        <f>G28</f>
        <v>3.5951391331999276</v>
      </c>
    </row>
    <row r="28" spans="2:15" ht="18" customHeight="1" x14ac:dyDescent="0.2">
      <c r="B28" s="282" t="s">
        <v>998</v>
      </c>
      <c r="C28" s="2654">
        <f>C29</f>
        <v>2285.2130000000002</v>
      </c>
      <c r="D28" s="3225"/>
      <c r="E28" s="3225"/>
      <c r="F28" s="3109">
        <f t="shared" si="0"/>
        <v>1.5732183972347118</v>
      </c>
      <c r="G28" s="3106">
        <f>G29</f>
        <v>3.5951391331999276</v>
      </c>
    </row>
    <row r="29" spans="2:15" ht="18" customHeight="1" x14ac:dyDescent="0.2">
      <c r="B29" s="2653" t="s">
        <v>968</v>
      </c>
      <c r="C29" s="288">
        <v>2285.2130000000002</v>
      </c>
      <c r="D29" s="3226">
        <v>34.001221094051196</v>
      </c>
      <c r="E29" s="3226">
        <v>0.70000000000000007</v>
      </c>
      <c r="F29" s="3109">
        <f t="shared" si="0"/>
        <v>1.5732183972347118</v>
      </c>
      <c r="G29" s="3207">
        <v>3.5951391331999276</v>
      </c>
    </row>
    <row r="30" spans="2:15" ht="18" customHeight="1" x14ac:dyDescent="0.2">
      <c r="B30" s="286" t="s">
        <v>999</v>
      </c>
      <c r="C30" s="2654">
        <f>SUM(C32:C39)</f>
        <v>87761.11099999999</v>
      </c>
      <c r="D30" s="3225"/>
      <c r="E30" s="3225"/>
      <c r="F30" s="3109">
        <f t="shared" si="0"/>
        <v>0.11294804249702517</v>
      </c>
      <c r="G30" s="3106">
        <f>SUM(G32:G39)</f>
        <v>9.9124456948141422</v>
      </c>
    </row>
    <row r="31" spans="2:15" ht="18" customHeight="1" x14ac:dyDescent="0.2">
      <c r="B31" s="1304" t="s">
        <v>498</v>
      </c>
      <c r="C31" s="3240"/>
      <c r="D31" s="3228"/>
      <c r="E31" s="3228"/>
      <c r="F31" s="3228"/>
      <c r="G31" s="3229"/>
    </row>
    <row r="32" spans="2:15" ht="18" customHeight="1" x14ac:dyDescent="0.2">
      <c r="B32" s="285" t="s">
        <v>1000</v>
      </c>
      <c r="C32" s="3234">
        <v>4.4139999999999997</v>
      </c>
      <c r="D32" s="3230" t="s">
        <v>205</v>
      </c>
      <c r="E32" s="3230" t="s">
        <v>205</v>
      </c>
      <c r="F32" s="3109">
        <f t="shared" ref="F32:F41" si="1">IF(SUM(C32)=0,"NA",G32*1000/C32)</f>
        <v>76</v>
      </c>
      <c r="G32" s="3206">
        <v>0.33546399999999998</v>
      </c>
    </row>
    <row r="33" spans="2:7" ht="18" customHeight="1" x14ac:dyDescent="0.2">
      <c r="B33" s="285" t="s">
        <v>1001</v>
      </c>
      <c r="C33" s="3234">
        <v>3.0960000000000001</v>
      </c>
      <c r="D33" s="3230" t="s">
        <v>205</v>
      </c>
      <c r="E33" s="3230" t="s">
        <v>205</v>
      </c>
      <c r="F33" s="3109">
        <f t="shared" si="1"/>
        <v>46.00110520269304</v>
      </c>
      <c r="G33" s="3206">
        <v>0.14241942170753766</v>
      </c>
    </row>
    <row r="34" spans="2:7" ht="18" customHeight="1" x14ac:dyDescent="0.2">
      <c r="B34" s="285" t="s">
        <v>1002</v>
      </c>
      <c r="C34" s="3234">
        <v>45.072000000000003</v>
      </c>
      <c r="D34" s="3230" t="s">
        <v>205</v>
      </c>
      <c r="E34" s="3230" t="s">
        <v>205</v>
      </c>
      <c r="F34" s="3109">
        <f t="shared" si="1"/>
        <v>19.999999999999996</v>
      </c>
      <c r="G34" s="3206">
        <v>0.90143999999999991</v>
      </c>
    </row>
    <row r="35" spans="2:7" ht="18" customHeight="1" x14ac:dyDescent="0.2">
      <c r="B35" s="285" t="s">
        <v>1003</v>
      </c>
      <c r="C35" s="3234">
        <v>546.61400000000003</v>
      </c>
      <c r="D35" s="3230" t="s">
        <v>205</v>
      </c>
      <c r="E35" s="3230" t="s">
        <v>205</v>
      </c>
      <c r="F35" s="3109">
        <f t="shared" si="1"/>
        <v>5</v>
      </c>
      <c r="G35" s="3206">
        <v>2.7330700000000001</v>
      </c>
    </row>
    <row r="36" spans="2:7" ht="18" customHeight="1" x14ac:dyDescent="0.2">
      <c r="B36" s="285" t="s">
        <v>1004</v>
      </c>
      <c r="C36" s="3234">
        <v>259.46600000000001</v>
      </c>
      <c r="D36" s="3230" t="s">
        <v>205</v>
      </c>
      <c r="E36" s="3230" t="s">
        <v>205</v>
      </c>
      <c r="F36" s="3109">
        <f t="shared" si="1"/>
        <v>18</v>
      </c>
      <c r="G36" s="3206">
        <v>4.670388</v>
      </c>
    </row>
    <row r="37" spans="2:7" ht="18" customHeight="1" x14ac:dyDescent="0.2">
      <c r="B37" s="285" t="s">
        <v>1005</v>
      </c>
      <c r="C37" s="3234">
        <v>0.77400000000000002</v>
      </c>
      <c r="D37" s="3230" t="s">
        <v>205</v>
      </c>
      <c r="E37" s="3230" t="s">
        <v>205</v>
      </c>
      <c r="F37" s="3109">
        <f t="shared" si="1"/>
        <v>9.9994690528491716</v>
      </c>
      <c r="G37" s="3206">
        <v>7.7395890469052599E-3</v>
      </c>
    </row>
    <row r="38" spans="2:7" ht="18" customHeight="1" x14ac:dyDescent="0.2">
      <c r="B38" s="285" t="s">
        <v>1006</v>
      </c>
      <c r="C38" s="3241">
        <v>86757.702999999994</v>
      </c>
      <c r="D38" s="3230" t="s">
        <v>205</v>
      </c>
      <c r="E38" s="3230" t="s">
        <v>205</v>
      </c>
      <c r="F38" s="3109" t="s">
        <v>205</v>
      </c>
      <c r="G38" s="3231" t="s">
        <v>221</v>
      </c>
    </row>
    <row r="39" spans="2:7" ht="18" customHeight="1" x14ac:dyDescent="0.2">
      <c r="B39" s="285" t="s">
        <v>1007</v>
      </c>
      <c r="C39" s="2654">
        <f>SUM(C41:C45)</f>
        <v>143.97200000000001</v>
      </c>
      <c r="D39" s="3225"/>
      <c r="E39" s="3225"/>
      <c r="F39" s="3109">
        <f t="shared" si="1"/>
        <v>7.7926588785298669</v>
      </c>
      <c r="G39" s="3106">
        <f>SUM(G41:G45)</f>
        <v>1.1219246840597021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9.9489999999999998</v>
      </c>
      <c r="D43" s="2974" t="s">
        <v>205</v>
      </c>
      <c r="E43" s="2974" t="s">
        <v>205</v>
      </c>
      <c r="F43" s="3109">
        <f t="shared" si="2"/>
        <v>4.9998003020687571</v>
      </c>
      <c r="G43" s="3170">
        <v>4.9743013205282072E-2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134.023</v>
      </c>
      <c r="D45" s="3225"/>
      <c r="E45" s="3225"/>
      <c r="F45" s="3109">
        <f>IF(SUM(C45)=0,"NA",G45*1000/C45)</f>
        <v>7.9999826212994787</v>
      </c>
      <c r="G45" s="3106">
        <f>G46</f>
        <v>1.0721816708544201</v>
      </c>
    </row>
    <row r="46" spans="2:7" ht="18" customHeight="1" thickBot="1" x14ac:dyDescent="0.25">
      <c r="B46" s="2655" t="s">
        <v>1013</v>
      </c>
      <c r="C46" s="3243">
        <v>134.023</v>
      </c>
      <c r="D46" s="3115" t="s">
        <v>205</v>
      </c>
      <c r="E46" s="3115" t="s">
        <v>205</v>
      </c>
      <c r="F46" s="3232">
        <f>IF(SUM(C46)=0,"NA",G46*1000/C46)</f>
        <v>7.9999826212994787</v>
      </c>
      <c r="G46" s="3172">
        <v>1.0721816708544201</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3" t="s">
        <v>1014</v>
      </c>
      <c r="C67" s="4504"/>
      <c r="D67" s="4504"/>
      <c r="E67" s="4504"/>
      <c r="F67" s="4504"/>
      <c r="G67" s="4505"/>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28506.171000000002</v>
      </c>
      <c r="D10" s="2951"/>
      <c r="E10" s="2951"/>
      <c r="F10" s="2951"/>
      <c r="G10" s="2951"/>
      <c r="H10" s="2951"/>
      <c r="I10" s="3246"/>
      <c r="J10" s="3247">
        <f>IF(SUM(C10)=0,"NA",K10*1000/C10)</f>
        <v>5.4970609586922201</v>
      </c>
      <c r="K10" s="3248">
        <f>K15</f>
        <v>156.70015968590437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28506.171000000002</v>
      </c>
      <c r="D15" s="3260"/>
      <c r="E15" s="3260"/>
      <c r="F15" s="3260"/>
      <c r="G15" s="3260"/>
      <c r="H15" s="3260"/>
      <c r="I15" s="3255"/>
      <c r="J15" s="3254">
        <f>IF(SUM(C15)=0,"NA",K15*1000/C15)</f>
        <v>5.4970609586922201</v>
      </c>
      <c r="K15" s="3248">
        <f>SUM(K17:K20)</f>
        <v>156.70015968590437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28506.171000000002</v>
      </c>
      <c r="D20" s="3260"/>
      <c r="E20" s="3260"/>
      <c r="F20" s="3260"/>
      <c r="G20" s="3260"/>
      <c r="H20" s="3260"/>
      <c r="I20" s="3255"/>
      <c r="J20" s="3268">
        <f>IF(SUM(C20)=0,"NA",K20*1000/C20)</f>
        <v>5.4970609586922201</v>
      </c>
      <c r="K20" s="3248">
        <f>SUM(K21:K23)</f>
        <v>156.70015968590437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2569.991</v>
      </c>
      <c r="D21" s="3290">
        <v>8.6625984293330216</v>
      </c>
      <c r="E21" s="3290">
        <v>91.337051374888077</v>
      </c>
      <c r="F21" s="3290">
        <v>3.5019577889572377E-4</v>
      </c>
      <c r="G21" s="3265">
        <f>Table3.A!K10</f>
        <v>454.97014813459037</v>
      </c>
      <c r="H21" s="3266">
        <v>3.362505692640156</v>
      </c>
      <c r="I21" s="3267">
        <v>0.24</v>
      </c>
      <c r="J21" s="3268">
        <f>IF(SUM(C21)=0,"NA",K21*1000/C21)</f>
        <v>15.557882512294247</v>
      </c>
      <c r="K21" s="3244">
        <v>39.983618035653606</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25156.942999999999</v>
      </c>
      <c r="D22" s="3290" t="s">
        <v>199</v>
      </c>
      <c r="E22" s="3290">
        <v>86.223695935640833</v>
      </c>
      <c r="F22" s="3290">
        <v>13.776304064359168</v>
      </c>
      <c r="G22" s="3265">
        <f>Table3.A!L10</f>
        <v>361.23977756504632</v>
      </c>
      <c r="H22" s="3266" t="s">
        <v>205</v>
      </c>
      <c r="I22" s="3267" t="s">
        <v>205</v>
      </c>
      <c r="J22" s="3268">
        <f t="shared" ref="J22:J46" si="0">IF(SUM(C22)=0,"NA",K22*1000/C22)</f>
        <v>4.53314961380564</v>
      </c>
      <c r="K22" s="3244">
        <v>114.04018644498049</v>
      </c>
      <c r="M22" s="1597" t="s">
        <v>1049</v>
      </c>
      <c r="N22" s="4512" t="s">
        <v>994</v>
      </c>
      <c r="O22" s="1693" t="s">
        <v>1051</v>
      </c>
      <c r="P22" s="1694" t="s">
        <v>1039</v>
      </c>
      <c r="Q22" s="4444">
        <v>6.5937815260348529</v>
      </c>
      <c r="R22" s="4445" t="s">
        <v>199</v>
      </c>
      <c r="S22" s="4445">
        <v>3.9992359130336705</v>
      </c>
      <c r="T22" s="4445">
        <v>1.6443139394497941</v>
      </c>
      <c r="U22" s="4445" t="s">
        <v>199</v>
      </c>
      <c r="V22" s="4445" t="s">
        <v>274</v>
      </c>
      <c r="W22" s="4445" t="s">
        <v>199</v>
      </c>
      <c r="X22" s="4445">
        <v>87.76266862148168</v>
      </c>
      <c r="Y22" s="4446" t="s">
        <v>199</v>
      </c>
      <c r="Z22" s="4446" t="s">
        <v>199</v>
      </c>
      <c r="AA22" s="4446" t="s">
        <v>199</v>
      </c>
      <c r="AB22" s="4447" t="s">
        <v>199</v>
      </c>
    </row>
    <row r="23" spans="2:28" s="84" customFormat="1" ht="18" customHeight="1" x14ac:dyDescent="0.2">
      <c r="B23" s="2661" t="s">
        <v>966</v>
      </c>
      <c r="C23" s="3290">
        <f>Table3.A!C23</f>
        <v>779.23699999999997</v>
      </c>
      <c r="D23" s="3290" t="s">
        <v>199</v>
      </c>
      <c r="E23" s="3290">
        <v>100</v>
      </c>
      <c r="F23" s="3290" t="s">
        <v>199</v>
      </c>
      <c r="G23" s="3265">
        <f>Table3.A!M10</f>
        <v>524.73704034096556</v>
      </c>
      <c r="H23" s="3266">
        <v>1.7100247915292224</v>
      </c>
      <c r="I23" s="3267">
        <v>0.19</v>
      </c>
      <c r="J23" s="3268">
        <f t="shared" si="0"/>
        <v>3.4345843501659412</v>
      </c>
      <c r="K23" s="3244">
        <v>2.6763552052702577</v>
      </c>
      <c r="M23" s="1667" t="s">
        <v>1061</v>
      </c>
      <c r="N23" s="4513"/>
      <c r="O23" s="1695" t="s">
        <v>1042</v>
      </c>
      <c r="P23" s="1696" t="s">
        <v>1040</v>
      </c>
      <c r="Q23" s="4448">
        <v>9.4177603056603605</v>
      </c>
      <c r="R23" s="4165" t="s">
        <v>199</v>
      </c>
      <c r="S23" s="4165">
        <v>2.0359908823625714</v>
      </c>
      <c r="T23" s="4166">
        <v>2.6033406349321613</v>
      </c>
      <c r="U23" s="4166" t="s">
        <v>199</v>
      </c>
      <c r="V23" s="4166" t="s">
        <v>274</v>
      </c>
      <c r="W23" s="4166" t="s">
        <v>199</v>
      </c>
      <c r="X23" s="4166">
        <v>85.942908177044913</v>
      </c>
      <c r="Y23" s="4166" t="s">
        <v>199</v>
      </c>
      <c r="Z23" s="4166" t="s">
        <v>199</v>
      </c>
      <c r="AA23" s="4166" t="s">
        <v>199</v>
      </c>
      <c r="AB23" s="4140" t="s">
        <v>199</v>
      </c>
    </row>
    <row r="24" spans="2:28" s="84" customFormat="1" ht="18" customHeight="1" thickBot="1" x14ac:dyDescent="0.25">
      <c r="B24" s="1646" t="s">
        <v>1062</v>
      </c>
      <c r="C24" s="4172">
        <f>C25</f>
        <v>73096.907000000007</v>
      </c>
      <c r="D24" s="3270"/>
      <c r="E24" s="3270"/>
      <c r="F24" s="3270"/>
      <c r="G24" s="3270"/>
      <c r="H24" s="3270"/>
      <c r="I24" s="3271"/>
      <c r="J24" s="3268">
        <f t="shared" si="0"/>
        <v>0.3430740583427862</v>
      </c>
      <c r="K24" s="3248">
        <f>K25</f>
        <v>25.07765253679522</v>
      </c>
      <c r="M24" s="1659"/>
      <c r="N24" s="4513"/>
      <c r="O24" s="1697"/>
      <c r="P24" s="1696" t="s">
        <v>1041</v>
      </c>
      <c r="Q24" s="4449">
        <v>3.7122552845799794</v>
      </c>
      <c r="R24" s="4450" t="s">
        <v>199</v>
      </c>
      <c r="S24" s="4450">
        <v>2.2779748337195329</v>
      </c>
      <c r="T24" s="4451">
        <v>1.921322208238192</v>
      </c>
      <c r="U24" s="4451" t="s">
        <v>199</v>
      </c>
      <c r="V24" s="4451" t="s">
        <v>274</v>
      </c>
      <c r="W24" s="4451" t="s">
        <v>199</v>
      </c>
      <c r="X24" s="4451">
        <v>92.088447673462298</v>
      </c>
      <c r="Y24" s="4451" t="s">
        <v>199</v>
      </c>
      <c r="Z24" s="4451" t="s">
        <v>199</v>
      </c>
      <c r="AA24" s="4451" t="s">
        <v>199</v>
      </c>
      <c r="AB24" s="4452" t="s">
        <v>199</v>
      </c>
    </row>
    <row r="25" spans="2:28" s="84" customFormat="1" ht="18" customHeight="1" x14ac:dyDescent="0.2">
      <c r="B25" s="1647" t="s">
        <v>1063</v>
      </c>
      <c r="C25" s="4172">
        <f>C26</f>
        <v>73096.907000000007</v>
      </c>
      <c r="D25" s="3217"/>
      <c r="E25" s="3217"/>
      <c r="F25" s="3217"/>
      <c r="G25" s="3217"/>
      <c r="H25" s="3217"/>
      <c r="I25" s="3227"/>
      <c r="J25" s="3268">
        <f t="shared" si="0"/>
        <v>0.3430740583427862</v>
      </c>
      <c r="K25" s="3248">
        <f>K26</f>
        <v>25.07765253679522</v>
      </c>
      <c r="M25" s="1659"/>
      <c r="N25" s="4513"/>
      <c r="O25" s="1698" t="s">
        <v>1054</v>
      </c>
      <c r="P25" s="1694" t="s">
        <v>1039</v>
      </c>
      <c r="Q25" s="4453">
        <v>0.69999999999999984</v>
      </c>
      <c r="R25" s="4454" t="s">
        <v>199</v>
      </c>
      <c r="S25" s="4454">
        <v>3.9113636363636364E-2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73096.907000000007</v>
      </c>
      <c r="D26" s="3290" t="s">
        <v>199</v>
      </c>
      <c r="E26" s="3290">
        <v>100</v>
      </c>
      <c r="F26" s="3290" t="s">
        <v>199</v>
      </c>
      <c r="G26" s="3272">
        <f>Table3.A!N10</f>
        <v>44.035040238361503</v>
      </c>
      <c r="H26" s="3014" t="s">
        <v>205</v>
      </c>
      <c r="I26" s="3104" t="s">
        <v>205</v>
      </c>
      <c r="J26" s="3268">
        <f t="shared" si="0"/>
        <v>0.3430740583427862</v>
      </c>
      <c r="K26" s="3244">
        <v>25.07765253679522</v>
      </c>
      <c r="M26" s="1659"/>
      <c r="N26" s="4513"/>
      <c r="O26" s="1699"/>
      <c r="P26" s="1696" t="s">
        <v>1040</v>
      </c>
      <c r="Q26" s="4448">
        <v>0.73710857416478293</v>
      </c>
      <c r="R26" s="4165" t="s">
        <v>199</v>
      </c>
      <c r="S26" s="4165">
        <v>6.5785852391347321E-2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2285.2130000000002</v>
      </c>
      <c r="D27" s="3217"/>
      <c r="E27" s="3217"/>
      <c r="F27" s="3217"/>
      <c r="G27" s="3217"/>
      <c r="H27" s="3217"/>
      <c r="I27" s="3227"/>
      <c r="J27" s="3268">
        <f t="shared" si="0"/>
        <v>23.036858758214034</v>
      </c>
      <c r="K27" s="3248">
        <f>K28</f>
        <v>52.644129113434573</v>
      </c>
      <c r="M27" s="1659"/>
      <c r="N27" s="4514"/>
      <c r="O27" s="1700"/>
      <c r="P27" s="1696" t="s">
        <v>1041</v>
      </c>
      <c r="Q27" s="4449">
        <v>0.8</v>
      </c>
      <c r="R27" s="4450" t="s">
        <v>199</v>
      </c>
      <c r="S27" s="4450">
        <v>0.28222222222222226</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2285.2130000000002</v>
      </c>
      <c r="D28" s="3217"/>
      <c r="E28" s="3217"/>
      <c r="F28" s="3217"/>
      <c r="G28" s="3217"/>
      <c r="H28" s="3217"/>
      <c r="I28" s="3227"/>
      <c r="J28" s="3268">
        <f t="shared" si="0"/>
        <v>23.036858758214034</v>
      </c>
      <c r="K28" s="3248">
        <f>K29</f>
        <v>52.644129113434573</v>
      </c>
      <c r="M28" s="1598"/>
      <c r="N28" s="4512"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2285.2130000000002</v>
      </c>
      <c r="D29" s="3290">
        <v>0.56152314904562506</v>
      </c>
      <c r="E29" s="3290">
        <v>99.438476850954373</v>
      </c>
      <c r="F29" s="3290" t="s">
        <v>199</v>
      </c>
      <c r="G29" s="3272">
        <f>Table3.A!O10</f>
        <v>57.951975592647159</v>
      </c>
      <c r="H29" s="3014">
        <v>0.39673544008058997</v>
      </c>
      <c r="I29" s="3104">
        <v>0.45</v>
      </c>
      <c r="J29" s="3268">
        <f t="shared" si="0"/>
        <v>23.036858758214034</v>
      </c>
      <c r="K29" s="3244">
        <v>52.644129113434573</v>
      </c>
      <c r="M29" s="1667"/>
      <c r="N29" s="4513"/>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87761.11099999999</v>
      </c>
      <c r="D30" s="3217"/>
      <c r="E30" s="3217"/>
      <c r="F30" s="3217"/>
      <c r="G30" s="3217"/>
      <c r="H30" s="3217"/>
      <c r="I30" s="3227"/>
      <c r="J30" s="3268">
        <f t="shared" si="0"/>
        <v>4.9182641962616951E-2</v>
      </c>
      <c r="K30" s="3248">
        <f>SUM(K32:K39)</f>
        <v>4.3163233005544832</v>
      </c>
      <c r="M30" s="1659"/>
      <c r="N30" s="4513"/>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3"/>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4.4139999999999997</v>
      </c>
      <c r="D32" s="3290" t="s">
        <v>199</v>
      </c>
      <c r="E32" s="3290">
        <v>34.956955142727679</v>
      </c>
      <c r="F32" s="3290">
        <v>65.043044857272321</v>
      </c>
      <c r="G32" s="3274" t="s">
        <v>205</v>
      </c>
      <c r="H32" s="3274" t="s">
        <v>205</v>
      </c>
      <c r="I32" s="3274" t="s">
        <v>205</v>
      </c>
      <c r="J32" s="3268">
        <f t="shared" si="0"/>
        <v>8.5740570155243425</v>
      </c>
      <c r="K32" s="3244">
        <v>3.7845887666524448E-2</v>
      </c>
      <c r="M32" s="1659"/>
      <c r="N32" s="4513"/>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3.0960000000000001</v>
      </c>
      <c r="D33" s="3290" t="s">
        <v>199</v>
      </c>
      <c r="E33" s="3290">
        <v>24.100379692832291</v>
      </c>
      <c r="F33" s="3290">
        <v>75.899620307167709</v>
      </c>
      <c r="G33" s="3274" t="s">
        <v>205</v>
      </c>
      <c r="H33" s="3274" t="s">
        <v>205</v>
      </c>
      <c r="I33" s="3274" t="s">
        <v>205</v>
      </c>
      <c r="J33" s="3254">
        <f t="shared" si="0"/>
        <v>9.5047338309521496</v>
      </c>
      <c r="K33" s="3244">
        <v>2.9426655940627856E-2</v>
      </c>
      <c r="M33" s="1659"/>
      <c r="N33" s="4514"/>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45.072000000000003</v>
      </c>
      <c r="D34" s="3290" t="s">
        <v>199</v>
      </c>
      <c r="E34" s="3290">
        <v>99.806975505857295</v>
      </c>
      <c r="F34" s="3290">
        <v>0.19302449414270501</v>
      </c>
      <c r="G34" s="3274" t="s">
        <v>205</v>
      </c>
      <c r="H34" s="3274" t="s">
        <v>205</v>
      </c>
      <c r="I34" s="3274" t="s">
        <v>205</v>
      </c>
      <c r="J34" s="3254">
        <f t="shared" si="0"/>
        <v>1.0053905596070023</v>
      </c>
      <c r="K34" s="3244">
        <v>4.5314963302606807E-2</v>
      </c>
      <c r="M34" s="1598"/>
      <c r="N34" s="4512"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546.61400000000003</v>
      </c>
      <c r="D35" s="3290" t="s">
        <v>199</v>
      </c>
      <c r="E35" s="3290">
        <v>99.589289699861325</v>
      </c>
      <c r="F35" s="3290">
        <v>0.41071030013867188</v>
      </c>
      <c r="G35" s="3274" t="s">
        <v>205</v>
      </c>
      <c r="H35" s="3274" t="s">
        <v>205</v>
      </c>
      <c r="I35" s="3274" t="s">
        <v>205</v>
      </c>
      <c r="J35" s="3254">
        <f t="shared" si="0"/>
        <v>0.36151557938865797</v>
      </c>
      <c r="K35" s="3244">
        <v>0.19760947691195191</v>
      </c>
      <c r="M35" s="1667"/>
      <c r="N35" s="4513"/>
      <c r="O35" s="1695" t="s">
        <v>1042</v>
      </c>
      <c r="P35" s="1696" t="s">
        <v>1040</v>
      </c>
      <c r="Q35" s="4448">
        <v>1.7999999999999998</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259.46600000000001</v>
      </c>
      <c r="D36" s="3290" t="s">
        <v>199</v>
      </c>
      <c r="E36" s="3290">
        <v>97.583113009026235</v>
      </c>
      <c r="F36" s="3290">
        <v>2.4168869909737691</v>
      </c>
      <c r="G36" s="3274" t="s">
        <v>205</v>
      </c>
      <c r="H36" s="3274" t="s">
        <v>205</v>
      </c>
      <c r="I36" s="3274" t="s">
        <v>205</v>
      </c>
      <c r="J36" s="3254">
        <f t="shared" si="0"/>
        <v>3.2067648766761776</v>
      </c>
      <c r="K36" s="3244">
        <v>0.83204645549166112</v>
      </c>
      <c r="M36" s="1659"/>
      <c r="N36" s="4513"/>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0.77400000000000002</v>
      </c>
      <c r="D37" s="3290" t="s">
        <v>199</v>
      </c>
      <c r="E37" s="3290">
        <v>95.070388477307233</v>
      </c>
      <c r="F37" s="3290">
        <v>4.9296115226927713</v>
      </c>
      <c r="G37" s="3274" t="s">
        <v>205</v>
      </c>
      <c r="H37" s="3274" t="s">
        <v>205</v>
      </c>
      <c r="I37" s="3274" t="s">
        <v>205</v>
      </c>
      <c r="J37" s="3254">
        <f t="shared" si="0"/>
        <v>1.1406443058271694</v>
      </c>
      <c r="K37" s="3244">
        <v>8.8285869271022906E-4</v>
      </c>
      <c r="M37" s="1659"/>
      <c r="N37" s="4513"/>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86757.702999999994</v>
      </c>
      <c r="D38" s="3290">
        <v>1.2548928103274954</v>
      </c>
      <c r="E38" s="3290">
        <v>98.74510718967251</v>
      </c>
      <c r="F38" s="3290" t="s">
        <v>199</v>
      </c>
      <c r="G38" s="3274" t="s">
        <v>205</v>
      </c>
      <c r="H38" s="3274" t="s">
        <v>205</v>
      </c>
      <c r="I38" s="3274" t="s">
        <v>205</v>
      </c>
      <c r="J38" s="3254">
        <f t="shared" si="0"/>
        <v>3.5982428055884322E-2</v>
      </c>
      <c r="K38" s="3244">
        <v>3.1217528064912794</v>
      </c>
      <c r="M38" s="1659"/>
      <c r="N38" s="4513"/>
      <c r="O38" s="1699"/>
      <c r="P38" s="1696" t="s">
        <v>1040</v>
      </c>
      <c r="Q38" s="4448">
        <v>0.76243664007447542</v>
      </c>
      <c r="R38" s="4165" t="s">
        <v>199</v>
      </c>
      <c r="S38" s="4165" t="s">
        <v>199</v>
      </c>
      <c r="T38" s="4166" t="s">
        <v>274</v>
      </c>
      <c r="U38" s="4166" t="s">
        <v>199</v>
      </c>
      <c r="V38" s="4166">
        <v>2.1312970606136787E-2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143.97200000000001</v>
      </c>
      <c r="D39" s="3261"/>
      <c r="E39" s="3261"/>
      <c r="F39" s="3261"/>
      <c r="G39" s="3261"/>
      <c r="H39" s="3261"/>
      <c r="I39" s="3262"/>
      <c r="J39" s="3254">
        <f t="shared" si="0"/>
        <v>0.35732084056012031</v>
      </c>
      <c r="K39" s="3248">
        <f>SUM(K41:K45)</f>
        <v>5.1444196057121645E-2</v>
      </c>
      <c r="M39" s="1663"/>
      <c r="N39" s="4514"/>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5" t="s">
        <v>968</v>
      </c>
      <c r="N40" s="4516"/>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7"/>
      <c r="N41" s="4518"/>
      <c r="O41" s="1695" t="s">
        <v>1042</v>
      </c>
      <c r="P41" s="1696" t="s">
        <v>1040</v>
      </c>
      <c r="Q41" s="4448">
        <v>66.220421334904017</v>
      </c>
      <c r="R41" s="4165" t="s">
        <v>199</v>
      </c>
      <c r="S41" s="4165" t="s">
        <v>199</v>
      </c>
      <c r="T41" s="4166" t="s">
        <v>274</v>
      </c>
      <c r="U41" s="4166" t="s">
        <v>274</v>
      </c>
      <c r="V41" s="4166">
        <v>26.670655076791533</v>
      </c>
      <c r="W41" s="4166" t="s">
        <v>274</v>
      </c>
      <c r="X41" s="4166" t="s">
        <v>199</v>
      </c>
      <c r="Y41" s="4166" t="s">
        <v>199</v>
      </c>
      <c r="Z41" s="4166">
        <v>5.5994687584920966</v>
      </c>
      <c r="AA41" s="4166" t="s">
        <v>199</v>
      </c>
      <c r="AB41" s="4140">
        <v>22.243545656356758</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7"/>
      <c r="N42" s="4518"/>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9.9489999999999998</v>
      </c>
      <c r="D43" s="3290" t="s">
        <v>199</v>
      </c>
      <c r="E43" s="3290">
        <v>100</v>
      </c>
      <c r="F43" s="3290" t="s">
        <v>199</v>
      </c>
      <c r="G43" s="3274" t="s">
        <v>205</v>
      </c>
      <c r="H43" s="3274" t="s">
        <v>205</v>
      </c>
      <c r="I43" s="3274" t="s">
        <v>205</v>
      </c>
      <c r="J43" s="3254">
        <f t="shared" si="0"/>
        <v>0.35730827803135806</v>
      </c>
      <c r="K43" s="3244">
        <v>3.5548600581339811E-3</v>
      </c>
      <c r="M43" s="4517"/>
      <c r="N43" s="4518"/>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7"/>
      <c r="N44" s="4518"/>
      <c r="O44" s="1699"/>
      <c r="P44" s="1696" t="s">
        <v>1040</v>
      </c>
      <c r="Q44" s="4448">
        <v>0.75458529181506095</v>
      </c>
      <c r="R44" s="4165" t="s">
        <v>199</v>
      </c>
      <c r="S44" s="4165" t="s">
        <v>199</v>
      </c>
      <c r="T44" s="4166" t="s">
        <v>274</v>
      </c>
      <c r="U44" s="4166" t="s">
        <v>274</v>
      </c>
      <c r="V44" s="4166">
        <v>1.9210466168224909E-2</v>
      </c>
      <c r="W44" s="4166" t="s">
        <v>274</v>
      </c>
      <c r="X44" s="4166" t="s">
        <v>199</v>
      </c>
      <c r="Y44" s="4166" t="s">
        <v>199</v>
      </c>
      <c r="Z44" s="4166">
        <v>0.1</v>
      </c>
      <c r="AA44" s="4166" t="s">
        <v>199</v>
      </c>
      <c r="AB44" s="4140">
        <v>3.942232168503116E-2</v>
      </c>
    </row>
    <row r="45" spans="2:28" s="84" customFormat="1" ht="18" customHeight="1" thickBot="1" x14ac:dyDescent="0.25">
      <c r="B45" s="2663" t="s">
        <v>1079</v>
      </c>
      <c r="C45" s="4172">
        <f>C46</f>
        <v>134.023</v>
      </c>
      <c r="D45" s="3261"/>
      <c r="E45" s="3261"/>
      <c r="F45" s="3261"/>
      <c r="G45" s="3261"/>
      <c r="H45" s="3261"/>
      <c r="I45" s="3262"/>
      <c r="J45" s="3254">
        <f t="shared" si="0"/>
        <v>0.35732177312093943</v>
      </c>
      <c r="K45" s="3248">
        <f>K46</f>
        <v>4.7889335998987662E-2</v>
      </c>
      <c r="M45" s="4519"/>
      <c r="N45" s="4520"/>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134.023</v>
      </c>
      <c r="D46" s="3021" t="s">
        <v>199</v>
      </c>
      <c r="E46" s="3021">
        <v>100</v>
      </c>
      <c r="F46" s="3021" t="s">
        <v>199</v>
      </c>
      <c r="G46" s="3021" t="s">
        <v>205</v>
      </c>
      <c r="H46" s="3021" t="s">
        <v>205</v>
      </c>
      <c r="I46" s="3275" t="s">
        <v>205</v>
      </c>
      <c r="J46" s="3276">
        <f t="shared" si="0"/>
        <v>0.35732177312093943</v>
      </c>
      <c r="K46" s="3245">
        <v>4.7889335998987662E-2</v>
      </c>
      <c r="M46" s="4515" t="s">
        <v>1080</v>
      </c>
      <c r="N46" s="4516"/>
      <c r="O46" s="1693" t="s">
        <v>1051</v>
      </c>
      <c r="P46" s="1694" t="s">
        <v>1039</v>
      </c>
      <c r="Q46" s="4444" t="s">
        <v>199</v>
      </c>
      <c r="R46" s="4445" t="s">
        <v>199</v>
      </c>
      <c r="S46" s="4445" t="s">
        <v>199</v>
      </c>
      <c r="T46" s="4446">
        <v>43.120868589271645</v>
      </c>
      <c r="U46" s="4446" t="s">
        <v>199</v>
      </c>
      <c r="V46" s="4446" t="s">
        <v>199</v>
      </c>
      <c r="W46" s="4446" t="s">
        <v>274</v>
      </c>
      <c r="X46" s="4446">
        <v>1.9256725318727403</v>
      </c>
      <c r="Y46" s="4446">
        <v>18.819720304094059</v>
      </c>
      <c r="Z46" s="4446">
        <v>0.2238012065531651</v>
      </c>
      <c r="AA46" s="4446" t="s">
        <v>199</v>
      </c>
      <c r="AB46" s="4447">
        <v>97.301379759261863</v>
      </c>
    </row>
    <row r="47" spans="2:28" s="84" customFormat="1" ht="17.25" customHeight="1" x14ac:dyDescent="0.2">
      <c r="B47" s="504" t="s">
        <v>560</v>
      </c>
      <c r="C47" s="504" t="s">
        <v>560</v>
      </c>
      <c r="D47" s="504"/>
      <c r="E47" s="504"/>
      <c r="F47" s="504"/>
      <c r="G47" s="504"/>
      <c r="H47" s="504"/>
      <c r="I47" s="504"/>
      <c r="J47" s="504"/>
      <c r="K47" s="504"/>
      <c r="M47" s="4517"/>
      <c r="N47" s="4518"/>
      <c r="O47" s="1695" t="s">
        <v>1042</v>
      </c>
      <c r="P47" s="1696" t="s">
        <v>1040</v>
      </c>
      <c r="Q47" s="4448" t="s">
        <v>199</v>
      </c>
      <c r="R47" s="4165" t="s">
        <v>199</v>
      </c>
      <c r="S47" s="4165" t="s">
        <v>199</v>
      </c>
      <c r="T47" s="4166">
        <v>42.771228794963704</v>
      </c>
      <c r="U47" s="4166" t="s">
        <v>199</v>
      </c>
      <c r="V47" s="4166" t="s">
        <v>199</v>
      </c>
      <c r="W47" s="4166" t="s">
        <v>274</v>
      </c>
      <c r="X47" s="4166">
        <v>2.7189084623644031</v>
      </c>
      <c r="Y47" s="4166">
        <v>18.884902760656082</v>
      </c>
      <c r="Z47" s="4166">
        <v>0.20873540223405959</v>
      </c>
      <c r="AA47" s="4166" t="s">
        <v>199</v>
      </c>
      <c r="AB47" s="4140">
        <v>97.281091537635589</v>
      </c>
    </row>
    <row r="48" spans="2:28" s="84" customFormat="1" ht="14.25" thickBot="1" x14ac:dyDescent="0.25">
      <c r="B48" s="311"/>
      <c r="C48" s="1648"/>
      <c r="D48" s="1648"/>
      <c r="E48" s="1648"/>
      <c r="F48" s="1648"/>
      <c r="G48" s="1648"/>
      <c r="H48" s="1648"/>
      <c r="I48" s="1648"/>
      <c r="J48" s="1648"/>
      <c r="K48" s="1648"/>
      <c r="M48" s="4517"/>
      <c r="N48" s="4518"/>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7"/>
      <c r="N49" s="4518"/>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7"/>
      <c r="N50" s="4518"/>
      <c r="O50" s="1699"/>
      <c r="P50" s="1696" t="s">
        <v>1040</v>
      </c>
      <c r="Q50" s="4448" t="s">
        <v>199</v>
      </c>
      <c r="R50" s="4165" t="s">
        <v>199</v>
      </c>
      <c r="S50" s="4165" t="s">
        <v>199</v>
      </c>
      <c r="T50" s="4166">
        <v>2.0000000000000004E-2</v>
      </c>
      <c r="U50" s="4166" t="s">
        <v>199</v>
      </c>
      <c r="V50" s="4166" t="s">
        <v>199</v>
      </c>
      <c r="W50" s="4166" t="s">
        <v>274</v>
      </c>
      <c r="X50" s="4166">
        <v>1.4055275793849036E-2</v>
      </c>
      <c r="Y50" s="4166">
        <v>1.0000000000000002E-2</v>
      </c>
      <c r="Z50" s="4166">
        <v>0.10000000000000003</v>
      </c>
      <c r="AA50" s="4166" t="s">
        <v>199</v>
      </c>
      <c r="AB50" s="4140">
        <v>1.5000000000000001E-2</v>
      </c>
    </row>
    <row r="51" spans="2:28" s="84" customFormat="1" ht="14.25" thickBot="1" x14ac:dyDescent="0.25">
      <c r="B51" s="72"/>
      <c r="C51" s="311"/>
      <c r="D51" s="311"/>
      <c r="E51" s="311"/>
      <c r="F51" s="311"/>
      <c r="G51" s="311"/>
      <c r="H51" s="311"/>
      <c r="I51" s="311"/>
      <c r="J51" s="311"/>
      <c r="K51" s="311"/>
      <c r="M51" s="4519"/>
      <c r="N51" s="4520"/>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5" t="s">
        <v>1081</v>
      </c>
      <c r="N52" s="4516"/>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7"/>
      <c r="N53" s="4518"/>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7"/>
      <c r="N54" s="4518"/>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7"/>
      <c r="N55" s="4518"/>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7"/>
      <c r="N56" s="4518"/>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9"/>
      <c r="N57" s="4520"/>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5" t="s">
        <v>1082</v>
      </c>
      <c r="N58" s="4516"/>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7"/>
      <c r="N59" s="4518"/>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7"/>
      <c r="N60" s="4518"/>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7"/>
      <c r="N61" s="4518"/>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7"/>
      <c r="N62" s="4518"/>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9"/>
      <c r="N63" s="4520"/>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9" t="s">
        <v>1083</v>
      </c>
      <c r="C65" s="4510"/>
      <c r="D65" s="4510"/>
      <c r="E65" s="4510"/>
      <c r="F65" s="4510"/>
      <c r="G65" s="4510"/>
      <c r="H65" s="4510"/>
      <c r="I65" s="4510"/>
      <c r="J65" s="4510"/>
      <c r="K65" s="4511"/>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28506.171000000002</v>
      </c>
      <c r="D10" s="3453"/>
      <c r="E10" s="3454"/>
      <c r="F10" s="3441">
        <f>F15</f>
        <v>30341910.212303638</v>
      </c>
      <c r="G10" s="3441" t="str">
        <f t="shared" ref="G10:R10" si="0">G15</f>
        <v>NO</v>
      </c>
      <c r="H10" s="3441">
        <f t="shared" si="0"/>
        <v>6979426.2173780892</v>
      </c>
      <c r="I10" s="3441">
        <f t="shared" si="0"/>
        <v>19228630.43902399</v>
      </c>
      <c r="J10" s="3441" t="str">
        <f t="shared" si="0"/>
        <v>NO</v>
      </c>
      <c r="K10" s="3441">
        <f t="shared" si="0"/>
        <v>55151989.46648778</v>
      </c>
      <c r="L10" s="3441" t="str">
        <f t="shared" si="0"/>
        <v>NO</v>
      </c>
      <c r="M10" s="3441">
        <f t="shared" si="0"/>
        <v>1151923863.9136999</v>
      </c>
      <c r="N10" s="3441">
        <f t="shared" si="0"/>
        <v>7892690.9085701369</v>
      </c>
      <c r="O10" s="3441" t="str">
        <f t="shared" si="0"/>
        <v>NO</v>
      </c>
      <c r="P10" s="3441" t="str">
        <f t="shared" si="0"/>
        <v>NO</v>
      </c>
      <c r="Q10" s="3441" t="str">
        <f t="shared" si="0"/>
        <v>NO</v>
      </c>
      <c r="R10" s="3441">
        <f t="shared" si="0"/>
        <v>1271518511.1574633</v>
      </c>
      <c r="S10" s="2670"/>
      <c r="T10" s="2671"/>
      <c r="U10" s="3419">
        <f>IF(SUM(X10)=0,"NA",X10*1000/C10)</f>
        <v>2.6068535167342272E-2</v>
      </c>
      <c r="V10" s="3411"/>
      <c r="W10" s="3412"/>
      <c r="X10" s="3278">
        <f t="shared" ref="X10" si="1">X15</f>
        <v>0.74311412119977249</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28506.171000000002</v>
      </c>
      <c r="D15" s="3456"/>
      <c r="E15" s="3456"/>
      <c r="F15" s="2668">
        <f>F20</f>
        <v>30341910.212303638</v>
      </c>
      <c r="G15" s="2668" t="str">
        <f t="shared" ref="G15:R15" si="2">G20</f>
        <v>NO</v>
      </c>
      <c r="H15" s="2668">
        <f t="shared" si="2"/>
        <v>6979426.2173780892</v>
      </c>
      <c r="I15" s="2668">
        <f t="shared" si="2"/>
        <v>19228630.43902399</v>
      </c>
      <c r="J15" s="2668" t="str">
        <f t="shared" si="2"/>
        <v>NO</v>
      </c>
      <c r="K15" s="2668">
        <f t="shared" si="2"/>
        <v>55151989.46648778</v>
      </c>
      <c r="L15" s="2668" t="str">
        <f t="shared" si="2"/>
        <v>NO</v>
      </c>
      <c r="M15" s="2668">
        <f t="shared" si="2"/>
        <v>1151923863.9136999</v>
      </c>
      <c r="N15" s="2668">
        <f t="shared" si="2"/>
        <v>7892690.9085701369</v>
      </c>
      <c r="O15" s="2668" t="str">
        <f t="shared" si="2"/>
        <v>NO</v>
      </c>
      <c r="P15" s="2668" t="str">
        <f t="shared" si="2"/>
        <v>NO</v>
      </c>
      <c r="Q15" s="2668" t="str">
        <f t="shared" si="2"/>
        <v>NO</v>
      </c>
      <c r="R15" s="2668">
        <f t="shared" si="2"/>
        <v>1271518511.1574633</v>
      </c>
      <c r="S15" s="2676"/>
      <c r="T15" s="2677"/>
      <c r="U15" s="3419">
        <f>IF(SUM(X15)=0,"NA",X15*1000/C15)</f>
        <v>2.6068535167342272E-2</v>
      </c>
      <c r="V15" s="3417"/>
      <c r="W15" s="3418"/>
      <c r="X15" s="3281">
        <f t="shared" ref="X15" si="3">X20</f>
        <v>0.74311412119977249</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28506.171000000002</v>
      </c>
      <c r="D20" s="3455"/>
      <c r="E20" s="3455"/>
      <c r="F20" s="2668">
        <f>IF(SUM(F21:F23)=0,"NO",SUM(F21:F23))</f>
        <v>30341910.212303638</v>
      </c>
      <c r="G20" s="2668" t="str">
        <f t="shared" ref="G20:Q20" si="6">IF(SUM(G21:G23)=0,"NO",SUM(G21:G23))</f>
        <v>NO</v>
      </c>
      <c r="H20" s="2668">
        <f t="shared" si="6"/>
        <v>6979426.2173780892</v>
      </c>
      <c r="I20" s="2668">
        <f t="shared" si="6"/>
        <v>19228630.43902399</v>
      </c>
      <c r="J20" s="2668" t="str">
        <f t="shared" si="6"/>
        <v>NO</v>
      </c>
      <c r="K20" s="2668">
        <f t="shared" si="6"/>
        <v>55151989.46648778</v>
      </c>
      <c r="L20" s="2668" t="str">
        <f t="shared" si="6"/>
        <v>NO</v>
      </c>
      <c r="M20" s="2668">
        <f t="shared" si="6"/>
        <v>1151923863.9136999</v>
      </c>
      <c r="N20" s="2668">
        <f t="shared" si="6"/>
        <v>7892690.9085701369</v>
      </c>
      <c r="O20" s="2668" t="str">
        <f t="shared" si="6"/>
        <v>NO</v>
      </c>
      <c r="P20" s="2668" t="str">
        <f t="shared" si="6"/>
        <v>NO</v>
      </c>
      <c r="Q20" s="2668" t="str">
        <f t="shared" si="6"/>
        <v>NO</v>
      </c>
      <c r="R20" s="3445">
        <f>IF(SUM(F20:Q20)=0,"NO",SUM(F20:Q20))</f>
        <v>1271518511.1574633</v>
      </c>
      <c r="S20" s="2676"/>
      <c r="T20" s="2677"/>
      <c r="U20" s="3419">
        <f t="shared" si="4"/>
        <v>2.6068535167342272E-2</v>
      </c>
      <c r="V20" s="3417"/>
      <c r="W20" s="3418"/>
      <c r="X20" s="3281">
        <f t="shared" ref="X20" si="7">IF(SUM(X21:X23)=0,"NO",SUM(X21:X23))</f>
        <v>0.74311412119977249</v>
      </c>
      <c r="Y20" s="3142"/>
      <c r="Z20" s="3420"/>
    </row>
    <row r="21" spans="2:26" ht="18" customHeight="1" x14ac:dyDescent="0.2">
      <c r="B21" s="2666" t="s">
        <v>994</v>
      </c>
      <c r="C21" s="3458">
        <f>Table3.A!C21</f>
        <v>2569.991</v>
      </c>
      <c r="D21" s="3274">
        <v>126.57723672967091</v>
      </c>
      <c r="E21" s="3457">
        <f>'Table3.B(a)'!G21</f>
        <v>454.97014813459037</v>
      </c>
      <c r="F21" s="3442">
        <v>29349174.401906859</v>
      </c>
      <c r="G21" s="3442" t="s">
        <v>199</v>
      </c>
      <c r="H21" s="3442">
        <v>6979426.2173780892</v>
      </c>
      <c r="I21" s="3442">
        <v>8012701.2531611649</v>
      </c>
      <c r="J21" s="3442" t="s">
        <v>199</v>
      </c>
      <c r="K21" s="3442" t="s">
        <v>274</v>
      </c>
      <c r="L21" s="3442" t="s">
        <v>199</v>
      </c>
      <c r="M21" s="3442">
        <v>280961057.32767755</v>
      </c>
      <c r="N21" s="3442" t="s">
        <v>199</v>
      </c>
      <c r="O21" s="3442" t="s">
        <v>199</v>
      </c>
      <c r="P21" s="3442" t="s">
        <v>199</v>
      </c>
      <c r="Q21" s="3442" t="s">
        <v>199</v>
      </c>
      <c r="R21" s="3445">
        <f t="shared" ref="R21:R46" si="8">IF(SUM(F21:Q21)=0,"NO",SUM(F21:Q21))</f>
        <v>325302359.20012367</v>
      </c>
      <c r="S21" s="2676"/>
      <c r="T21" s="2677"/>
      <c r="U21" s="3419">
        <f t="shared" si="4"/>
        <v>2.4496948984527516E-2</v>
      </c>
      <c r="V21" s="3417"/>
      <c r="W21" s="3418"/>
      <c r="X21" s="3282">
        <v>6.2956938417694855E-2</v>
      </c>
      <c r="Y21" s="3142"/>
      <c r="Z21" s="3420"/>
    </row>
    <row r="22" spans="2:26" ht="18" customHeight="1" x14ac:dyDescent="0.2">
      <c r="B22" s="2666" t="s">
        <v>965</v>
      </c>
      <c r="C22" s="3458">
        <f>Table3.A!C22</f>
        <v>25156.942999999999</v>
      </c>
      <c r="D22" s="3274">
        <v>34.621169677807224</v>
      </c>
      <c r="E22" s="3457">
        <f>'Table3.B(a)'!G22</f>
        <v>361.23977756504632</v>
      </c>
      <c r="F22" s="3446" t="s">
        <v>199</v>
      </c>
      <c r="G22" s="3442" t="s">
        <v>199</v>
      </c>
      <c r="H22" s="3446" t="s">
        <v>199</v>
      </c>
      <c r="I22" s="3446" t="s">
        <v>199</v>
      </c>
      <c r="J22" s="3446" t="s">
        <v>199</v>
      </c>
      <c r="K22" s="3446" t="s">
        <v>199</v>
      </c>
      <c r="L22" s="3446" t="s">
        <v>199</v>
      </c>
      <c r="M22" s="3446">
        <v>870962806.58602226</v>
      </c>
      <c r="N22" s="3446" t="s">
        <v>199</v>
      </c>
      <c r="O22" s="3446" t="s">
        <v>199</v>
      </c>
      <c r="P22" s="3446" t="s">
        <v>199</v>
      </c>
      <c r="Q22" s="3446" t="s">
        <v>199</v>
      </c>
      <c r="R22" s="3445">
        <f t="shared" si="8"/>
        <v>870962806.58602226</v>
      </c>
      <c r="S22" s="2676"/>
      <c r="T22" s="2677"/>
      <c r="U22" s="3419" t="str">
        <f>IF(SUM(X22)=0,"NA",X22*1000/C22)</f>
        <v>NA</v>
      </c>
      <c r="V22" s="3417"/>
      <c r="W22" s="3418"/>
      <c r="X22" s="3282" t="s">
        <v>205</v>
      </c>
      <c r="Y22" s="3142"/>
      <c r="Z22" s="3420"/>
    </row>
    <row r="23" spans="2:26" ht="18" customHeight="1" x14ac:dyDescent="0.2">
      <c r="B23" s="2666" t="s">
        <v>966</v>
      </c>
      <c r="C23" s="3458">
        <f>Table3.A!C23</f>
        <v>779.23699999999997</v>
      </c>
      <c r="D23" s="3274">
        <v>70.776950942183049</v>
      </c>
      <c r="E23" s="3457">
        <f>'Table3.B(a)'!G23</f>
        <v>524.73704034096556</v>
      </c>
      <c r="F23" s="3446">
        <v>992735.81039678014</v>
      </c>
      <c r="G23" s="3442" t="s">
        <v>199</v>
      </c>
      <c r="H23" s="3446" t="s">
        <v>199</v>
      </c>
      <c r="I23" s="3446">
        <v>11215929.185862826</v>
      </c>
      <c r="J23" s="3446" t="s">
        <v>274</v>
      </c>
      <c r="K23" s="3446">
        <v>55151989.46648778</v>
      </c>
      <c r="L23" s="3446" t="s">
        <v>199</v>
      </c>
      <c r="M23" s="3446" t="s">
        <v>199</v>
      </c>
      <c r="N23" s="3446">
        <v>7892690.9085701369</v>
      </c>
      <c r="O23" s="3446" t="s">
        <v>199</v>
      </c>
      <c r="P23" s="3446" t="s">
        <v>199</v>
      </c>
      <c r="Q23" s="3446" t="s">
        <v>199</v>
      </c>
      <c r="R23" s="3445">
        <f t="shared" si="8"/>
        <v>75253345.371317521</v>
      </c>
      <c r="S23" s="2676"/>
      <c r="T23" s="2677"/>
      <c r="U23" s="3419">
        <f t="shared" ref="U23:U30" si="9">IF(SUM(X23)=0,"NA",X23*1000/C23)</f>
        <v>0.87285021473836277</v>
      </c>
      <c r="V23" s="3417"/>
      <c r="W23" s="3418"/>
      <c r="X23" s="3282">
        <v>0.6801571827820776</v>
      </c>
      <c r="Y23" s="3142"/>
      <c r="Z23" s="3420"/>
    </row>
    <row r="24" spans="2:26" ht="18" customHeight="1" x14ac:dyDescent="0.2">
      <c r="B24" s="349" t="s">
        <v>1062</v>
      </c>
      <c r="C24" s="3281">
        <f>C25</f>
        <v>73096.907000000007</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500087123.23275322</v>
      </c>
      <c r="N24" s="2668" t="str">
        <f t="shared" si="10"/>
        <v>NO</v>
      </c>
      <c r="O24" s="2668" t="str">
        <f t="shared" si="10"/>
        <v>NO</v>
      </c>
      <c r="P24" s="2668" t="str">
        <f t="shared" si="10"/>
        <v>NO</v>
      </c>
      <c r="Q24" s="2668" t="str">
        <f t="shared" si="10"/>
        <v>NO</v>
      </c>
      <c r="R24" s="3445">
        <f t="shared" si="8"/>
        <v>500087123.23275322</v>
      </c>
      <c r="S24" s="2676"/>
      <c r="T24" s="2677"/>
      <c r="U24" s="3419" t="str">
        <f t="shared" si="9"/>
        <v>NA</v>
      </c>
      <c r="V24" s="3417"/>
      <c r="W24" s="3418"/>
      <c r="X24" s="3281" t="str">
        <f t="shared" ref="X24:X25" si="11">X25</f>
        <v>NA</v>
      </c>
      <c r="Y24" s="3142"/>
      <c r="Z24" s="3420"/>
    </row>
    <row r="25" spans="2:26" ht="18" customHeight="1" x14ac:dyDescent="0.2">
      <c r="B25" s="348" t="s">
        <v>1063</v>
      </c>
      <c r="C25" s="3281">
        <f>C26</f>
        <v>73096.907000000007</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500087123.23275322</v>
      </c>
      <c r="N25" s="2668" t="str">
        <f t="shared" si="10"/>
        <v>NO</v>
      </c>
      <c r="O25" s="2668" t="str">
        <f t="shared" si="10"/>
        <v>NO</v>
      </c>
      <c r="P25" s="2668" t="str">
        <f t="shared" si="10"/>
        <v>NO</v>
      </c>
      <c r="Q25" s="2668" t="str">
        <f t="shared" si="10"/>
        <v>NO</v>
      </c>
      <c r="R25" s="3445">
        <f t="shared" si="8"/>
        <v>500087123.23275322</v>
      </c>
      <c r="S25" s="2676"/>
      <c r="T25" s="2677"/>
      <c r="U25" s="3419" t="str">
        <f t="shared" si="9"/>
        <v>NA</v>
      </c>
      <c r="V25" s="3417"/>
      <c r="W25" s="3418"/>
      <c r="X25" s="3281" t="str">
        <f t="shared" si="11"/>
        <v>NA</v>
      </c>
      <c r="Y25" s="3142"/>
      <c r="Z25" s="3420"/>
    </row>
    <row r="26" spans="2:26" ht="18" customHeight="1" x14ac:dyDescent="0.2">
      <c r="B26" s="2661" t="s">
        <v>967</v>
      </c>
      <c r="C26" s="3458">
        <f>Table3.A!C26</f>
        <v>73096.907000000007</v>
      </c>
      <c r="D26" s="3274">
        <v>6.8414265904951792</v>
      </c>
      <c r="E26" s="3457">
        <f>'Table3.B(a)'!G26</f>
        <v>44.035040238361503</v>
      </c>
      <c r="F26" s="3446" t="s">
        <v>199</v>
      </c>
      <c r="G26" s="3442" t="s">
        <v>199</v>
      </c>
      <c r="H26" s="3446" t="s">
        <v>199</v>
      </c>
      <c r="I26" s="3446" t="s">
        <v>199</v>
      </c>
      <c r="J26" s="3446" t="s">
        <v>199</v>
      </c>
      <c r="K26" s="3446" t="s">
        <v>199</v>
      </c>
      <c r="L26" s="3446" t="s">
        <v>199</v>
      </c>
      <c r="M26" s="3442">
        <v>500087123.23275322</v>
      </c>
      <c r="N26" s="3446" t="s">
        <v>199</v>
      </c>
      <c r="O26" s="3446" t="s">
        <v>199</v>
      </c>
      <c r="P26" s="3446" t="s">
        <v>199</v>
      </c>
      <c r="Q26" s="3446" t="s">
        <v>199</v>
      </c>
      <c r="R26" s="3445">
        <f t="shared" si="8"/>
        <v>500087123.23275322</v>
      </c>
      <c r="S26" s="2676"/>
      <c r="T26" s="2677"/>
      <c r="U26" s="3419" t="str">
        <f t="shared" si="9"/>
        <v>NA</v>
      </c>
      <c r="V26" s="3417"/>
      <c r="W26" s="3418"/>
      <c r="X26" s="3282" t="s">
        <v>205</v>
      </c>
      <c r="Y26" s="3142"/>
      <c r="Z26" s="3420"/>
    </row>
    <row r="27" spans="2:26" ht="18" customHeight="1" x14ac:dyDescent="0.2">
      <c r="B27" s="349" t="s">
        <v>1064</v>
      </c>
      <c r="C27" s="3281">
        <f>C28</f>
        <v>2285.2130000000002</v>
      </c>
      <c r="D27" s="3455"/>
      <c r="E27" s="3455"/>
      <c r="F27" s="2668">
        <f>F28</f>
        <v>19806168.916960001</v>
      </c>
      <c r="G27" s="2668" t="str">
        <f t="shared" ref="G27:G28" si="12">G28</f>
        <v>NO</v>
      </c>
      <c r="H27" s="2668" t="str">
        <f t="shared" ref="H27:H28" si="13">H28</f>
        <v>NO</v>
      </c>
      <c r="I27" s="2668" t="str">
        <f t="shared" ref="I27:I28" si="14">I28</f>
        <v>IE</v>
      </c>
      <c r="J27" s="2668" t="str">
        <f t="shared" ref="J27:J28" si="15">J28</f>
        <v>IE</v>
      </c>
      <c r="K27" s="2668">
        <f t="shared" ref="K27:K28" si="16">K28</f>
        <v>7008209.9840149991</v>
      </c>
      <c r="L27" s="2668" t="str">
        <f t="shared" ref="L27:L28" si="17">L28</f>
        <v>IE</v>
      </c>
      <c r="M27" s="2668" t="str">
        <f t="shared" ref="M27:M28" si="18">M28</f>
        <v>NO</v>
      </c>
      <c r="N27" s="2668" t="str">
        <f t="shared" ref="N27:N28" si="19">N28</f>
        <v>NO</v>
      </c>
      <c r="O27" s="2668">
        <f t="shared" ref="O27:O28" si="20">O28</f>
        <v>1561758.3783999998</v>
      </c>
      <c r="P27" s="2668" t="str">
        <f t="shared" ref="P27:P28" si="21">P28</f>
        <v>NO</v>
      </c>
      <c r="Q27" s="2668">
        <f t="shared" ref="Q27:Q28" si="22">Q28</f>
        <v>6269959.6882599993</v>
      </c>
      <c r="R27" s="3445">
        <f t="shared" si="8"/>
        <v>34646096.967634998</v>
      </c>
      <c r="S27" s="2676"/>
      <c r="T27" s="2677"/>
      <c r="U27" s="3419">
        <f t="shared" si="9"/>
        <v>7.945063802542976E-2</v>
      </c>
      <c r="V27" s="3417"/>
      <c r="W27" s="3418"/>
      <c r="X27" s="3281">
        <f t="shared" ref="X27:X28" si="23">X28</f>
        <v>0.18156163087400642</v>
      </c>
      <c r="Y27" s="3142"/>
      <c r="Z27" s="3420"/>
    </row>
    <row r="28" spans="2:26" ht="18" customHeight="1" x14ac:dyDescent="0.2">
      <c r="B28" s="348" t="s">
        <v>1065</v>
      </c>
      <c r="C28" s="3281">
        <f>C29</f>
        <v>2285.2130000000002</v>
      </c>
      <c r="D28" s="3455"/>
      <c r="E28" s="3455"/>
      <c r="F28" s="2668">
        <f>F29</f>
        <v>19806168.916960001</v>
      </c>
      <c r="G28" s="2668" t="str">
        <f t="shared" si="12"/>
        <v>NO</v>
      </c>
      <c r="H28" s="2668" t="str">
        <f t="shared" si="13"/>
        <v>NO</v>
      </c>
      <c r="I28" s="2668" t="str">
        <f t="shared" si="14"/>
        <v>IE</v>
      </c>
      <c r="J28" s="2668" t="str">
        <f t="shared" si="15"/>
        <v>IE</v>
      </c>
      <c r="K28" s="2668">
        <f t="shared" si="16"/>
        <v>7008209.9840149991</v>
      </c>
      <c r="L28" s="2668" t="str">
        <f t="shared" si="17"/>
        <v>IE</v>
      </c>
      <c r="M28" s="2668" t="str">
        <f t="shared" si="18"/>
        <v>NO</v>
      </c>
      <c r="N28" s="2668" t="str">
        <f t="shared" si="19"/>
        <v>NO</v>
      </c>
      <c r="O28" s="2668">
        <f t="shared" si="20"/>
        <v>1561758.3783999998</v>
      </c>
      <c r="P28" s="2668" t="str">
        <f t="shared" si="21"/>
        <v>NO</v>
      </c>
      <c r="Q28" s="2668">
        <f t="shared" si="22"/>
        <v>6269959.6882599993</v>
      </c>
      <c r="R28" s="3445">
        <f t="shared" si="8"/>
        <v>34646096.967634998</v>
      </c>
      <c r="S28" s="2676"/>
      <c r="T28" s="2677"/>
      <c r="U28" s="3419">
        <f t="shared" si="9"/>
        <v>7.945063802542976E-2</v>
      </c>
      <c r="V28" s="3417"/>
      <c r="W28" s="3418"/>
      <c r="X28" s="3281">
        <f t="shared" si="23"/>
        <v>0.18156163087400642</v>
      </c>
      <c r="Y28" s="3142"/>
      <c r="Z28" s="3420"/>
    </row>
    <row r="29" spans="2:26" ht="18" customHeight="1" x14ac:dyDescent="0.2">
      <c r="B29" s="2661" t="s">
        <v>968</v>
      </c>
      <c r="C29" s="3458">
        <f>Table3.A!C29</f>
        <v>2285.2130000000002</v>
      </c>
      <c r="D29" s="3274">
        <v>12.244137097942291</v>
      </c>
      <c r="E29" s="3457">
        <f>'Table3.B(a)'!G29</f>
        <v>57.951975592647159</v>
      </c>
      <c r="F29" s="3442">
        <v>19806168.916960001</v>
      </c>
      <c r="G29" s="3442" t="s">
        <v>199</v>
      </c>
      <c r="H29" s="3442" t="s">
        <v>199</v>
      </c>
      <c r="I29" s="3442" t="s">
        <v>274</v>
      </c>
      <c r="J29" s="3442" t="s">
        <v>274</v>
      </c>
      <c r="K29" s="3442">
        <v>7008209.9840149991</v>
      </c>
      <c r="L29" s="3442" t="s">
        <v>274</v>
      </c>
      <c r="M29" s="3442" t="s">
        <v>199</v>
      </c>
      <c r="N29" s="3442" t="s">
        <v>199</v>
      </c>
      <c r="O29" s="3442">
        <v>1561758.3783999998</v>
      </c>
      <c r="P29" s="3442" t="s">
        <v>199</v>
      </c>
      <c r="Q29" s="3442">
        <v>6269959.6882599993</v>
      </c>
      <c r="R29" s="3445">
        <f t="shared" si="8"/>
        <v>34646096.967634998</v>
      </c>
      <c r="S29" s="2676"/>
      <c r="T29" s="2677"/>
      <c r="U29" s="3419">
        <f t="shared" si="9"/>
        <v>7.945063802542976E-2</v>
      </c>
      <c r="V29" s="3417"/>
      <c r="W29" s="3418"/>
      <c r="X29" s="3282">
        <v>0.18156163087400642</v>
      </c>
      <c r="Y29" s="3142"/>
      <c r="Z29" s="3420"/>
    </row>
    <row r="30" spans="2:26" ht="18" customHeight="1" x14ac:dyDescent="0.2">
      <c r="B30" s="349" t="s">
        <v>1116</v>
      </c>
      <c r="C30" s="3281">
        <f>IF(SUM(C32:C39)=0,"NO",SUM(C32:C39))</f>
        <v>87761.11099999999</v>
      </c>
      <c r="D30" s="3455"/>
      <c r="E30" s="3455"/>
      <c r="F30" s="2668" t="str">
        <f>IF(SUM(F32:F39)=0,"NO",SUM(F32:F39))</f>
        <v>NO</v>
      </c>
      <c r="G30" s="2668" t="str">
        <f t="shared" ref="G30:Q30" si="24">IF(SUM(G32:G39)=0,"NO",SUM(G32:G39))</f>
        <v>NO</v>
      </c>
      <c r="H30" s="2668" t="str">
        <f t="shared" si="24"/>
        <v>NO</v>
      </c>
      <c r="I30" s="2668">
        <f t="shared" si="24"/>
        <v>20438914.207785435</v>
      </c>
      <c r="J30" s="2668" t="str">
        <f t="shared" si="24"/>
        <v>NO</v>
      </c>
      <c r="K30" s="2668" t="str">
        <f t="shared" si="24"/>
        <v>NO</v>
      </c>
      <c r="L30" s="2668" t="str">
        <f t="shared" si="24"/>
        <v>NO</v>
      </c>
      <c r="M30" s="2668">
        <f t="shared" si="24"/>
        <v>17555258.922646552</v>
      </c>
      <c r="N30" s="2668">
        <f t="shared" si="24"/>
        <v>9017356.5302568078</v>
      </c>
      <c r="O30" s="2668">
        <f t="shared" si="24"/>
        <v>100179.2865013718</v>
      </c>
      <c r="P30" s="2668" t="str">
        <f t="shared" si="24"/>
        <v>NO</v>
      </c>
      <c r="Q30" s="2668">
        <f t="shared" si="24"/>
        <v>66340031.578149833</v>
      </c>
      <c r="R30" s="3445">
        <f t="shared" si="8"/>
        <v>113451740.52533999</v>
      </c>
      <c r="S30" s="2676"/>
      <c r="T30" s="2677"/>
      <c r="U30" s="3419">
        <f t="shared" si="9"/>
        <v>4.4439891669775947E-3</v>
      </c>
      <c r="V30" s="3417"/>
      <c r="W30" s="3418"/>
      <c r="X30" s="3281">
        <f t="shared" ref="X30" si="25">IF(SUM(X32:X39)=0,"NO",SUM(X32:X39))</f>
        <v>0.39000942656591814</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4.4139999999999997</v>
      </c>
      <c r="D32" s="3274">
        <v>39.5</v>
      </c>
      <c r="E32" s="3457" t="str">
        <f>'Table3.B(a)'!G32</f>
        <v>NA</v>
      </c>
      <c r="F32" s="3442" t="s">
        <v>199</v>
      </c>
      <c r="G32" s="3442" t="s">
        <v>199</v>
      </c>
      <c r="H32" s="3442" t="s">
        <v>199</v>
      </c>
      <c r="I32" s="3442" t="s">
        <v>199</v>
      </c>
      <c r="J32" s="3442" t="s">
        <v>199</v>
      </c>
      <c r="K32" s="3442" t="s">
        <v>199</v>
      </c>
      <c r="L32" s="3442" t="s">
        <v>199</v>
      </c>
      <c r="M32" s="3442">
        <v>174352.99999999997</v>
      </c>
      <c r="N32" s="3442" t="s">
        <v>199</v>
      </c>
      <c r="O32" s="3442" t="s">
        <v>199</v>
      </c>
      <c r="P32" s="3442" t="s">
        <v>199</v>
      </c>
      <c r="Q32" s="3442" t="s">
        <v>199</v>
      </c>
      <c r="R32" s="3445">
        <f t="shared" si="8"/>
        <v>174352.99999999997</v>
      </c>
      <c r="S32" s="2676"/>
      <c r="T32" s="2677"/>
      <c r="U32" s="3419" t="str">
        <f>IF(SUM(X32)=0,"NA",X32*1000/C32)</f>
        <v>NA</v>
      </c>
      <c r="V32" s="3417"/>
      <c r="W32" s="3418"/>
      <c r="X32" s="3282" t="s">
        <v>205</v>
      </c>
      <c r="Y32" s="3142"/>
      <c r="Z32" s="3420"/>
    </row>
    <row r="33" spans="2:26" ht="18" customHeight="1" x14ac:dyDescent="0.2">
      <c r="B33" s="348" t="s">
        <v>1068</v>
      </c>
      <c r="C33" s="3458">
        <f>Table3.A!C33</f>
        <v>3.0960000000000001</v>
      </c>
      <c r="D33" s="3274">
        <v>39.5</v>
      </c>
      <c r="E33" s="3457" t="str">
        <f>'Table3.B(a)'!G33</f>
        <v>NA</v>
      </c>
      <c r="F33" s="3442" t="s">
        <v>199</v>
      </c>
      <c r="G33" s="3442" t="s">
        <v>199</v>
      </c>
      <c r="H33" s="3442" t="s">
        <v>199</v>
      </c>
      <c r="I33" s="3442" t="s">
        <v>199</v>
      </c>
      <c r="J33" s="3442" t="s">
        <v>199</v>
      </c>
      <c r="K33" s="3442" t="s">
        <v>199</v>
      </c>
      <c r="L33" s="3442" t="s">
        <v>199</v>
      </c>
      <c r="M33" s="3442">
        <v>122294.93820538562</v>
      </c>
      <c r="N33" s="3442" t="s">
        <v>199</v>
      </c>
      <c r="O33" s="3442" t="s">
        <v>199</v>
      </c>
      <c r="P33" s="3442" t="s">
        <v>199</v>
      </c>
      <c r="Q33" s="3442" t="s">
        <v>199</v>
      </c>
      <c r="R33" s="3445">
        <f t="shared" si="8"/>
        <v>122294.93820538562</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45.072000000000003</v>
      </c>
      <c r="D34" s="3274">
        <v>13.2</v>
      </c>
      <c r="E34" s="3457" t="str">
        <f>'Table3.B(a)'!G34</f>
        <v>NA</v>
      </c>
      <c r="F34" s="3442" t="s">
        <v>199</v>
      </c>
      <c r="G34" s="3442" t="s">
        <v>199</v>
      </c>
      <c r="H34" s="3442" t="s">
        <v>199</v>
      </c>
      <c r="I34" s="3442" t="s">
        <v>199</v>
      </c>
      <c r="J34" s="3442" t="s">
        <v>199</v>
      </c>
      <c r="K34" s="3442" t="s">
        <v>199</v>
      </c>
      <c r="L34" s="3442" t="s">
        <v>199</v>
      </c>
      <c r="M34" s="3442">
        <v>594950.39999999991</v>
      </c>
      <c r="N34" s="3442" t="s">
        <v>199</v>
      </c>
      <c r="O34" s="3442" t="s">
        <v>199</v>
      </c>
      <c r="P34" s="3442" t="s">
        <v>199</v>
      </c>
      <c r="Q34" s="3442" t="s">
        <v>199</v>
      </c>
      <c r="R34" s="3445">
        <f t="shared" si="8"/>
        <v>594950.39999999991</v>
      </c>
      <c r="S34" s="2676"/>
      <c r="T34" s="2677"/>
      <c r="U34" s="3419" t="str">
        <f t="shared" si="26"/>
        <v>NA</v>
      </c>
      <c r="V34" s="3417"/>
      <c r="W34" s="3418"/>
      <c r="X34" s="3282" t="s">
        <v>205</v>
      </c>
      <c r="Y34" s="3142"/>
      <c r="Z34" s="3420"/>
    </row>
    <row r="35" spans="2:26" ht="18" customHeight="1" x14ac:dyDescent="0.2">
      <c r="B35" s="348" t="s">
        <v>1070</v>
      </c>
      <c r="C35" s="3458">
        <f>Table3.A!C35</f>
        <v>546.61400000000003</v>
      </c>
      <c r="D35" s="3274">
        <v>7</v>
      </c>
      <c r="E35" s="3457" t="str">
        <f>'Table3.B(a)'!G35</f>
        <v>NA</v>
      </c>
      <c r="F35" s="3442" t="s">
        <v>199</v>
      </c>
      <c r="G35" s="3442" t="s">
        <v>199</v>
      </c>
      <c r="H35" s="3442" t="s">
        <v>199</v>
      </c>
      <c r="I35" s="3442" t="s">
        <v>199</v>
      </c>
      <c r="J35" s="3442" t="s">
        <v>199</v>
      </c>
      <c r="K35" s="3442" t="s">
        <v>199</v>
      </c>
      <c r="L35" s="3442" t="s">
        <v>199</v>
      </c>
      <c r="M35" s="3442">
        <v>3826298</v>
      </c>
      <c r="N35" s="3442" t="s">
        <v>199</v>
      </c>
      <c r="O35" s="3442" t="s">
        <v>199</v>
      </c>
      <c r="P35" s="3442" t="s">
        <v>199</v>
      </c>
      <c r="Q35" s="3442" t="s">
        <v>199</v>
      </c>
      <c r="R35" s="3445">
        <f t="shared" si="8"/>
        <v>3826298</v>
      </c>
      <c r="S35" s="2676"/>
      <c r="T35" s="2677"/>
      <c r="U35" s="3419" t="str">
        <f t="shared" si="26"/>
        <v>NA</v>
      </c>
      <c r="V35" s="3417"/>
      <c r="W35" s="3418"/>
      <c r="X35" s="3282" t="s">
        <v>205</v>
      </c>
      <c r="Y35" s="3142"/>
      <c r="Z35" s="3420"/>
    </row>
    <row r="36" spans="2:26" ht="18" customHeight="1" x14ac:dyDescent="0.2">
      <c r="B36" s="348" t="s">
        <v>1071</v>
      </c>
      <c r="C36" s="3458">
        <f>Table3.A!C36</f>
        <v>259.46600000000001</v>
      </c>
      <c r="D36" s="3274">
        <v>39.5</v>
      </c>
      <c r="E36" s="3457" t="str">
        <f>'Table3.B(a)'!G36</f>
        <v>NA</v>
      </c>
      <c r="F36" s="3442" t="s">
        <v>199</v>
      </c>
      <c r="G36" s="3442" t="s">
        <v>199</v>
      </c>
      <c r="H36" s="3442" t="s">
        <v>199</v>
      </c>
      <c r="I36" s="3442" t="s">
        <v>199</v>
      </c>
      <c r="J36" s="3442" t="s">
        <v>199</v>
      </c>
      <c r="K36" s="3442" t="s">
        <v>199</v>
      </c>
      <c r="L36" s="3442" t="s">
        <v>199</v>
      </c>
      <c r="M36" s="3442">
        <v>10248907</v>
      </c>
      <c r="N36" s="3442" t="s">
        <v>199</v>
      </c>
      <c r="O36" s="3442" t="s">
        <v>199</v>
      </c>
      <c r="P36" s="3442" t="s">
        <v>199</v>
      </c>
      <c r="Q36" s="3442" t="s">
        <v>199</v>
      </c>
      <c r="R36" s="3445">
        <f t="shared" si="8"/>
        <v>10248907</v>
      </c>
      <c r="S36" s="2676"/>
      <c r="T36" s="2677"/>
      <c r="U36" s="3419" t="str">
        <f t="shared" si="26"/>
        <v>NA</v>
      </c>
      <c r="V36" s="3417"/>
      <c r="W36" s="3418"/>
      <c r="X36" s="3282" t="s">
        <v>205</v>
      </c>
      <c r="Y36" s="3142"/>
      <c r="Z36" s="3420"/>
    </row>
    <row r="37" spans="2:26" ht="18" customHeight="1" x14ac:dyDescent="0.2">
      <c r="B37" s="348" t="s">
        <v>1117</v>
      </c>
      <c r="C37" s="3458">
        <f>Table3.A!C37</f>
        <v>0.77400000000000002</v>
      </c>
      <c r="D37" s="3274">
        <v>13.2</v>
      </c>
      <c r="E37" s="3457" t="str">
        <f>'Table3.B(a)'!G37</f>
        <v>NA</v>
      </c>
      <c r="F37" s="3442" t="s">
        <v>199</v>
      </c>
      <c r="G37" s="3442" t="s">
        <v>199</v>
      </c>
      <c r="H37" s="3442" t="s">
        <v>199</v>
      </c>
      <c r="I37" s="3442" t="s">
        <v>199</v>
      </c>
      <c r="J37" s="3442" t="s">
        <v>199</v>
      </c>
      <c r="K37" s="3442" t="s">
        <v>199</v>
      </c>
      <c r="L37" s="3442" t="s">
        <v>199</v>
      </c>
      <c r="M37" s="3442">
        <v>10216.257541914942</v>
      </c>
      <c r="N37" s="3442" t="s">
        <v>199</v>
      </c>
      <c r="O37" s="3442" t="s">
        <v>199</v>
      </c>
      <c r="P37" s="3442" t="s">
        <v>199</v>
      </c>
      <c r="Q37" s="3442" t="s">
        <v>199</v>
      </c>
      <c r="R37" s="3445">
        <f t="shared" si="8"/>
        <v>10216.257541914942</v>
      </c>
      <c r="S37" s="2676"/>
      <c r="T37" s="2677"/>
      <c r="U37" s="3419" t="str">
        <f t="shared" si="26"/>
        <v>NA</v>
      </c>
      <c r="V37" s="3417"/>
      <c r="W37" s="3418"/>
      <c r="X37" s="3282" t="s">
        <v>205</v>
      </c>
      <c r="Y37" s="3142"/>
      <c r="Z37" s="3420"/>
    </row>
    <row r="38" spans="2:26" ht="18" customHeight="1" x14ac:dyDescent="0.2">
      <c r="B38" s="348" t="s">
        <v>1073</v>
      </c>
      <c r="C38" s="3458">
        <f>Table3.A!C38</f>
        <v>86757.702999999994</v>
      </c>
      <c r="D38" s="3274">
        <v>0.66149884825408001</v>
      </c>
      <c r="E38" s="3457" t="str">
        <f>'Table3.B(a)'!G38</f>
        <v>NA</v>
      </c>
      <c r="F38" s="3442" t="s">
        <v>199</v>
      </c>
      <c r="G38" s="3442" t="s">
        <v>199</v>
      </c>
      <c r="H38" s="3442" t="s">
        <v>199</v>
      </c>
      <c r="I38" s="3442">
        <v>20438914.207785435</v>
      </c>
      <c r="J38" s="3442" t="s">
        <v>274</v>
      </c>
      <c r="K38" s="3442" t="s">
        <v>274</v>
      </c>
      <c r="L38" s="3442" t="s">
        <v>274</v>
      </c>
      <c r="M38" s="3442">
        <v>1570440.1464142371</v>
      </c>
      <c r="N38" s="3442">
        <v>9017356.5302568078</v>
      </c>
      <c r="O38" s="3442">
        <v>100179.2865013718</v>
      </c>
      <c r="P38" s="3442" t="s">
        <v>199</v>
      </c>
      <c r="Q38" s="3442">
        <v>66340031.578149833</v>
      </c>
      <c r="R38" s="3445">
        <f t="shared" si="8"/>
        <v>97466921.749107689</v>
      </c>
      <c r="S38" s="2676"/>
      <c r="T38" s="2677"/>
      <c r="U38" s="3419">
        <f t="shared" si="26"/>
        <v>4.4953867274000808E-3</v>
      </c>
      <c r="V38" s="3417"/>
      <c r="W38" s="3418"/>
      <c r="X38" s="3282">
        <v>0.39000942656591814</v>
      </c>
      <c r="Y38" s="3142"/>
      <c r="Z38" s="3420"/>
    </row>
    <row r="39" spans="2:26" ht="18" customHeight="1" x14ac:dyDescent="0.2">
      <c r="B39" s="348" t="s">
        <v>1074</v>
      </c>
      <c r="C39" s="3281">
        <f>IF(SUM(C41:C45)=0,"NO",SUM(C41:C45))</f>
        <v>143.97200000000001</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1007799.1804850125</v>
      </c>
      <c r="N39" s="2668" t="str">
        <f t="shared" si="27"/>
        <v>NO</v>
      </c>
      <c r="O39" s="2668" t="str">
        <f t="shared" si="27"/>
        <v>NO</v>
      </c>
      <c r="P39" s="2668" t="str">
        <f t="shared" si="27"/>
        <v>NO</v>
      </c>
      <c r="Q39" s="2668" t="str">
        <f t="shared" si="27"/>
        <v>NO</v>
      </c>
      <c r="R39" s="3445">
        <f t="shared" si="8"/>
        <v>1007799.1804850125</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9.9489999999999998</v>
      </c>
      <c r="D43" s="3274">
        <v>7</v>
      </c>
      <c r="E43" s="3457" t="str">
        <f>'Table3.B(a)'!G43</f>
        <v>NA</v>
      </c>
      <c r="F43" s="3442" t="s">
        <v>199</v>
      </c>
      <c r="G43" s="3442" t="s">
        <v>199</v>
      </c>
      <c r="H43" s="3442" t="s">
        <v>199</v>
      </c>
      <c r="I43" s="3442" t="s">
        <v>199</v>
      </c>
      <c r="J43" s="3442" t="s">
        <v>199</v>
      </c>
      <c r="K43" s="3442" t="s">
        <v>199</v>
      </c>
      <c r="L43" s="3442" t="s">
        <v>199</v>
      </c>
      <c r="M43" s="3442">
        <v>69640.218487394901</v>
      </c>
      <c r="N43" s="3442" t="s">
        <v>199</v>
      </c>
      <c r="O43" s="3442" t="s">
        <v>199</v>
      </c>
      <c r="P43" s="3442" t="s">
        <v>199</v>
      </c>
      <c r="Q43" s="3442" t="s">
        <v>199</v>
      </c>
      <c r="R43" s="3445">
        <f t="shared" si="8"/>
        <v>69640.218487394901</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134.023</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938158.96199761762</v>
      </c>
      <c r="N45" s="2668" t="str">
        <f t="shared" si="28"/>
        <v>NO</v>
      </c>
      <c r="O45" s="2668" t="str">
        <f t="shared" si="28"/>
        <v>NO</v>
      </c>
      <c r="P45" s="2668" t="str">
        <f t="shared" si="28"/>
        <v>NO</v>
      </c>
      <c r="Q45" s="2668" t="str">
        <f t="shared" si="28"/>
        <v>NO</v>
      </c>
      <c r="R45" s="3445">
        <f t="shared" si="8"/>
        <v>938158.96199761762</v>
      </c>
      <c r="S45" s="2676"/>
      <c r="T45" s="2677"/>
      <c r="U45" s="3419" t="str">
        <f t="shared" si="26"/>
        <v>NA</v>
      </c>
      <c r="V45" s="3417"/>
      <c r="W45" s="3418"/>
      <c r="X45" s="3281" t="str">
        <f>X46</f>
        <v>NA</v>
      </c>
      <c r="Y45" s="3142"/>
      <c r="Z45" s="3420"/>
    </row>
    <row r="46" spans="2:26" ht="18" customHeight="1" x14ac:dyDescent="0.2">
      <c r="B46" s="2665" t="s">
        <v>1013</v>
      </c>
      <c r="C46" s="3458">
        <f>Table3.A!C46</f>
        <v>134.023</v>
      </c>
      <c r="D46" s="3274">
        <v>7</v>
      </c>
      <c r="E46" s="3457" t="str">
        <f>'Table3.B(a)'!G46</f>
        <v>NA</v>
      </c>
      <c r="F46" s="3442" t="s">
        <v>199</v>
      </c>
      <c r="G46" s="3442" t="s">
        <v>199</v>
      </c>
      <c r="H46" s="3442" t="s">
        <v>199</v>
      </c>
      <c r="I46" s="3442" t="s">
        <v>199</v>
      </c>
      <c r="J46" s="3442" t="s">
        <v>199</v>
      </c>
      <c r="K46" s="3442" t="s">
        <v>199</v>
      </c>
      <c r="L46" s="3442" t="s">
        <v>199</v>
      </c>
      <c r="M46" s="3442">
        <v>938158.96199761762</v>
      </c>
      <c r="N46" s="3442" t="s">
        <v>199</v>
      </c>
      <c r="O46" s="3442" t="s">
        <v>199</v>
      </c>
      <c r="P46" s="3442" t="s">
        <v>199</v>
      </c>
      <c r="Q46" s="3442" t="s">
        <v>199</v>
      </c>
      <c r="R46" s="3445">
        <f t="shared" si="8"/>
        <v>938158.96199761762</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87718950.494860083</v>
      </c>
      <c r="T47" s="3410">
        <v>341722.31475766993</v>
      </c>
      <c r="U47" s="3429"/>
      <c r="V47" s="3430">
        <f>IF(SUM(S47)=0,"NA",Y47*1000000/S47)</f>
        <v>6.0941333865419311E-3</v>
      </c>
      <c r="W47" s="3431">
        <f>IF(SUM(T47)=0,"NA",Z47*1000000/T47)</f>
        <v>1.7285714285714286E-2</v>
      </c>
      <c r="X47" s="3283"/>
      <c r="Y47" s="3287">
        <v>0.53457098484314569</v>
      </c>
      <c r="Z47" s="3288">
        <v>5.9069142979540079E-3</v>
      </c>
    </row>
    <row r="48" spans="2:26" ht="18" customHeight="1" x14ac:dyDescent="0.2">
      <c r="B48" s="356" t="s">
        <v>1119</v>
      </c>
      <c r="C48" s="357"/>
      <c r="D48" s="357"/>
      <c r="E48" s="357"/>
      <c r="F48" s="3448">
        <f>IF(SUM(F30,F27,F24,F10)=0,"NO",SUM(F30,F27,F24,F10))</f>
        <v>50148079.129263639</v>
      </c>
      <c r="G48" s="3448" t="str">
        <f t="shared" ref="G48:Q48" si="29">IF(SUM(G30,G27,G24,G10)=0,"NO",SUM(G30,G27,G24,G10))</f>
        <v>NO</v>
      </c>
      <c r="H48" s="3448">
        <f t="shared" si="29"/>
        <v>6979426.2173780892</v>
      </c>
      <c r="I48" s="3448">
        <f t="shared" si="29"/>
        <v>39667544.646809429</v>
      </c>
      <c r="J48" s="3448" t="str">
        <f t="shared" si="29"/>
        <v>NO</v>
      </c>
      <c r="K48" s="3448">
        <f t="shared" si="29"/>
        <v>62160199.450502783</v>
      </c>
      <c r="L48" s="3448" t="str">
        <f t="shared" si="29"/>
        <v>NO</v>
      </c>
      <c r="M48" s="3374"/>
      <c r="N48" s="3448">
        <f t="shared" si="29"/>
        <v>16910047.438826945</v>
      </c>
      <c r="O48" s="3448">
        <f t="shared" si="29"/>
        <v>1661937.6649013716</v>
      </c>
      <c r="P48" s="3374"/>
      <c r="Q48" s="3448">
        <f t="shared" si="29"/>
        <v>72609991.266409829</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2.1869056490617666E-2</v>
      </c>
      <c r="J49" s="3449" t="str">
        <f t="shared" si="30"/>
        <v>NA</v>
      </c>
      <c r="K49" s="3449" t="str">
        <f t="shared" si="30"/>
        <v>NA</v>
      </c>
      <c r="L49" s="3449" t="str">
        <f t="shared" si="30"/>
        <v>NA</v>
      </c>
      <c r="M49" s="87"/>
      <c r="N49" s="3449">
        <f t="shared" si="30"/>
        <v>1.5714285714285708E-2</v>
      </c>
      <c r="O49" s="3449" t="str">
        <f t="shared" si="30"/>
        <v>NA</v>
      </c>
      <c r="P49" s="87"/>
      <c r="Q49" s="3449">
        <f t="shared" si="30"/>
        <v>2.4991613943716132E-3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0.8674917747251738</v>
      </c>
      <c r="J50" s="3450" t="s">
        <v>274</v>
      </c>
      <c r="K50" s="3450" t="s">
        <v>274</v>
      </c>
      <c r="L50" s="3450" t="s">
        <v>274</v>
      </c>
      <c r="M50" s="3437"/>
      <c r="N50" s="3451">
        <v>0.26572931689585189</v>
      </c>
      <c r="O50" s="3451" t="s">
        <v>205</v>
      </c>
      <c r="P50" s="3437"/>
      <c r="Q50" s="3451">
        <v>0.18146408701867145</v>
      </c>
      <c r="R50" s="1311"/>
      <c r="S50" s="1312"/>
      <c r="T50" s="1313"/>
      <c r="U50" s="3436">
        <f>X50*1000/SUM(C10,C24,C27,C30)</f>
        <v>6.8598449299606852E-3</v>
      </c>
      <c r="V50" s="3437"/>
      <c r="W50" s="3438"/>
      <c r="X50" s="3286">
        <f>SUM(X10,X24,X27,X30)</f>
        <v>1.3146851786396971</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1" t="s">
        <v>1122</v>
      </c>
      <c r="C68" s="4522"/>
      <c r="D68" s="4522"/>
      <c r="E68" s="4522"/>
      <c r="F68" s="4522"/>
      <c r="G68" s="4522"/>
      <c r="H68" s="4522"/>
      <c r="I68" s="4522"/>
      <c r="J68" s="4522"/>
      <c r="K68" s="4522"/>
      <c r="L68" s="4522"/>
      <c r="M68" s="4522"/>
      <c r="N68" s="4522"/>
      <c r="O68" s="4522"/>
      <c r="P68" s="4522"/>
      <c r="Q68" s="4522"/>
      <c r="R68" s="4522"/>
      <c r="S68" s="4522"/>
      <c r="T68" s="4522"/>
      <c r="U68" s="4522"/>
      <c r="V68" s="4522"/>
      <c r="W68" s="4522"/>
      <c r="X68" s="4522"/>
      <c r="Y68" s="4522"/>
      <c r="Z68" s="4523"/>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12.042077600000001</v>
      </c>
    </row>
    <row r="11" spans="1:9" ht="18" customHeight="1" x14ac:dyDescent="0.2">
      <c r="B11" s="432" t="s">
        <v>1133</v>
      </c>
      <c r="C11" s="4462">
        <v>0.75783999999999996</v>
      </c>
      <c r="D11" s="243" t="s">
        <v>199</v>
      </c>
      <c r="E11" s="283" t="s">
        <v>199</v>
      </c>
      <c r="F11" s="2330">
        <f>IF(SUM(C11)=0,"NA",G11/C11)</f>
        <v>15.890000000000002</v>
      </c>
      <c r="G11" s="3072">
        <v>12.042077600000001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0.75783999999999996</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8" sqref="I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27.473646720996143</v>
      </c>
      <c r="H10" s="395" t="s">
        <v>1157</v>
      </c>
      <c r="I10" s="396" t="s">
        <v>1158</v>
      </c>
      <c r="J10" s="397">
        <v>0.21</v>
      </c>
    </row>
    <row r="11" spans="2:10" ht="24" customHeight="1" x14ac:dyDescent="0.2">
      <c r="B11" s="2453" t="s">
        <v>1159</v>
      </c>
      <c r="C11" s="2454" t="s">
        <v>1160</v>
      </c>
      <c r="D11" s="3639">
        <v>1098920.5794145688</v>
      </c>
      <c r="E11" s="3634">
        <f>IF(SUM(D11)=0,"NA",F11*1000/D11/(44/28))</f>
        <v>4.6946978962389236E-3</v>
      </c>
      <c r="F11" s="3390">
        <v>8.1071573507747967</v>
      </c>
      <c r="H11" s="395" t="s">
        <v>1161</v>
      </c>
      <c r="I11" s="396" t="s">
        <v>1162</v>
      </c>
      <c r="J11" s="397">
        <v>0.24</v>
      </c>
    </row>
    <row r="12" spans="2:10" ht="24" customHeight="1" x14ac:dyDescent="0.2">
      <c r="B12" s="2453" t="s">
        <v>1163</v>
      </c>
      <c r="C12" s="2455" t="s">
        <v>1164</v>
      </c>
      <c r="D12" s="3640">
        <f>IF(SUM(D13:D15)=0,"NO",SUM(D13:D15))</f>
        <v>100652.01457401839</v>
      </c>
      <c r="E12" s="3635">
        <f t="shared" ref="E12:E23" si="0">IF(SUM(D12)=0,"NA",F12*1000/D12/(44/28))</f>
        <v>8.5694047133316499E-3</v>
      </c>
      <c r="F12" s="3391">
        <f>IF(SUM(F13:F15)=0,"NO",SUM(F13:F15))</f>
        <v>1.3554009041523016</v>
      </c>
      <c r="H12" s="4233" t="s">
        <v>1165</v>
      </c>
      <c r="I12" s="4234"/>
      <c r="J12" s="4235"/>
    </row>
    <row r="13" spans="2:10" ht="24" customHeight="1" thickBot="1" x14ac:dyDescent="0.25">
      <c r="B13" s="2453" t="s">
        <v>1166</v>
      </c>
      <c r="C13" s="2454" t="s">
        <v>1167</v>
      </c>
      <c r="D13" s="3641">
        <v>92642.640867547263</v>
      </c>
      <c r="E13" s="3634">
        <f t="shared" si="0"/>
        <v>8.5321778107425653E-3</v>
      </c>
      <c r="F13" s="3390">
        <v>1.2421254760179243</v>
      </c>
      <c r="H13" s="4236"/>
      <c r="I13" s="4237"/>
      <c r="J13" s="4238"/>
    </row>
    <row r="14" spans="2:10" ht="24" customHeight="1" x14ac:dyDescent="0.2">
      <c r="B14" s="2453" t="s">
        <v>1168</v>
      </c>
      <c r="C14" s="2454" t="s">
        <v>1169</v>
      </c>
      <c r="D14" s="3641">
        <v>8009.3737064711258</v>
      </c>
      <c r="E14" s="3634">
        <f t="shared" si="0"/>
        <v>8.9999999999999993E-3</v>
      </c>
      <c r="F14" s="3390">
        <v>0.11327542813437734</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1669566.2460690998</v>
      </c>
      <c r="E16" s="3634">
        <f t="shared" si="0"/>
        <v>4.000000000000001E-3</v>
      </c>
      <c r="F16" s="3390">
        <v>10.494416403862916</v>
      </c>
    </row>
    <row r="17" spans="2:11" ht="24" customHeight="1" x14ac:dyDescent="0.2">
      <c r="B17" s="2453" t="s">
        <v>1176</v>
      </c>
      <c r="C17" s="2454" t="s">
        <v>1177</v>
      </c>
      <c r="D17" s="3641">
        <v>850473.39644869242</v>
      </c>
      <c r="E17" s="3634">
        <f t="shared" si="0"/>
        <v>5.0300000000000024E-3</v>
      </c>
      <c r="F17" s="3390">
        <v>6.7223847179294527</v>
      </c>
    </row>
    <row r="18" spans="2:11" ht="24" customHeight="1" x14ac:dyDescent="0.2">
      <c r="B18" s="2453" t="s">
        <v>1178</v>
      </c>
      <c r="C18" s="2454" t="s">
        <v>1179</v>
      </c>
      <c r="D18" s="3641">
        <v>109623.31285890724</v>
      </c>
      <c r="E18" s="3636">
        <f t="shared" si="0"/>
        <v>4.1000000000000012E-3</v>
      </c>
      <c r="F18" s="3392">
        <v>0.70628734427667395</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10.198221993293796</v>
      </c>
    </row>
    <row r="22" spans="2:11" ht="24" customHeight="1" x14ac:dyDescent="0.2">
      <c r="B22" s="2457" t="s">
        <v>1184</v>
      </c>
      <c r="C22" s="2454" t="s">
        <v>1185</v>
      </c>
      <c r="D22" s="3641">
        <v>492628.24618755735</v>
      </c>
      <c r="E22" s="3634">
        <f t="shared" si="0"/>
        <v>3.1096811438804904E-3</v>
      </c>
      <c r="F22" s="3390">
        <v>2.4072977784622851</v>
      </c>
    </row>
    <row r="23" spans="2:11" ht="24" customHeight="1" thickBot="1" x14ac:dyDescent="0.25">
      <c r="B23" s="406" t="s">
        <v>1186</v>
      </c>
      <c r="C23" s="407" t="s">
        <v>1187</v>
      </c>
      <c r="D23" s="3643">
        <v>450714.62399851723</v>
      </c>
      <c r="E23" s="3638">
        <f t="shared" si="0"/>
        <v>1.0999999999999998E-2</v>
      </c>
      <c r="F23" s="3394">
        <v>7.7909242148315103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4" t="s">
        <v>1188</v>
      </c>
      <c r="C44" s="4525"/>
      <c r="D44" s="4525"/>
      <c r="E44" s="4525"/>
      <c r="F44" s="45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4" t="s">
        <v>1203</v>
      </c>
      <c r="C27" s="4495"/>
      <c r="D27" s="4495"/>
      <c r="E27" s="4495"/>
      <c r="F27" s="4495"/>
      <c r="G27" s="4495"/>
      <c r="H27" s="4495"/>
      <c r="I27" s="4495"/>
      <c r="J27" s="4495"/>
      <c r="K27" s="44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27410076</v>
      </c>
      <c r="N9" s="4167">
        <v>7994718.9999999991</v>
      </c>
      <c r="O9" s="4167">
        <v>356944</v>
      </c>
      <c r="P9" s="4168">
        <v>1934510</v>
      </c>
      <c r="Q9" s="4168">
        <v>1127683</v>
      </c>
      <c r="R9" s="4168">
        <v>410181</v>
      </c>
      <c r="S9" s="4168">
        <v>723284</v>
      </c>
      <c r="T9" s="4168">
        <v>355078</v>
      </c>
      <c r="U9" s="4168">
        <v>2550183.8699999996</v>
      </c>
      <c r="V9" s="4168">
        <v>27456877.249999996</v>
      </c>
      <c r="W9" s="4168">
        <v>18392.456999999999</v>
      </c>
      <c r="X9" s="4169">
        <v>172418</v>
      </c>
    </row>
    <row r="10" spans="2:24" ht="18" customHeight="1" thickTop="1" x14ac:dyDescent="0.2">
      <c r="B10" s="430" t="s">
        <v>1226</v>
      </c>
      <c r="C10" s="374"/>
      <c r="D10" s="431"/>
      <c r="E10" s="431"/>
      <c r="F10" s="4137">
        <f>IF(SUM(F11:F14)=0,"NO",SUM(F11:F14))</f>
        <v>4284.132672273201</v>
      </c>
      <c r="G10" s="4138">
        <f>IF(SUM($F10)=0,"NA",I10/$F10*1000)</f>
        <v>1.880294468155405</v>
      </c>
      <c r="H10" s="4139">
        <f>IF(SUM($F10)=0,"NA",J10/$F10*1000)</f>
        <v>7.5745158433254772E-2</v>
      </c>
      <c r="I10" s="3161">
        <f>IF(SUM(I11:I14)=0,"NO",SUM(I11:I14))</f>
        <v>8.0554309645191324</v>
      </c>
      <c r="J10" s="416">
        <f>IF(SUM(J11:J14)=0,"NO",SUM(J11:J14))</f>
        <v>0.32450230801041674</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2699.0865643209154</v>
      </c>
      <c r="G11" s="4141">
        <f>IF(SUM($F11)=0,"NA",I11/$F11*1000)</f>
        <v>1.8666666666666667</v>
      </c>
      <c r="H11" s="4142">
        <f>IF(SUM($F11)=0,"NA",J11/$F11*1000)</f>
        <v>7.1657142857142864E-2</v>
      </c>
      <c r="I11" s="3291">
        <v>5.0382949200657086</v>
      </c>
      <c r="J11" s="3292">
        <v>0.19340883152333874</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642.84194194998565</v>
      </c>
      <c r="G12" s="4143">
        <f t="shared" ref="G12:G28" si="0">IF(SUM($F12)=0,"NA",I12/$F12*1000)</f>
        <v>1.8666666666666674</v>
      </c>
      <c r="H12" s="4142">
        <f t="shared" ref="H12:H28" si="1">IF(SUM($F12)=0,"NA",J12/$F12*1000)</f>
        <v>8.3600000000000008E-2</v>
      </c>
      <c r="I12" s="3149">
        <v>1.199971624973307</v>
      </c>
      <c r="J12" s="3292">
        <v>5.374158634701881E-2</v>
      </c>
      <c r="L12" s="1323" t="s">
        <v>1231</v>
      </c>
      <c r="M12" s="4165">
        <v>0.15541445330237671</v>
      </c>
      <c r="N12" s="4165">
        <v>0.153516622158133</v>
      </c>
      <c r="O12" s="4165">
        <v>0.13764919363334668</v>
      </c>
      <c r="P12" s="4166">
        <v>0.11802372183888978</v>
      </c>
      <c r="Q12" s="4166">
        <v>0.16236699284343534</v>
      </c>
      <c r="R12" s="4166">
        <v>0.13770067464768693</v>
      </c>
      <c r="S12" s="4166">
        <v>0.81499999999999995</v>
      </c>
      <c r="T12" s="4166">
        <v>0.18002142075976063</v>
      </c>
      <c r="U12" s="4166">
        <v>0.14585202906562242</v>
      </c>
      <c r="V12" s="4166">
        <v>0.39053948058391941</v>
      </c>
      <c r="W12" s="4166">
        <v>6.1804659878456264E-2</v>
      </c>
      <c r="X12" s="4140">
        <v>0.15259311257534719</v>
      </c>
    </row>
    <row r="13" spans="2:24" ht="18" customHeight="1" thickBot="1" x14ac:dyDescent="0.25">
      <c r="B13" s="432" t="s">
        <v>1232</v>
      </c>
      <c r="C13" s="433" t="s">
        <v>205</v>
      </c>
      <c r="D13" s="433" t="s">
        <v>205</v>
      </c>
      <c r="E13" s="433" t="s">
        <v>205</v>
      </c>
      <c r="F13" s="4140">
        <v>32.474983221313828</v>
      </c>
      <c r="G13" s="4143">
        <f t="shared" si="0"/>
        <v>1.96</v>
      </c>
      <c r="H13" s="4142">
        <f t="shared" si="1"/>
        <v>5.971428571428572E-2</v>
      </c>
      <c r="I13" s="3149">
        <v>6.3650967113775103E-2</v>
      </c>
      <c r="J13" s="3292">
        <v>1.9392204266441687E-3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909.72918278098587</v>
      </c>
      <c r="G14" s="4145">
        <f t="shared" si="0"/>
        <v>1.9275114897446286</v>
      </c>
      <c r="H14" s="4146">
        <f t="shared" si="1"/>
        <v>8.2895735501067658E-2</v>
      </c>
      <c r="I14" s="3168">
        <f>IF(SUM(I15:I19)=0,"NO",SUM(I15:I19))</f>
        <v>1.7535134523663416</v>
      </c>
      <c r="J14" s="3064">
        <f>IF(SUM(J15:J19)=0,"NO",SUM(J15:J19))</f>
        <v>7.5412669713415037E-2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131.51120839750121</v>
      </c>
      <c r="G15" s="4147">
        <f t="shared" si="0"/>
        <v>1.8666666666666667</v>
      </c>
      <c r="H15" s="4148">
        <f t="shared" si="1"/>
        <v>9.5542857142857124E-2</v>
      </c>
      <c r="I15" s="3293">
        <v>0.2454875890086689</v>
      </c>
      <c r="J15" s="3292">
        <v>1.2564956596606971E-2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109.82394364286077</v>
      </c>
      <c r="G16" s="4149">
        <f t="shared" si="0"/>
        <v>1.8666666666666671</v>
      </c>
      <c r="H16" s="4150">
        <f t="shared" si="1"/>
        <v>7.1657142857142878E-2</v>
      </c>
      <c r="I16" s="3294">
        <v>0.20500469480000683</v>
      </c>
      <c r="J16" s="3292">
        <v>7.8696700187512823E-3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34.832798932541401</v>
      </c>
      <c r="G17" s="4149">
        <f t="shared" si="0"/>
        <v>1.8666666666666667</v>
      </c>
      <c r="H17" s="4150">
        <f t="shared" si="1"/>
        <v>7.1657142857142864E-2</v>
      </c>
      <c r="I17" s="3294">
        <v>6.5021224674077283E-2</v>
      </c>
      <c r="J17" s="3292">
        <v>2.4960188492232525E-3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593.06047687680007</v>
      </c>
      <c r="G18" s="4149">
        <f t="shared" si="0"/>
        <v>1.9599999999999995</v>
      </c>
      <c r="H18" s="4150">
        <f t="shared" si="1"/>
        <v>8.359999999999998E-2</v>
      </c>
      <c r="I18" s="3294">
        <v>1.1623985346785279</v>
      </c>
      <c r="J18" s="3292">
        <v>4.9579855866900481E-2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40.500754931282515</v>
      </c>
      <c r="G19" s="4149">
        <f t="shared" si="0"/>
        <v>1.8666666666666671</v>
      </c>
      <c r="H19" s="4150">
        <f t="shared" si="1"/>
        <v>7.1657142857142878E-2</v>
      </c>
      <c r="I19" s="3294">
        <v>7.5601409205060713E-2</v>
      </c>
      <c r="J19" s="3292">
        <v>2.9021683819330448E-3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212.7967677270112</v>
      </c>
      <c r="G20" s="4153">
        <f t="shared" si="0"/>
        <v>1.8666666666666669</v>
      </c>
      <c r="H20" s="4154">
        <f t="shared" si="1"/>
        <v>0.10748571428571427</v>
      </c>
      <c r="I20" s="3187">
        <f>I21</f>
        <v>0.39722063309042094</v>
      </c>
      <c r="J20" s="442">
        <f>J21</f>
        <v>2.2872612576829029E-2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212.7967677270112</v>
      </c>
      <c r="G21" s="4156">
        <f t="shared" si="0"/>
        <v>1.8666666666666669</v>
      </c>
      <c r="H21" s="4146">
        <f t="shared" si="1"/>
        <v>0.10748571428571427</v>
      </c>
      <c r="I21" s="3168">
        <f>I22</f>
        <v>0.39722063309042094</v>
      </c>
      <c r="J21" s="3064">
        <f>J22</f>
        <v>2.2872612576829029E-2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212.7967677270112</v>
      </c>
      <c r="G22" s="4158">
        <f t="shared" si="0"/>
        <v>1.8666666666666669</v>
      </c>
      <c r="H22" s="4159">
        <f t="shared" si="1"/>
        <v>0.10748571428571427</v>
      </c>
      <c r="I22" s="3295">
        <v>0.39722063309042094</v>
      </c>
      <c r="J22" s="3296">
        <v>2.2872612576829029E-2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514.70270879999998</v>
      </c>
      <c r="G26" s="4163">
        <f t="shared" si="0"/>
        <v>1.8666666666666669</v>
      </c>
      <c r="H26" s="4164">
        <f t="shared" si="1"/>
        <v>5.9714285714285727E-2</v>
      </c>
      <c r="I26" s="3297">
        <v>0.96077838976000007</v>
      </c>
      <c r="J26" s="3298">
        <v>3.0735104611200003E-2</v>
      </c>
      <c r="L26" s="159"/>
    </row>
    <row r="27" spans="2:24" ht="18" customHeight="1" x14ac:dyDescent="0.2">
      <c r="B27" s="439" t="s">
        <v>1242</v>
      </c>
      <c r="C27" s="440"/>
      <c r="D27" s="441"/>
      <c r="E27" s="441"/>
      <c r="F27" s="4152">
        <f>IF(SUM(F28:F29)=0,"NO",SUM(F28:F29))</f>
        <v>352.5686754570163</v>
      </c>
      <c r="G27" s="4153">
        <f t="shared" si="0"/>
        <v>1.8667903095216887</v>
      </c>
      <c r="H27" s="4154">
        <f t="shared" si="1"/>
        <v>0.10759646295728419</v>
      </c>
      <c r="I27" s="3187">
        <f>IF(SUM(I28:I29)=0,"NO",SUM(I28:I29))</f>
        <v>0.6581717867840553</v>
      </c>
      <c r="J27" s="442">
        <f>IF(SUM(J28:J29)=0,"NO",SUM(J28:J29))</f>
        <v>3.7935142428709601E-2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0.46706354598110272</v>
      </c>
      <c r="G28" s="4149">
        <f t="shared" si="0"/>
        <v>1.96</v>
      </c>
      <c r="H28" s="4150">
        <f t="shared" si="1"/>
        <v>0.19108571428571428</v>
      </c>
      <c r="I28" s="3294">
        <v>9.1544455012296136E-4</v>
      </c>
      <c r="J28" s="3292">
        <v>8.924917130061757E-5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352.10161191103521</v>
      </c>
      <c r="G29" s="4149">
        <f t="shared" ref="G29" si="2">IF(SUM($F29)=0,"NA",I29/$F29*1000)</f>
        <v>1.8666666666666667</v>
      </c>
      <c r="H29" s="4150">
        <f t="shared" ref="H29" si="3">IF(SUM($F29)=0,"NA",J29/$F29*1000)</f>
        <v>0.10748571428571428</v>
      </c>
      <c r="I29" s="3294">
        <v>0.65725634223393237</v>
      </c>
      <c r="J29" s="3292">
        <v>3.7845893257408982E-2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1" t="s">
        <v>1243</v>
      </c>
      <c r="C41" s="4522"/>
      <c r="D41" s="4522"/>
      <c r="E41" s="4522"/>
      <c r="F41" s="4522"/>
      <c r="G41" s="4522"/>
      <c r="H41" s="4522"/>
      <c r="I41" s="4522"/>
      <c r="J41" s="45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1088.302771159184</v>
      </c>
    </row>
    <row r="11" spans="2:5" s="83" customFormat="1" ht="18" customHeight="1" x14ac:dyDescent="0.2">
      <c r="B11" s="1858" t="s">
        <v>1361</v>
      </c>
      <c r="C11" s="4175">
        <v>2555616.7476572511</v>
      </c>
      <c r="D11" s="3534">
        <f>IF(SUM(C11)=0,"NA",E11*1000/(44/12)/C11)</f>
        <v>0.108</v>
      </c>
      <c r="E11" s="3395">
        <v>1012.0242320722714</v>
      </c>
    </row>
    <row r="12" spans="2:5" s="83" customFormat="1" ht="18" customHeight="1" x14ac:dyDescent="0.2">
      <c r="B12" s="1858" t="s">
        <v>1362</v>
      </c>
      <c r="C12" s="4175">
        <v>168447.27071088599</v>
      </c>
      <c r="D12" s="3534">
        <f t="shared" ref="D12:D16" si="0">IF(SUM(C12)=0,"NA",E12*1000/(44/12)/C12)</f>
        <v>0.12349999999999973</v>
      </c>
      <c r="E12" s="3395">
        <v>76.278539086912701</v>
      </c>
    </row>
    <row r="13" spans="2:5" s="83" customFormat="1" ht="18" customHeight="1" x14ac:dyDescent="0.2">
      <c r="B13" s="853" t="s">
        <v>1363</v>
      </c>
      <c r="C13" s="4176">
        <v>1516701.8090804745</v>
      </c>
      <c r="D13" s="4177">
        <f t="shared" si="0"/>
        <v>0.20000000000000004</v>
      </c>
      <c r="E13" s="3396">
        <v>1112.2479933256814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3904.9535083586843</v>
      </c>
      <c r="D10" s="4269">
        <f t="shared" ref="D10:H10" si="0">IF(SUM(D11,D14,D17,D20,D23,D26,D29:D30)=0,"NO",SUM(D11,D14,D17,D20,D23,D26,D29:D30))</f>
        <v>755.62689394823224</v>
      </c>
      <c r="E10" s="4269">
        <f t="shared" si="0"/>
        <v>18.854301795019605</v>
      </c>
      <c r="F10" s="4269">
        <f t="shared" si="0"/>
        <v>978.87148956277713</v>
      </c>
      <c r="G10" s="4269">
        <f t="shared" si="0"/>
        <v>25701.794430193568</v>
      </c>
      <c r="H10" s="4270">
        <f t="shared" si="0"/>
        <v>691.7951987192871</v>
      </c>
      <c r="I10" s="4271">
        <f>IF(SUM(C10:E10)=0,"NO",SUM(C10)+28*SUM(D10)+265*SUM(E10))</f>
        <v>30058.896514589382</v>
      </c>
      <c r="J10" s="4259"/>
    </row>
    <row r="11" spans="2:10" ht="18" customHeight="1" x14ac:dyDescent="0.2">
      <c r="B11" s="464" t="s">
        <v>1252</v>
      </c>
      <c r="C11" s="4272">
        <f>IF(SUM(C12:C13)=0,"NO",SUM(C12:C13))</f>
        <v>-33167.597755041097</v>
      </c>
      <c r="D11" s="4272">
        <f t="shared" ref="D11:H11" si="1">IF(SUM(D12:D13)=0,"NO",SUM(D12:D13))</f>
        <v>342.43448697396326</v>
      </c>
      <c r="E11" s="4272">
        <f t="shared" si="1"/>
        <v>7.6715342526016883</v>
      </c>
      <c r="F11" s="4272">
        <f t="shared" si="1"/>
        <v>342.55405402306178</v>
      </c>
      <c r="G11" s="4272">
        <f t="shared" si="1"/>
        <v>9274.6558157112086</v>
      </c>
      <c r="H11" s="4273">
        <f t="shared" si="1"/>
        <v>334.82221981340558</v>
      </c>
      <c r="I11" s="4274">
        <f t="shared" ref="I11:I32" si="2">IF(SUM(C11:E11)=0,"NO",SUM(C11)+28*SUM(D11)+265*SUM(E11))</f>
        <v>-21546.475542830682</v>
      </c>
    </row>
    <row r="12" spans="2:10" ht="18" customHeight="1" x14ac:dyDescent="0.2">
      <c r="B12" s="465" t="s">
        <v>1253</v>
      </c>
      <c r="C12" s="4275">
        <f>IF(SUM(Table4.A!U11,'Table4(IV)'!J12)=0,"NO",SUM(Table4.A!U11,'Table4(IV)'!J12))</f>
        <v>11521.88424198197</v>
      </c>
      <c r="D12" s="4275">
        <f>'Table4(IV)'!K12</f>
        <v>338.99640776212414</v>
      </c>
      <c r="E12" s="4275">
        <f>IF(SUM('Table4(III)'!I12,'Table4(IV)'!L12)=0,"NO",SUM('Table4(III)'!I12,'Table4(IV)'!L12))</f>
        <v>6.7299614741877232</v>
      </c>
      <c r="F12" s="4276">
        <v>340.30674201983567</v>
      </c>
      <c r="G12" s="4276">
        <v>9188.6164480585485</v>
      </c>
      <c r="H12" s="4277">
        <v>324.79735542547269</v>
      </c>
      <c r="I12" s="4278">
        <f t="shared" si="2"/>
        <v>22797.223449981193</v>
      </c>
    </row>
    <row r="13" spans="2:10" ht="18" customHeight="1" thickBot="1" x14ac:dyDescent="0.25">
      <c r="B13" s="466" t="s">
        <v>1254</v>
      </c>
      <c r="C13" s="4279">
        <f>IF(SUM(Table4.A!U16,'Table4(IV)'!J19)=0,"NO",SUM(Table4.A!U16,'Table4(IV)'!J19))</f>
        <v>-44689.481997023067</v>
      </c>
      <c r="D13" s="4279">
        <f>'Table4(IV)'!K19</f>
        <v>3.4380792118391033</v>
      </c>
      <c r="E13" s="4279">
        <f>IF(SUM('Table4(III)'!I13,'Table4(IV)'!L19)=0,"NO",SUM('Table4(III)'!I13,'Table4(IV)'!L19))</f>
        <v>0.94157277841396514</v>
      </c>
      <c r="F13" s="4280">
        <v>2.247312003226086</v>
      </c>
      <c r="G13" s="4280">
        <v>86.039367652659919</v>
      </c>
      <c r="H13" s="4281">
        <v>10.024864387932878</v>
      </c>
      <c r="I13" s="4282">
        <f t="shared" si="2"/>
        <v>-44343.698992811871</v>
      </c>
    </row>
    <row r="14" spans="2:10" ht="18" customHeight="1" x14ac:dyDescent="0.2">
      <c r="B14" s="464" t="s">
        <v>1255</v>
      </c>
      <c r="C14" s="4272">
        <f>IF(SUM(C15:C16)=0,"NO",SUM(C15:C16))</f>
        <v>6725.8403179998804</v>
      </c>
      <c r="D14" s="4272">
        <f t="shared" ref="D14" si="3">IF(SUM(D15:D16)=0,"NO",SUM(D15:D16))</f>
        <v>1.590478715706265</v>
      </c>
      <c r="E14" s="4272">
        <f t="shared" ref="E14" si="4">IF(SUM(E15:E16)=0,"NO",SUM(E15:E16))</f>
        <v>0.15362575864558597</v>
      </c>
      <c r="F14" s="4272">
        <f t="shared" ref="F14" si="5">IF(SUM(F15:F16)=0,"NO",SUM(F15:F16))</f>
        <v>1.1975926043859673</v>
      </c>
      <c r="G14" s="4272">
        <f t="shared" ref="G14" si="6">IF(SUM(G15:G16)=0,"NO",SUM(G15:G16))</f>
        <v>46.904395458559762</v>
      </c>
      <c r="H14" s="4273">
        <f t="shared" ref="H14" si="7">IF(SUM(H15:H16)=0,"NO",SUM(H15:H16))</f>
        <v>5.6697620883973325</v>
      </c>
      <c r="I14" s="4283">
        <f t="shared" si="2"/>
        <v>6811.0845480807366</v>
      </c>
    </row>
    <row r="15" spans="2:10" ht="18" customHeight="1" x14ac:dyDescent="0.2">
      <c r="B15" s="465" t="s">
        <v>1256</v>
      </c>
      <c r="C15" s="4275">
        <f>IF(SUM(Table4.B!S11,'Table4(IV)'!J26)=0,"NO",SUM(Table4.B!S11,'Table4(IV)'!J26))</f>
        <v>3237.0356909701936</v>
      </c>
      <c r="D15" s="4275" t="str">
        <f>'Table4(IV)'!K26</f>
        <v>IE</v>
      </c>
      <c r="E15" s="4275" t="str">
        <f>'Table4(IV)'!L26</f>
        <v>IE</v>
      </c>
      <c r="F15" s="4276" t="s">
        <v>274</v>
      </c>
      <c r="G15" s="4276" t="s">
        <v>274</v>
      </c>
      <c r="H15" s="4277" t="s">
        <v>274</v>
      </c>
      <c r="I15" s="4278">
        <f t="shared" si="2"/>
        <v>3237.0356909701936</v>
      </c>
    </row>
    <row r="16" spans="2:10" ht="18" customHeight="1" thickBot="1" x14ac:dyDescent="0.25">
      <c r="B16" s="466" t="s">
        <v>1257</v>
      </c>
      <c r="C16" s="4279">
        <f>IF(SUM(Table4.B!S13,'Table4(IV)'!J31)=0,"IE",SUM(Table4.B!S13,'Table4(IV)'!J31))</f>
        <v>3488.8046270296873</v>
      </c>
      <c r="D16" s="4279">
        <f>'Table4(IV)'!K31</f>
        <v>1.590478715706265</v>
      </c>
      <c r="E16" s="4279">
        <f>IF(SUM('Table4(III)'!I21,'Table4(IV)'!L31)=0,"IE",SUM('Table4(III)'!I21,'Table4(IV)'!L31))</f>
        <v>0.15362575864558597</v>
      </c>
      <c r="F16" s="4280">
        <v>1.1975926043859673</v>
      </c>
      <c r="G16" s="4280">
        <v>46.904395458559762</v>
      </c>
      <c r="H16" s="4281">
        <v>5.6697620883973325</v>
      </c>
      <c r="I16" s="4282">
        <f t="shared" si="2"/>
        <v>3574.0488571105434</v>
      </c>
    </row>
    <row r="17" spans="2:9" ht="18" customHeight="1" x14ac:dyDescent="0.2">
      <c r="B17" s="464" t="s">
        <v>1258</v>
      </c>
      <c r="C17" s="4272">
        <f>IF(SUM(C18:C19)=0,"NO",SUM(C18:C19))</f>
        <v>28925.999791672632</v>
      </c>
      <c r="D17" s="4272">
        <f t="shared" ref="D17" si="8">IF(SUM(D18:D19)=0,"NO",SUM(D18:D19))</f>
        <v>316.70593611430974</v>
      </c>
      <c r="E17" s="4272">
        <f t="shared" ref="E17" si="9">IF(SUM(E18:E19)=0,"NO",SUM(E18:E19))</f>
        <v>10.364689791088185</v>
      </c>
      <c r="F17" s="4272">
        <f t="shared" ref="F17" si="10">IF(SUM(F18:F19)=0,"NO",SUM(F18:F19))</f>
        <v>600.91539631134322</v>
      </c>
      <c r="G17" s="4272">
        <f t="shared" ref="G17" si="11">IF(SUM(G18:G19)=0,"NO",SUM(G18:G19))</f>
        <v>15531.886782497024</v>
      </c>
      <c r="H17" s="4273">
        <f t="shared" ref="H17" si="12">IF(SUM(H18:H19)=0,"NO",SUM(H18:H19))</f>
        <v>342.02629120181678</v>
      </c>
      <c r="I17" s="4283">
        <f t="shared" si="2"/>
        <v>40540.408797511678</v>
      </c>
    </row>
    <row r="18" spans="2:9" ht="18" customHeight="1" x14ac:dyDescent="0.2">
      <c r="B18" s="465" t="s">
        <v>1259</v>
      </c>
      <c r="C18" s="4275">
        <f>IF(SUM(Table4.C!S11,'Table4(IV)'!J37)=0,"IE",SUM(Table4.C!S11,'Table4(IV)'!J37))</f>
        <v>-5101.0308086173636</v>
      </c>
      <c r="D18" s="4275">
        <f>'Table4(IV)'!K37</f>
        <v>267.10430480809526</v>
      </c>
      <c r="E18" s="4275">
        <f>IF(SUM('Table4(III)'!I29,'Table4(IV)'!L37)=0,"NO",SUM('Table4(III)'!I29,'Table4(IV)'!L37))</f>
        <v>9.1158171085344186</v>
      </c>
      <c r="F18" s="4276">
        <v>562.24438837977641</v>
      </c>
      <c r="G18" s="4276">
        <v>14052.60053860995</v>
      </c>
      <c r="H18" s="4277">
        <v>169.91042594386352</v>
      </c>
      <c r="I18" s="4278">
        <f t="shared" si="2"/>
        <v>4793.5812597709246</v>
      </c>
    </row>
    <row r="19" spans="2:9" ht="18" customHeight="1" thickBot="1" x14ac:dyDescent="0.25">
      <c r="B19" s="466" t="s">
        <v>1260</v>
      </c>
      <c r="C19" s="4279">
        <f>IF(SUM(Table4.C!S15,'Table4(IV)'!J42)=0,"IE",SUM(Table4.C!S15,'Table4(IV)'!J42))</f>
        <v>34027.030600289996</v>
      </c>
      <c r="D19" s="4279">
        <f>'Table4(IV)'!K42</f>
        <v>49.601631306214458</v>
      </c>
      <c r="E19" s="4279">
        <f>IF(SUM('Table4(III)'!I30,'Table4(IV)'!L42)=0,"NO",SUM('Table4(III)'!I30,'Table4(IV)'!L42))</f>
        <v>1.2488726825537659</v>
      </c>
      <c r="F19" s="4280">
        <v>38.671007931566763</v>
      </c>
      <c r="G19" s="4280">
        <v>1479.2862438870739</v>
      </c>
      <c r="H19" s="4281">
        <v>172.11586525795329</v>
      </c>
      <c r="I19" s="4282">
        <f t="shared" si="2"/>
        <v>35746.827537740748</v>
      </c>
    </row>
    <row r="20" spans="2:9" ht="18" customHeight="1" x14ac:dyDescent="0.2">
      <c r="B20" s="464" t="s">
        <v>1261</v>
      </c>
      <c r="C20" s="4272">
        <f>IF(SUM(C21:C22)=0,"NO",SUM(C21:C22))</f>
        <v>2131.4194210147712</v>
      </c>
      <c r="D20" s="4272">
        <f t="shared" ref="D20" si="13">IF(SUM(D21:D22)=0,"NO",SUM(D21:D22))</f>
        <v>92.433263342915936</v>
      </c>
      <c r="E20" s="4272">
        <f t="shared" ref="E20" si="14">IF(SUM(E21:E22)=0,"NO",SUM(E21:E22))</f>
        <v>0.44256171909281433</v>
      </c>
      <c r="F20" s="4272">
        <f t="shared" ref="F20" si="15">IF(SUM(F21:F22)=0,"NO",SUM(F21:F22))</f>
        <v>32.350070472979333</v>
      </c>
      <c r="G20" s="4272">
        <f t="shared" ref="G20" si="16">IF(SUM(G21:G22)=0,"NO",SUM(G21:G22))</f>
        <v>775.71973993178392</v>
      </c>
      <c r="H20" s="4273">
        <f t="shared" ref="H20" si="17">IF(SUM(H21:H22)=0,"NO",SUM(H21:H22))</f>
        <v>0.49775349978956129</v>
      </c>
      <c r="I20" s="4283">
        <f t="shared" si="2"/>
        <v>4836.8296501760142</v>
      </c>
    </row>
    <row r="21" spans="2:9" ht="18" customHeight="1" x14ac:dyDescent="0.2">
      <c r="B21" s="465" t="s">
        <v>1262</v>
      </c>
      <c r="C21" s="4275">
        <f>IF(SUM(Table4.D!S11,'Table4(IV)'!J49)=0,"IE",SUM(Table4.D!S11,'Table4(IV)'!J49))</f>
        <v>662.74653211145937</v>
      </c>
      <c r="D21" s="4275">
        <f>IF(SUM('Table4(IV)'!K49,'Table4(II)'!J270)=0,"NO",SUM('Table4(IV)'!K49,'Table4(II)'!J270))</f>
        <v>91.414920034061765</v>
      </c>
      <c r="E21" s="4275">
        <f>IF(SUM('Table4(II)'!I270,'Table4(III)'!I38,'Table4(IV)'!L49)=0,"NO",SUM('Table4(II)'!I270,'Table4(III)'!I38,'Table4(IV)'!L49))</f>
        <v>0.44256171909281433</v>
      </c>
      <c r="F21" s="4276">
        <v>32.350070472979333</v>
      </c>
      <c r="G21" s="4276">
        <v>775.71973993178392</v>
      </c>
      <c r="H21" s="4277">
        <v>0.49775349978956129</v>
      </c>
      <c r="I21" s="4278">
        <f t="shared" si="2"/>
        <v>3339.6431486247843</v>
      </c>
    </row>
    <row r="22" spans="2:9" ht="18" customHeight="1" thickBot="1" x14ac:dyDescent="0.25">
      <c r="B22" s="466" t="s">
        <v>1263</v>
      </c>
      <c r="C22" s="4279">
        <f>IF(SUM(Table4.D!S23,'Table4(II)'!H320,'Table4(IV)'!J54)=0,"NO",SUM(Table4.D!S23,'Table4(II)'!H320,'Table4(IV)'!J54))</f>
        <v>1468.6728889033118</v>
      </c>
      <c r="D22" s="4279">
        <f>IF(SUM('Table4(IV)'!K54,'Table4(II)'!J320)=0,"NO",SUM('Table4(IV)'!K54,'Table4(II)'!J320))</f>
        <v>1.0183433088541667</v>
      </c>
      <c r="E22" s="4279" t="str">
        <f>IF(SUM('Table4(II)'!I320,'Table4(III)'!I39,'Table4(IV)'!L54)=0,"NO",SUM('Table4(II)'!I320,'Table4(III)'!I39,'Table4(IV)'!L54))</f>
        <v>NO</v>
      </c>
      <c r="F22" s="4280" t="s">
        <v>274</v>
      </c>
      <c r="G22" s="4280" t="s">
        <v>274</v>
      </c>
      <c r="H22" s="4281" t="s">
        <v>274</v>
      </c>
      <c r="I22" s="4282">
        <f t="shared" si="2"/>
        <v>1497.1865015512285</v>
      </c>
    </row>
    <row r="23" spans="2:9" ht="18" customHeight="1" x14ac:dyDescent="0.2">
      <c r="B23" s="464" t="s">
        <v>1264</v>
      </c>
      <c r="C23" s="4272">
        <f>IF(SUM(C24:C25)=0,"NO",SUM(C24:C25))</f>
        <v>3864.1955939452637</v>
      </c>
      <c r="D23" s="4272">
        <f t="shared" ref="D23" si="18">IF(SUM(D24:D25)=0,"NO",SUM(D24:D25))</f>
        <v>2.4627288013371542</v>
      </c>
      <c r="E23" s="4272">
        <f t="shared" ref="E23" si="19">IF(SUM(E24:E25)=0,"NO",SUM(E24:E25))</f>
        <v>8.6545681492043045E-2</v>
      </c>
      <c r="F23" s="4272">
        <f>IF(SUM(F24:F25)=0,"NO",SUM(F24:F25))</f>
        <v>1.8543761510068453</v>
      </c>
      <c r="G23" s="4272">
        <f t="shared" ref="G23" si="20">IF(SUM(G24:G25)=0,"NO",SUM(G24:G25))</f>
        <v>72.627696594989231</v>
      </c>
      <c r="H23" s="4273">
        <f t="shared" ref="H23" si="21">IF(SUM(H24:H25)=0,"NO",SUM(H24:H25))</f>
        <v>8.7791721158778167</v>
      </c>
      <c r="I23" s="4283">
        <f t="shared" si="2"/>
        <v>3956.0866059780956</v>
      </c>
    </row>
    <row r="24" spans="2:9" ht="18" customHeight="1" thickBot="1" x14ac:dyDescent="0.25">
      <c r="B24" s="465" t="s">
        <v>1265</v>
      </c>
      <c r="C24" s="4275">
        <f>IF(SUM(Table4.E!S11,'Table4(IV)'!J60)=0,"IE",SUM(Table4.E!S11,'Table4(IV)'!J60))</f>
        <v>6.9051895536964372</v>
      </c>
      <c r="D24" s="4275" t="str">
        <f>'Table4(IV)'!K60</f>
        <v>IE</v>
      </c>
      <c r="E24" s="4275">
        <f>IF(SUM('Table4(III)'!I47,'Table4(IV)'!L60)=0,"IE",SUM('Table4(III)'!I47,'Table4(IV)'!L60))</f>
        <v>4.6808087133343558E-4</v>
      </c>
      <c r="F24" s="4280" t="s">
        <v>274</v>
      </c>
      <c r="G24" s="4280" t="s">
        <v>274</v>
      </c>
      <c r="H24" s="4281" t="s">
        <v>274</v>
      </c>
      <c r="I24" s="4278">
        <f t="shared" si="2"/>
        <v>7.0292309845997973</v>
      </c>
    </row>
    <row r="25" spans="2:9" ht="18" customHeight="1" thickBot="1" x14ac:dyDescent="0.25">
      <c r="B25" s="466" t="s">
        <v>1266</v>
      </c>
      <c r="C25" s="4279">
        <f>IF(SUM(Table4.E!S13,'Table4(IV)'!J65)=0,"IE",SUM(Table4.E!S13,'Table4(IV)'!J65))</f>
        <v>3857.2904043915673</v>
      </c>
      <c r="D25" s="4279">
        <f>'Table4(IV)'!K65</f>
        <v>2.4627288013371542</v>
      </c>
      <c r="E25" s="4279">
        <f>IF(SUM('Table4(III)'!I48,'Table4(IV)'!L65)=0,"NO",SUM('Table4(III)'!I48,'Table4(IV)'!L65))</f>
        <v>8.6077600620709613E-2</v>
      </c>
      <c r="F25" s="4280">
        <v>1.8543761510068453</v>
      </c>
      <c r="G25" s="4280">
        <v>72.627696594989231</v>
      </c>
      <c r="H25" s="4281">
        <v>8.7791721158778167</v>
      </c>
      <c r="I25" s="4282">
        <f t="shared" si="2"/>
        <v>3949.0573749934956</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-4574.9038612327631</v>
      </c>
      <c r="D29" s="4288"/>
      <c r="E29" s="4288"/>
      <c r="F29" s="4288"/>
      <c r="G29" s="4288"/>
      <c r="H29" s="4289"/>
      <c r="I29" s="4290">
        <f t="shared" si="2"/>
        <v>-4574.9038612327631</v>
      </c>
    </row>
    <row r="30" spans="2:9" ht="18" customHeight="1" x14ac:dyDescent="0.2">
      <c r="B30" s="1167" t="s">
        <v>1271</v>
      </c>
      <c r="C30" s="4291" t="str">
        <f>IF(SUM(C31:C32)=0,"NO",SUM(C31:C32))</f>
        <v>NO</v>
      </c>
      <c r="D30" s="4291" t="str">
        <f t="shared" ref="D30" si="27">IF(SUM(D31:D32)=0,"NO",SUM(D31:D32))</f>
        <v>NO</v>
      </c>
      <c r="E30" s="4291">
        <f t="shared" ref="E30" si="28">IF(SUM(E31:E32)=0,"NO",SUM(E31:E32))</f>
        <v>0.13534459209928801</v>
      </c>
      <c r="F30" s="4291" t="str">
        <f t="shared" ref="F30" si="29">IF(SUM(F31:F32)=0,"NO",SUM(F31:F32))</f>
        <v>NO</v>
      </c>
      <c r="G30" s="4291" t="str">
        <f t="shared" ref="G30" si="30">IF(SUM(G31:G32)=0,"NO",SUM(G31:G32))</f>
        <v>NO</v>
      </c>
      <c r="H30" s="4292" t="str">
        <f t="shared" ref="H30" si="31">IF(SUM(H31:H32)=0,"NO",SUM(H31:H32))</f>
        <v>NO</v>
      </c>
      <c r="I30" s="4293">
        <f t="shared" si="2"/>
        <v>35.866316906311319</v>
      </c>
    </row>
    <row r="31" spans="2:9" ht="18" customHeight="1" x14ac:dyDescent="0.2">
      <c r="B31" s="2693" t="s">
        <v>1272</v>
      </c>
      <c r="C31" s="4294" t="s">
        <v>199</v>
      </c>
      <c r="D31" s="4294" t="s">
        <v>199</v>
      </c>
      <c r="E31" s="4294">
        <v>0.13534459209928801</v>
      </c>
      <c r="F31" s="4294" t="s">
        <v>199</v>
      </c>
      <c r="G31" s="4294" t="s">
        <v>199</v>
      </c>
      <c r="H31" s="4295" t="s">
        <v>199</v>
      </c>
      <c r="I31" s="4296">
        <f t="shared" si="2"/>
        <v>35.866316906311319</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-20594.579039793203</v>
      </c>
      <c r="D35" s="4297" t="s">
        <v>199</v>
      </c>
      <c r="E35" s="4297" t="s">
        <v>199</v>
      </c>
      <c r="F35" s="4297" t="s">
        <v>199</v>
      </c>
      <c r="G35" s="4297" t="s">
        <v>199</v>
      </c>
      <c r="H35" s="4297" t="s">
        <v>199</v>
      </c>
      <c r="I35" s="4302">
        <f t="shared" ref="I35" si="32">IF(SUM(C35:E35)=0,"NO",SUM(C35)+28*SUM(D35)+265*SUM(E35))</f>
        <v>-20594.579039793203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4" t="s">
        <v>1276</v>
      </c>
      <c r="C60" s="4495"/>
      <c r="D60" s="4495"/>
      <c r="E60" s="4495"/>
      <c r="F60" s="4495"/>
      <c r="G60" s="4495"/>
      <c r="H60" s="4495"/>
      <c r="I60" s="44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3" sqref="J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377579.38751233678</v>
      </c>
      <c r="D10" s="4489">
        <f t="shared" ref="D10:I10" si="0">IF(SUM(D11,D37,D47)=0,"NO",SUM(D11,D37,D47))</f>
        <v>1364.1246074741405</v>
      </c>
      <c r="E10" s="4489">
        <f t="shared" si="0"/>
        <v>12.432287442531777</v>
      </c>
      <c r="F10" s="4489">
        <f t="shared" si="0"/>
        <v>2225.7298855691633</v>
      </c>
      <c r="G10" s="4489">
        <f t="shared" si="0"/>
        <v>2542.3862708553224</v>
      </c>
      <c r="H10" s="4489">
        <f t="shared" si="0"/>
        <v>711.94379896423493</v>
      </c>
      <c r="I10" s="4490">
        <f t="shared" si="0"/>
        <v>733.02745324224395</v>
      </c>
      <c r="J10" s="4427">
        <f t="shared" ref="J10:J40" si="1">IF(SUM(C10:E10)=0,"NO",SUM(C10,IFERROR(28*D10,0),IFERROR(265*E10,0)))</f>
        <v>419069.4326938836</v>
      </c>
    </row>
    <row r="11" spans="2:10" s="83" customFormat="1" ht="18" customHeight="1" thickBot="1" x14ac:dyDescent="0.25">
      <c r="B11" s="18" t="s">
        <v>174</v>
      </c>
      <c r="C11" s="3010">
        <f>IF(SUM(C12,C16,C24,C30,C34)=0,"NO",SUM(C12,C16,C24,C30,C34))</f>
        <v>369696.78610851301</v>
      </c>
      <c r="D11" s="3010">
        <f t="shared" ref="D11:I11" si="2">IF(SUM(D12,D16,D24,D30,D34)=0,"NO",SUM(D12,D16,D24,D30,D34))</f>
        <v>76.434882063747565</v>
      </c>
      <c r="E11" s="3010">
        <f t="shared" si="2"/>
        <v>12.347439697399661</v>
      </c>
      <c r="F11" s="3010">
        <f t="shared" si="2"/>
        <v>2224.2774561795632</v>
      </c>
      <c r="G11" s="3010">
        <f t="shared" si="2"/>
        <v>2534.1327536396425</v>
      </c>
      <c r="H11" s="3010">
        <f t="shared" si="2"/>
        <v>488.90866965891991</v>
      </c>
      <c r="I11" s="3011">
        <f t="shared" si="2"/>
        <v>733.02745324224395</v>
      </c>
      <c r="J11" s="3012">
        <f t="shared" si="1"/>
        <v>375109.03432610887</v>
      </c>
    </row>
    <row r="12" spans="2:10" s="83" customFormat="1" ht="18" customHeight="1" x14ac:dyDescent="0.2">
      <c r="B12" s="26" t="s">
        <v>175</v>
      </c>
      <c r="C12" s="3010">
        <f>IF(SUM(C13:C15)=0,"NO",SUM(C13:C15))</f>
        <v>219013.47583026011</v>
      </c>
      <c r="D12" s="3010">
        <f t="shared" ref="D12:I12" si="3">IF(SUM(D13:D15)=0,"NO",SUM(D13:D15))</f>
        <v>18.075069639112495</v>
      </c>
      <c r="E12" s="3010">
        <f t="shared" si="3"/>
        <v>4.1841424421947027</v>
      </c>
      <c r="F12" s="3010">
        <f t="shared" si="3"/>
        <v>932.42539893805974</v>
      </c>
      <c r="G12" s="3010">
        <f t="shared" si="3"/>
        <v>180.64725581910642</v>
      </c>
      <c r="H12" s="3010">
        <f>IF(SUM(H13:H15)=0,"NO",SUM(H13:H15))</f>
        <v>47.266617904444217</v>
      </c>
      <c r="I12" s="3011">
        <f t="shared" si="3"/>
        <v>608.63303949936358</v>
      </c>
      <c r="J12" s="3012">
        <f t="shared" si="1"/>
        <v>220628.37552733684</v>
      </c>
    </row>
    <row r="13" spans="2:10" s="83" customFormat="1" ht="18" customHeight="1" x14ac:dyDescent="0.2">
      <c r="B13" s="20" t="s">
        <v>176</v>
      </c>
      <c r="C13" s="3013">
        <f>'Table1.A(a)s1'!H24</f>
        <v>197146.01491714569</v>
      </c>
      <c r="D13" s="3013">
        <f>'Table1.A(a)s1'!I24</f>
        <v>9.7353694042206289</v>
      </c>
      <c r="E13" s="3013">
        <f>'Table1.A(a)s1'!J24</f>
        <v>3.7187711566472248</v>
      </c>
      <c r="F13" s="3014">
        <v>585.13022119478455</v>
      </c>
      <c r="G13" s="3014">
        <v>82.910011814313961</v>
      </c>
      <c r="H13" s="3014">
        <v>7.7787450383647121</v>
      </c>
      <c r="I13" s="3015">
        <v>587.02587393845192</v>
      </c>
      <c r="J13" s="3016">
        <f t="shared" si="1"/>
        <v>198404.07961697539</v>
      </c>
    </row>
    <row r="14" spans="2:10" s="83" customFormat="1" ht="18" customHeight="1" x14ac:dyDescent="0.2">
      <c r="B14" s="20" t="s">
        <v>177</v>
      </c>
      <c r="C14" s="3013">
        <f>'Table1.A(a)s1'!H53</f>
        <v>5684.2987272370983</v>
      </c>
      <c r="D14" s="3013">
        <f>'Table1.A(a)s1'!I53</f>
        <v>8.7382984376381118E-2</v>
      </c>
      <c r="E14" s="3013">
        <f>'Table1.A(a)s1'!J53</f>
        <v>1.5758660194952943E-2</v>
      </c>
      <c r="F14" s="3014">
        <v>35.211909143809926</v>
      </c>
      <c r="G14" s="3014">
        <v>4.4310923119007386</v>
      </c>
      <c r="H14" s="3014">
        <v>8.4410084731149276E-2</v>
      </c>
      <c r="I14" s="3015">
        <v>9.7925861088733726</v>
      </c>
      <c r="J14" s="3016">
        <f t="shared" si="1"/>
        <v>5690.9214957512995</v>
      </c>
    </row>
    <row r="15" spans="2:10" s="83" customFormat="1" ht="18" customHeight="1" thickBot="1" x14ac:dyDescent="0.25">
      <c r="B15" s="21" t="s">
        <v>178</v>
      </c>
      <c r="C15" s="3017">
        <f>'Table1.A(a)s1'!H60</f>
        <v>16183.162185877318</v>
      </c>
      <c r="D15" s="3017">
        <f>'Table1.A(a)s1'!I60</f>
        <v>8.2523172505154854</v>
      </c>
      <c r="E15" s="3017">
        <f>'Table1.A(a)s1'!J60</f>
        <v>0.44961262535252505</v>
      </c>
      <c r="F15" s="3018">
        <v>312.08326859946516</v>
      </c>
      <c r="G15" s="3018">
        <v>93.306151692891703</v>
      </c>
      <c r="H15" s="3018">
        <v>39.40346278134836</v>
      </c>
      <c r="I15" s="3019">
        <v>11.814579452038252</v>
      </c>
      <c r="J15" s="3020">
        <f t="shared" si="1"/>
        <v>16533.374414610171</v>
      </c>
    </row>
    <row r="16" spans="2:10" s="83" customFormat="1" ht="18" customHeight="1" x14ac:dyDescent="0.2">
      <c r="B16" s="25" t="s">
        <v>179</v>
      </c>
      <c r="C16" s="3010">
        <f>IF(SUM(C17:C23)=0,"NO",SUM(C17:C23))</f>
        <v>40476.85970953395</v>
      </c>
      <c r="D16" s="3010">
        <f t="shared" ref="D16:I16" si="4">IF(SUM(D17:D23)=0,"NO",SUM(D17:D23))</f>
        <v>2.2771555451650731</v>
      </c>
      <c r="E16" s="3010">
        <f t="shared" si="4"/>
        <v>1.2938737542015724</v>
      </c>
      <c r="F16" s="3010">
        <f t="shared" si="4"/>
        <v>623.4395287353085</v>
      </c>
      <c r="G16" s="3010">
        <f t="shared" si="4"/>
        <v>197.90431592713401</v>
      </c>
      <c r="H16" s="3010">
        <f t="shared" si="4"/>
        <v>84.456251355275924</v>
      </c>
      <c r="I16" s="3011">
        <f t="shared" si="4"/>
        <v>89.239968825847583</v>
      </c>
      <c r="J16" s="3012">
        <f t="shared" si="1"/>
        <v>40883.49660966199</v>
      </c>
    </row>
    <row r="17" spans="2:10" s="83" customFormat="1" ht="18" customHeight="1" x14ac:dyDescent="0.2">
      <c r="B17" s="20" t="s">
        <v>180</v>
      </c>
      <c r="C17" s="3013">
        <f>'Table1.A(a)s2'!H17</f>
        <v>1610.5071973380132</v>
      </c>
      <c r="D17" s="3013">
        <f>'Table1.A(a)s2'!I17</f>
        <v>3.6518259594659354E-2</v>
      </c>
      <c r="E17" s="3013">
        <f>'Table1.A(a)s2'!J17</f>
        <v>2.0763798461027022E-2</v>
      </c>
      <c r="F17" s="3014">
        <v>18.257445388276693</v>
      </c>
      <c r="G17" s="3014">
        <v>2.9304291600894579</v>
      </c>
      <c r="H17" s="3014">
        <v>0.27490102992278059</v>
      </c>
      <c r="I17" s="3015">
        <v>8.7336021789312213</v>
      </c>
      <c r="J17" s="3016">
        <f t="shared" si="1"/>
        <v>1617.0321151988358</v>
      </c>
    </row>
    <row r="18" spans="2:10" s="83" customFormat="1" ht="18" customHeight="1" x14ac:dyDescent="0.2">
      <c r="B18" s="20" t="s">
        <v>181</v>
      </c>
      <c r="C18" s="3013">
        <f>'Table1.A(a)s2'!H24</f>
        <v>12250.895134568018</v>
      </c>
      <c r="D18" s="3013">
        <f>'Table1.A(a)s2'!I24</f>
        <v>0.23439908776672908</v>
      </c>
      <c r="E18" s="3013">
        <f>'Table1.A(a)s2'!J24</f>
        <v>0.13739783369787115</v>
      </c>
      <c r="F18" s="3014">
        <v>90.250925915314838</v>
      </c>
      <c r="G18" s="3014">
        <v>14.775145453451021</v>
      </c>
      <c r="H18" s="3014">
        <v>2.5003719833817288</v>
      </c>
      <c r="I18" s="3015">
        <v>49.349282308536011</v>
      </c>
      <c r="J18" s="3016">
        <f t="shared" si="1"/>
        <v>12293.868734955422</v>
      </c>
    </row>
    <row r="19" spans="2:10" s="83" customFormat="1" ht="18" customHeight="1" x14ac:dyDescent="0.2">
      <c r="B19" s="20" t="s">
        <v>182</v>
      </c>
      <c r="C19" s="3013">
        <f>'Table1.A(a)s2'!H31</f>
        <v>7986.7299182205388</v>
      </c>
      <c r="D19" s="3013">
        <f>'Table1.A(a)s2'!I31</f>
        <v>0.27926557744951563</v>
      </c>
      <c r="E19" s="3013">
        <f>'Table1.A(a)s2'!J31</f>
        <v>0.10584609847019953</v>
      </c>
      <c r="F19" s="3014">
        <v>57.454373009866323</v>
      </c>
      <c r="G19" s="3014">
        <v>20.31340756122945</v>
      </c>
      <c r="H19" s="3014">
        <v>12.508460130661744</v>
      </c>
      <c r="I19" s="3015">
        <v>5.2929600246904887</v>
      </c>
      <c r="J19" s="3016">
        <f t="shared" si="1"/>
        <v>8022.5985704837285</v>
      </c>
    </row>
    <row r="20" spans="2:10" s="83" customFormat="1" ht="18" customHeight="1" x14ac:dyDescent="0.2">
      <c r="B20" s="20" t="s">
        <v>183</v>
      </c>
      <c r="C20" s="3013">
        <f>'Table1.A(a)s2'!H38</f>
        <v>1126.0351243647403</v>
      </c>
      <c r="D20" s="3013">
        <f>'Table1.A(a)s2'!I38</f>
        <v>0.23252306070623563</v>
      </c>
      <c r="E20" s="3013">
        <f>'Table1.A(a)s2'!J38</f>
        <v>0.15412046007785518</v>
      </c>
      <c r="F20" s="3014">
        <v>9.0443065352298948</v>
      </c>
      <c r="G20" s="3014">
        <v>6.3589732711194946</v>
      </c>
      <c r="H20" s="3014">
        <v>0.59999971227034243</v>
      </c>
      <c r="I20" s="3015">
        <v>1.3013549773995241</v>
      </c>
      <c r="J20" s="3016">
        <f t="shared" si="1"/>
        <v>1173.3876919851466</v>
      </c>
    </row>
    <row r="21" spans="2:10" s="83" customFormat="1" ht="18" customHeight="1" x14ac:dyDescent="0.2">
      <c r="B21" s="20" t="s">
        <v>184</v>
      </c>
      <c r="C21" s="3013">
        <f>'Table1.A(a)s2'!H45</f>
        <v>3157.9913508257741</v>
      </c>
      <c r="D21" s="3013">
        <f>'Table1.A(a)s2'!I45</f>
        <v>0.73414502952797955</v>
      </c>
      <c r="E21" s="3013">
        <f>'Table1.A(a)s2'!J45</f>
        <v>0.47968628846953687</v>
      </c>
      <c r="F21" s="3014">
        <v>21.987468366474779</v>
      </c>
      <c r="G21" s="3014">
        <v>19.765132659982733</v>
      </c>
      <c r="H21" s="3014">
        <v>1.3186092988624589</v>
      </c>
      <c r="I21" s="3015">
        <v>5.1351350185779392</v>
      </c>
      <c r="J21" s="3016">
        <f t="shared" si="1"/>
        <v>3305.6642780969846</v>
      </c>
    </row>
    <row r="22" spans="2:10" s="83" customFormat="1" ht="18" customHeight="1" x14ac:dyDescent="0.2">
      <c r="B22" s="20" t="s">
        <v>185</v>
      </c>
      <c r="C22" s="3013">
        <f>'Table1.A(a)s2'!H52</f>
        <v>6379.7987807192058</v>
      </c>
      <c r="D22" s="3013">
        <f>'Table1.A(a)s2'!I52</f>
        <v>0.34774723082173098</v>
      </c>
      <c r="E22" s="3013">
        <f>'Table1.A(a)s2'!J52</f>
        <v>5.6471426054340884E-2</v>
      </c>
      <c r="F22" s="3014">
        <v>99.03612335755497</v>
      </c>
      <c r="G22" s="3014">
        <v>28.634184037434913</v>
      </c>
      <c r="H22" s="3014">
        <v>18.310688425697013</v>
      </c>
      <c r="I22" s="3015">
        <v>10.642201819127232</v>
      </c>
      <c r="J22" s="3016">
        <f t="shared" si="1"/>
        <v>6404.5006310866147</v>
      </c>
    </row>
    <row r="23" spans="2:10" s="83" customFormat="1" ht="18" customHeight="1" thickBot="1" x14ac:dyDescent="0.25">
      <c r="B23" s="3039" t="s">
        <v>186</v>
      </c>
      <c r="C23" s="3013">
        <f>'Table1.A(a)s2'!H59</f>
        <v>7964.9022034976624</v>
      </c>
      <c r="D23" s="3013">
        <f>'Table1.A(a)s2'!I59</f>
        <v>0.41255729929822271</v>
      </c>
      <c r="E23" s="3013">
        <f>'Table1.A(a)s2'!J59</f>
        <v>0.33958784897074168</v>
      </c>
      <c r="F23" s="3014">
        <v>327.40888616259099</v>
      </c>
      <c r="G23" s="3014">
        <v>105.12704378382695</v>
      </c>
      <c r="H23" s="3014">
        <v>48.943220774479855</v>
      </c>
      <c r="I23" s="3015">
        <v>8.7854324985851715</v>
      </c>
      <c r="J23" s="3016">
        <f t="shared" si="1"/>
        <v>8066.4445878552588</v>
      </c>
    </row>
    <row r="24" spans="2:10" s="83" customFormat="1" ht="18" customHeight="1" x14ac:dyDescent="0.2">
      <c r="B24" s="25" t="s">
        <v>187</v>
      </c>
      <c r="C24" s="3010">
        <f>IF(SUM(C25:C29)=0,"NO",SUM(C25:C29))</f>
        <v>89136.106454077162</v>
      </c>
      <c r="D24" s="3010">
        <f t="shared" ref="D24:I24" si="5">IF(SUM(D25:D29)=0,"NO",SUM(D25:D29))</f>
        <v>16.791080754835811</v>
      </c>
      <c r="E24" s="3010">
        <f t="shared" si="5"/>
        <v>6.1902682966705616</v>
      </c>
      <c r="F24" s="3010">
        <f t="shared" si="5"/>
        <v>311.56017771247241</v>
      </c>
      <c r="G24" s="3010">
        <f t="shared" si="5"/>
        <v>1478.3295547893301</v>
      </c>
      <c r="H24" s="3010">
        <f t="shared" si="5"/>
        <v>242.32573384066592</v>
      </c>
      <c r="I24" s="3011">
        <f t="shared" si="5"/>
        <v>27.434415257040186</v>
      </c>
      <c r="J24" s="3012">
        <f t="shared" si="1"/>
        <v>91246.677813830276</v>
      </c>
    </row>
    <row r="25" spans="2:10" s="83" customFormat="1" ht="18" customHeight="1" x14ac:dyDescent="0.2">
      <c r="B25" s="20" t="s">
        <v>188</v>
      </c>
      <c r="C25" s="1884">
        <f>'Table1.A(a)s3'!H16</f>
        <v>7591.1958576977986</v>
      </c>
      <c r="D25" s="1884">
        <f>'Table1.A(a)s3'!I16</f>
        <v>3.5973715512551754E-2</v>
      </c>
      <c r="E25" s="1884">
        <f>'Table1.A(a)s3'!J16</f>
        <v>5.6262731300018819E-2</v>
      </c>
      <c r="F25" s="3014">
        <v>25.598543213513576</v>
      </c>
      <c r="G25" s="3014">
        <v>17.101512714945727</v>
      </c>
      <c r="H25" s="3014">
        <v>1.679890519879802</v>
      </c>
      <c r="I25" s="3015">
        <v>0.89517665710988015</v>
      </c>
      <c r="J25" s="3016">
        <f t="shared" si="1"/>
        <v>7607.1127455266551</v>
      </c>
    </row>
    <row r="26" spans="2:10" s="83" customFormat="1" ht="18" customHeight="1" x14ac:dyDescent="0.2">
      <c r="B26" s="20" t="s">
        <v>189</v>
      </c>
      <c r="C26" s="1884">
        <f>'Table1.A(a)s3'!H20</f>
        <v>76372.868669658637</v>
      </c>
      <c r="D26" s="1884">
        <f>'Table1.A(a)s3'!I20</f>
        <v>11.997810000887407</v>
      </c>
      <c r="E26" s="1884">
        <f>'Table1.A(a)s3'!J20</f>
        <v>5.0353989438467242</v>
      </c>
      <c r="F26" s="3014">
        <v>204.02026994827253</v>
      </c>
      <c r="G26" s="3014">
        <v>1206.3085747092073</v>
      </c>
      <c r="H26" s="3014">
        <v>197.32236775631222</v>
      </c>
      <c r="I26" s="3015">
        <v>15.468769854982508</v>
      </c>
      <c r="J26" s="3016">
        <f t="shared" si="1"/>
        <v>78043.188069802869</v>
      </c>
    </row>
    <row r="27" spans="2:10" s="83" customFormat="1" ht="18" customHeight="1" x14ac:dyDescent="0.2">
      <c r="B27" s="20" t="s">
        <v>190</v>
      </c>
      <c r="C27" s="1884">
        <f>'Table1.A(a)s3'!H81</f>
        <v>2452.6119863583999</v>
      </c>
      <c r="D27" s="1884">
        <f>'Table1.A(a)s3'!I81</f>
        <v>0.14033600000000002</v>
      </c>
      <c r="E27" s="1884">
        <f>'Table1.A(a)s3'!J81</f>
        <v>1.0525199999999999</v>
      </c>
      <c r="F27" s="3014">
        <v>53.678520000000006</v>
      </c>
      <c r="G27" s="3014">
        <v>7.0869680000000006</v>
      </c>
      <c r="H27" s="3014">
        <v>2.4909639999999995</v>
      </c>
      <c r="I27" s="3015">
        <v>2.0045908408232114</v>
      </c>
      <c r="J27" s="3016">
        <f t="shared" si="1"/>
        <v>2735.4591943584001</v>
      </c>
    </row>
    <row r="28" spans="2:10" s="83" customFormat="1" ht="18" customHeight="1" x14ac:dyDescent="0.2">
      <c r="B28" s="20" t="s">
        <v>191</v>
      </c>
      <c r="C28" s="1884">
        <f>'Table1.A(a)s3'!H88</f>
        <v>2153.995140917144</v>
      </c>
      <c r="D28" s="1884">
        <f>'Table1.A(a)s3'!I88</f>
        <v>4.4992726964658818</v>
      </c>
      <c r="E28" s="1884">
        <f>'Table1.A(a)s3'!J88</f>
        <v>4.4922831599912609E-2</v>
      </c>
      <c r="F28" s="3014">
        <v>26.083902977092496</v>
      </c>
      <c r="G28" s="3014">
        <v>242.4699331596571</v>
      </c>
      <c r="H28" s="3014">
        <v>40.049349399245955</v>
      </c>
      <c r="I28" s="3015">
        <v>9.0604499228974706</v>
      </c>
      <c r="J28" s="3016">
        <f t="shared" si="1"/>
        <v>2291.8793267921656</v>
      </c>
    </row>
    <row r="29" spans="2:10" s="83" customFormat="1" ht="18" customHeight="1" thickBot="1" x14ac:dyDescent="0.25">
      <c r="B29" s="22" t="s">
        <v>192</v>
      </c>
      <c r="C29" s="1888">
        <f>'Table1.A(a)s3'!H99</f>
        <v>565.43479944517912</v>
      </c>
      <c r="D29" s="1888">
        <f>'Table1.A(a)s3'!I99</f>
        <v>0.1176883419699688</v>
      </c>
      <c r="E29" s="1888">
        <f>'Table1.A(a)s3'!J99</f>
        <v>1.1637899239058992E-3</v>
      </c>
      <c r="F29" s="3021">
        <v>2.1789415735937387</v>
      </c>
      <c r="G29" s="3021">
        <v>5.3625662055198271</v>
      </c>
      <c r="H29" s="3021">
        <v>0.78316216522795501</v>
      </c>
      <c r="I29" s="3022">
        <v>5.4279812271147906E-3</v>
      </c>
      <c r="J29" s="3023">
        <f t="shared" si="1"/>
        <v>569.03847735017337</v>
      </c>
    </row>
    <row r="30" spans="2:10" ht="18" customHeight="1" x14ac:dyDescent="0.2">
      <c r="B30" s="26" t="s">
        <v>193</v>
      </c>
      <c r="C30" s="3010">
        <f>IF(SUM(C31:C33)=0,"NO",SUM(C31:C33))</f>
        <v>20179.952444306131</v>
      </c>
      <c r="D30" s="3010">
        <f t="shared" ref="D30" si="6">IF(SUM(D31:D33)=0,"NO",SUM(D31:D33))</f>
        <v>39.260078545939663</v>
      </c>
      <c r="E30" s="3010">
        <f t="shared" ref="E30" si="7">IF(SUM(E31:E33)=0,"NO",SUM(E31:E33))</f>
        <v>0.65387800224160142</v>
      </c>
      <c r="F30" s="3010">
        <f t="shared" ref="F30" si="8">IF(SUM(F31:F33)=0,"NO",SUM(F31:F33))</f>
        <v>348.64796189535747</v>
      </c>
      <c r="G30" s="3010">
        <f t="shared" ref="G30" si="9">IF(SUM(G31:G33)=0,"NO",SUM(G31:G33))</f>
        <v>674.64873464545371</v>
      </c>
      <c r="H30" s="3010">
        <f t="shared" ref="H30" si="10">IF(SUM(H31:H33)=0,"NO",SUM(H31:H33))</f>
        <v>114.45608047405946</v>
      </c>
      <c r="I30" s="3011">
        <f t="shared" ref="I30" si="11">IF(SUM(I31:I33)=0,"NO",SUM(I31:I33))</f>
        <v>7.4140890938414916</v>
      </c>
      <c r="J30" s="3024">
        <f t="shared" si="1"/>
        <v>21452.512314186464</v>
      </c>
    </row>
    <row r="31" spans="2:10" ht="18" customHeight="1" x14ac:dyDescent="0.2">
      <c r="B31" s="20" t="s">
        <v>194</v>
      </c>
      <c r="C31" s="3013">
        <f>'Table1.A(a)s4'!H17</f>
        <v>5135.6635934536025</v>
      </c>
      <c r="D31" s="3013">
        <f>'Table1.A(a)s4'!I17</f>
        <v>0.1154374133111658</v>
      </c>
      <c r="E31" s="3013">
        <f>'Table1.A(a)s4'!J17</f>
        <v>9.2650441675298414E-2</v>
      </c>
      <c r="F31" s="3014">
        <v>24.740336722313977</v>
      </c>
      <c r="G31" s="3014">
        <v>10.534014370091713</v>
      </c>
      <c r="H31" s="3014">
        <v>3.2929889926131146</v>
      </c>
      <c r="I31" s="3015">
        <v>2.2631845530876475</v>
      </c>
      <c r="J31" s="3016">
        <f t="shared" si="1"/>
        <v>5163.4482080702692</v>
      </c>
    </row>
    <row r="32" spans="2:10" ht="18" customHeight="1" x14ac:dyDescent="0.2">
      <c r="B32" s="20" t="s">
        <v>195</v>
      </c>
      <c r="C32" s="3013">
        <f>'Table1.A(a)s4'!H38</f>
        <v>8918.9751062927826</v>
      </c>
      <c r="D32" s="3013">
        <f>'Table1.A(a)s4'!I38</f>
        <v>38.55304054215231</v>
      </c>
      <c r="E32" s="3013">
        <f>'Table1.A(a)s4'!J38</f>
        <v>0.24523906532820783</v>
      </c>
      <c r="F32" s="3014">
        <v>12.285019934948203</v>
      </c>
      <c r="G32" s="3014">
        <v>526.84968703726668</v>
      </c>
      <c r="H32" s="3014">
        <v>62.382499738589225</v>
      </c>
      <c r="I32" s="3015">
        <v>0.5330574035608604</v>
      </c>
      <c r="J32" s="3016">
        <f t="shared" si="1"/>
        <v>10063.448593785022</v>
      </c>
    </row>
    <row r="33" spans="2:10" ht="18" customHeight="1" thickBot="1" x14ac:dyDescent="0.25">
      <c r="B33" s="20" t="s">
        <v>196</v>
      </c>
      <c r="C33" s="3013">
        <f>'Table1.A(a)s4'!H59</f>
        <v>6125.3137445597449</v>
      </c>
      <c r="D33" s="3013">
        <f>'Table1.A(a)s4'!I59</f>
        <v>0.59160059047619029</v>
      </c>
      <c r="E33" s="3013">
        <f>'Table1.A(a)s4'!J59</f>
        <v>0.31598849523809519</v>
      </c>
      <c r="F33" s="3014">
        <v>311.62260523809528</v>
      </c>
      <c r="G33" s="3014">
        <v>137.26503323809521</v>
      </c>
      <c r="H33" s="3014">
        <v>48.780591742857133</v>
      </c>
      <c r="I33" s="3015">
        <v>4.6178471371929835</v>
      </c>
      <c r="J33" s="3016">
        <f t="shared" si="1"/>
        <v>6225.6155123311737</v>
      </c>
    </row>
    <row r="34" spans="2:10" ht="18" customHeight="1" x14ac:dyDescent="0.2">
      <c r="B34" s="25" t="s">
        <v>197</v>
      </c>
      <c r="C34" s="3010">
        <f>IF(SUM(C35:C36)=0,"NO",SUM(C35:C36))</f>
        <v>890.39167033567935</v>
      </c>
      <c r="D34" s="3010">
        <f t="shared" ref="D34:E34" si="12">IF(SUM(D35:D36)=0,"NO",SUM(D35:D36))</f>
        <v>3.1497578694525415E-2</v>
      </c>
      <c r="E34" s="3010">
        <f t="shared" si="12"/>
        <v>2.5277202091223118E-2</v>
      </c>
      <c r="F34" s="3010">
        <f t="shared" ref="F34:I34" si="13">IF(SUM(F35:F36)=0,"NO",SUM(F35:F36))</f>
        <v>8.2043888983647033</v>
      </c>
      <c r="G34" s="3010">
        <f t="shared" si="13"/>
        <v>2.6028924586185904</v>
      </c>
      <c r="H34" s="3010">
        <f t="shared" si="13"/>
        <v>0.40398608447438594</v>
      </c>
      <c r="I34" s="3011">
        <f t="shared" si="13"/>
        <v>0.30594056615103782</v>
      </c>
      <c r="J34" s="3012">
        <f t="shared" si="1"/>
        <v>897.97206109330023</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890.39167033567935</v>
      </c>
      <c r="D36" s="3025">
        <f>'Table1.A(a)s4'!I108</f>
        <v>3.1497578694525415E-2</v>
      </c>
      <c r="E36" s="3025">
        <f>'Table1.A(a)s4'!J108</f>
        <v>2.5277202091223118E-2</v>
      </c>
      <c r="F36" s="3021">
        <v>8.2043888983647033</v>
      </c>
      <c r="G36" s="3021">
        <v>2.6028924586185904</v>
      </c>
      <c r="H36" s="3021">
        <v>0.40398608447438594</v>
      </c>
      <c r="I36" s="3022">
        <v>0.30594056615103782</v>
      </c>
      <c r="J36" s="3023">
        <f t="shared" si="1"/>
        <v>897.97206109330023</v>
      </c>
    </row>
    <row r="37" spans="2:10" ht="18" customHeight="1" thickBot="1" x14ac:dyDescent="0.25">
      <c r="B37" s="18" t="s">
        <v>201</v>
      </c>
      <c r="C37" s="3010">
        <f>IF(SUM(C38,C42)=0,"NO",SUM(C38,C42))</f>
        <v>7882.6014038237718</v>
      </c>
      <c r="D37" s="3010">
        <f t="shared" ref="D37:I37" si="14">IF(SUM(D38,D42)=0,"NO",SUM(D38,D42))</f>
        <v>1287.6897254103928</v>
      </c>
      <c r="E37" s="3010">
        <f t="shared" si="14"/>
        <v>8.4847745132115335E-2</v>
      </c>
      <c r="F37" s="3010">
        <f t="shared" si="14"/>
        <v>1.4524293896</v>
      </c>
      <c r="G37" s="3010">
        <f t="shared" si="14"/>
        <v>8.2535172156800005</v>
      </c>
      <c r="H37" s="3010">
        <f t="shared" si="14"/>
        <v>223.03512930531497</v>
      </c>
      <c r="I37" s="3011" t="str">
        <f t="shared" si="14"/>
        <v>NO</v>
      </c>
      <c r="J37" s="3012">
        <f t="shared" si="1"/>
        <v>43960.398367774775</v>
      </c>
    </row>
    <row r="38" spans="2:10" ht="18" customHeight="1" x14ac:dyDescent="0.2">
      <c r="B38" s="26" t="s">
        <v>202</v>
      </c>
      <c r="C38" s="3010">
        <f>IF(SUM(C39:C41)=0,"NO",SUM(C39:C41))</f>
        <v>1545.9622565642071</v>
      </c>
      <c r="D38" s="3010">
        <f t="shared" ref="D38" si="15">IF(SUM(D39:D41)=0,"NO",SUM(D39:D41))</f>
        <v>1070.369537034255</v>
      </c>
      <c r="E38" s="3010">
        <f t="shared" ref="E38" si="16">IF(SUM(E39:E41)=0,"NO",SUM(E39:E41))</f>
        <v>3.1277662797985807E-4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31516.392179329763</v>
      </c>
    </row>
    <row r="39" spans="2:10" ht="18" customHeight="1" x14ac:dyDescent="0.2">
      <c r="B39" s="20" t="s">
        <v>203</v>
      </c>
      <c r="C39" s="3013">
        <f>'Table1.B.1'!G10</f>
        <v>1545.9622565642071</v>
      </c>
      <c r="D39" s="3013">
        <f>'Table1.B.1'!F10</f>
        <v>1070.369537034255</v>
      </c>
      <c r="E39" s="3014">
        <v>3.1277662797985807E-4</v>
      </c>
      <c r="F39" s="3014" t="s">
        <v>199</v>
      </c>
      <c r="G39" s="3014" t="s">
        <v>199</v>
      </c>
      <c r="H39" s="3014" t="s">
        <v>199</v>
      </c>
      <c r="I39" s="2940"/>
      <c r="J39" s="3016">
        <f t="shared" si="1"/>
        <v>31516.392179329763</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6336.6391472595651</v>
      </c>
      <c r="D42" s="3010">
        <f t="shared" ref="D42:I42" si="21">IF(SUM(D43:D46)=0,"NO",SUM(D43:D46))</f>
        <v>217.32018837613776</v>
      </c>
      <c r="E42" s="4491">
        <f t="shared" si="21"/>
        <v>8.4534968504135471E-2</v>
      </c>
      <c r="F42" s="3010">
        <f t="shared" si="21"/>
        <v>1.4524293896</v>
      </c>
      <c r="G42" s="3010">
        <f t="shared" si="21"/>
        <v>8.2535172156800005</v>
      </c>
      <c r="H42" s="3010">
        <f t="shared" si="21"/>
        <v>223.03512930531497</v>
      </c>
      <c r="I42" s="3011" t="str">
        <f t="shared" si="21"/>
        <v>NO</v>
      </c>
      <c r="J42" s="3012">
        <f t="shared" ref="J42:J59" si="22">IF(SUM(C42:E42)=0,"NO",SUM(C42,IFERROR(28*D42,0),IFERROR(265*E42,0)))</f>
        <v>12444.006188445019</v>
      </c>
    </row>
    <row r="43" spans="2:10" ht="18" customHeight="1" x14ac:dyDescent="0.2">
      <c r="B43" s="20" t="s">
        <v>208</v>
      </c>
      <c r="C43" s="3013">
        <f>'Table1.B.2'!I10</f>
        <v>251.02641734299999</v>
      </c>
      <c r="D43" s="3013">
        <f>'Table1.B.2'!J10</f>
        <v>5.4123981661173746</v>
      </c>
      <c r="E43" s="4492">
        <f>'Table1.B.2'!K10</f>
        <v>7.6799035194000005E-3</v>
      </c>
      <c r="F43" s="3014">
        <v>0.14181217110000002</v>
      </c>
      <c r="G43" s="3014">
        <v>0.81873434838000003</v>
      </c>
      <c r="H43" s="3014">
        <v>127.51516438460071</v>
      </c>
      <c r="I43" s="3015" t="s">
        <v>199</v>
      </c>
      <c r="J43" s="3016">
        <f t="shared" si="22"/>
        <v>404.60874042692745</v>
      </c>
    </row>
    <row r="44" spans="2:10" ht="18" customHeight="1" x14ac:dyDescent="0.2">
      <c r="B44" s="20" t="s">
        <v>209</v>
      </c>
      <c r="C44" s="3013">
        <f>SUM('Table1.B.2'!I21)</f>
        <v>114.12849408882116</v>
      </c>
      <c r="D44" s="3013">
        <f>'Table1.B.2'!J21</f>
        <v>151.63090294839614</v>
      </c>
      <c r="E44" s="4492">
        <f>'Table1.B.2'!K21</f>
        <v>2.8541668842000005E-3</v>
      </c>
      <c r="F44" s="3014">
        <v>5.2854942300000013E-2</v>
      </c>
      <c r="G44" s="3014">
        <v>0.30655866533999998</v>
      </c>
      <c r="H44" s="3014">
        <v>83.243223258714266</v>
      </c>
      <c r="I44" s="3015" t="s">
        <v>199</v>
      </c>
      <c r="J44" s="3016">
        <f t="shared" si="22"/>
        <v>4360.550130868226</v>
      </c>
    </row>
    <row r="45" spans="2:10" ht="18" customHeight="1" x14ac:dyDescent="0.2">
      <c r="B45" s="20" t="s">
        <v>210</v>
      </c>
      <c r="C45" s="3013">
        <f>'Table1.B.2'!I31</f>
        <v>5971.4842358277438</v>
      </c>
      <c r="D45" s="3013">
        <f>'Table1.B.2'!J31</f>
        <v>60.276887261624239</v>
      </c>
      <c r="E45" s="4492">
        <f>'Table1.B.2'!K31</f>
        <v>7.4000898100535478E-2</v>
      </c>
      <c r="F45" s="3014">
        <v>1.2577622762</v>
      </c>
      <c r="G45" s="3014">
        <v>7.1282242019600002</v>
      </c>
      <c r="H45" s="3014">
        <v>12.276741662000001</v>
      </c>
      <c r="I45" s="3015" t="s">
        <v>199</v>
      </c>
      <c r="J45" s="3016">
        <f t="shared" si="22"/>
        <v>7678.8473171498654</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11958.095999999998</v>
      </c>
      <c r="D52" s="3013">
        <f t="shared" ref="D52:I52" si="23">IF(SUM(D53:D54)=0,"NO",SUM(D53:D54))</f>
        <v>0.19735271499999998</v>
      </c>
      <c r="E52" s="3013">
        <f t="shared" si="23"/>
        <v>0.10260023191578947</v>
      </c>
      <c r="F52" s="3013">
        <f t="shared" si="23"/>
        <v>101.63990574184209</v>
      </c>
      <c r="G52" s="3013">
        <f t="shared" si="23"/>
        <v>17.230720164561404</v>
      </c>
      <c r="H52" s="3013">
        <f t="shared" si="23"/>
        <v>9.2477595655964908</v>
      </c>
      <c r="I52" s="3034">
        <f t="shared" si="23"/>
        <v>32.185223379217277</v>
      </c>
      <c r="J52" s="3016">
        <f t="shared" si="22"/>
        <v>11990.810937477681</v>
      </c>
    </row>
    <row r="53" spans="2:10" ht="18" customHeight="1" x14ac:dyDescent="0.2">
      <c r="B53" s="164" t="s">
        <v>218</v>
      </c>
      <c r="C53" s="3013">
        <f>Table1.D!G10</f>
        <v>10093.391999999998</v>
      </c>
      <c r="D53" s="3013">
        <f>Table1.D!H10</f>
        <v>1.9552715000000005E-2</v>
      </c>
      <c r="E53" s="3013">
        <f>Table1.D!I10</f>
        <v>5.1800231915789467E-2</v>
      </c>
      <c r="F53" s="3014">
        <v>51.377505741842093</v>
      </c>
      <c r="G53" s="3014">
        <v>15.960800164561403</v>
      </c>
      <c r="H53" s="3014">
        <v>7.6693195655964903</v>
      </c>
      <c r="I53" s="3015">
        <v>1.1891639999999999</v>
      </c>
      <c r="J53" s="3016">
        <f t="shared" si="22"/>
        <v>10107.666537477682</v>
      </c>
    </row>
    <row r="54" spans="2:10" ht="18" customHeight="1" x14ac:dyDescent="0.2">
      <c r="B54" s="164" t="s">
        <v>219</v>
      </c>
      <c r="C54" s="3013">
        <f>Table1.D!G14</f>
        <v>1864.704</v>
      </c>
      <c r="D54" s="3013">
        <f>Table1.D!H14</f>
        <v>0.17779999999999999</v>
      </c>
      <c r="E54" s="3013">
        <f>Table1.D!I14</f>
        <v>5.0800000000000005E-2</v>
      </c>
      <c r="F54" s="3014">
        <v>50.262399999999992</v>
      </c>
      <c r="G54" s="3014">
        <v>1.2699199999999997</v>
      </c>
      <c r="H54" s="3014">
        <v>1.5784400000000001</v>
      </c>
      <c r="I54" s="3015">
        <v>30.996059379217275</v>
      </c>
      <c r="J54" s="3016">
        <f t="shared" si="22"/>
        <v>1883.1443999999999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16455.288575753697</v>
      </c>
      <c r="D56" s="3035"/>
      <c r="E56" s="3035"/>
      <c r="F56" s="3035"/>
      <c r="G56" s="3035"/>
      <c r="H56" s="3035"/>
      <c r="I56" s="2976"/>
      <c r="J56" s="3020">
        <f t="shared" si="22"/>
        <v>16455.288575753697</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4" t="s">
        <v>227</v>
      </c>
      <c r="C77" s="4495"/>
      <c r="D77" s="4495"/>
      <c r="E77" s="4495"/>
      <c r="F77" s="4495"/>
      <c r="G77" s="4495"/>
      <c r="H77" s="4495"/>
      <c r="I77" s="4495"/>
      <c r="J77" s="44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134687.986209269</v>
      </c>
      <c r="D10" s="3491" t="s">
        <v>199</v>
      </c>
      <c r="E10" s="3491">
        <v>18.893906027</v>
      </c>
      <c r="F10" s="3491">
        <v>361.77038774699997</v>
      </c>
      <c r="G10" s="3491" t="s">
        <v>199</v>
      </c>
      <c r="H10" s="3491">
        <v>3.7187469989999999</v>
      </c>
      <c r="I10" s="3491" t="s">
        <v>199</v>
      </c>
      <c r="J10" s="3491">
        <v>23.497718099</v>
      </c>
      <c r="K10" s="3491" t="s">
        <v>199</v>
      </c>
      <c r="L10" s="3491" t="s">
        <v>199</v>
      </c>
      <c r="M10" s="3492">
        <f>IF(SUM(C10:L10)=0,"NO",SUM(C10:L10))</f>
        <v>135095.866968141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18.775505939999999</v>
      </c>
      <c r="D12" s="3491" t="s">
        <v>199</v>
      </c>
      <c r="E12" s="3491">
        <v>39965.433138752996</v>
      </c>
      <c r="F12" s="3491" t="s">
        <v>274</v>
      </c>
      <c r="G12" s="3491" t="s">
        <v>199</v>
      </c>
      <c r="H12" s="3491" t="s">
        <v>274</v>
      </c>
      <c r="I12" s="3491" t="s">
        <v>199</v>
      </c>
      <c r="J12" s="3491" t="s">
        <v>274</v>
      </c>
      <c r="K12" s="3491" t="s">
        <v>199</v>
      </c>
      <c r="L12" s="3491" t="s">
        <v>199</v>
      </c>
      <c r="M12" s="3492">
        <f t="shared" si="0"/>
        <v>39984.208644692997</v>
      </c>
    </row>
    <row r="13" spans="2:13" ht="18" customHeight="1" x14ac:dyDescent="0.2">
      <c r="B13" s="2303" t="s">
        <v>1296</v>
      </c>
      <c r="C13" s="3491">
        <v>638.46474987500005</v>
      </c>
      <c r="D13" s="3491" t="s">
        <v>199</v>
      </c>
      <c r="E13" s="3491" t="s">
        <v>274</v>
      </c>
      <c r="F13" s="3491">
        <v>517647.03246407397</v>
      </c>
      <c r="G13" s="3491" t="s">
        <v>199</v>
      </c>
      <c r="H13" s="3491" t="s">
        <v>274</v>
      </c>
      <c r="I13" s="3491" t="s">
        <v>199</v>
      </c>
      <c r="J13" s="3491" t="s">
        <v>274</v>
      </c>
      <c r="K13" s="3491" t="s">
        <v>199</v>
      </c>
      <c r="L13" s="3491" t="s">
        <v>199</v>
      </c>
      <c r="M13" s="3492">
        <f t="shared" si="0"/>
        <v>518285.49721394898</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7.5862150130000003</v>
      </c>
      <c r="D15" s="3491" t="s">
        <v>199</v>
      </c>
      <c r="E15" s="3491">
        <v>0.63304705100000003</v>
      </c>
      <c r="F15" s="3491">
        <v>2.443871627</v>
      </c>
      <c r="G15" s="3491" t="s">
        <v>199</v>
      </c>
      <c r="H15" s="3491">
        <v>13270.756561216</v>
      </c>
      <c r="I15" s="3491" t="s">
        <v>199</v>
      </c>
      <c r="J15" s="3491" t="s">
        <v>199</v>
      </c>
      <c r="K15" s="3491" t="s">
        <v>199</v>
      </c>
      <c r="L15" s="3491" t="s">
        <v>199</v>
      </c>
      <c r="M15" s="3492">
        <f t="shared" si="0"/>
        <v>13281.419694906999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10.678208079999999</v>
      </c>
      <c r="D17" s="3491" t="s">
        <v>199</v>
      </c>
      <c r="E17" s="3491" t="s">
        <v>199</v>
      </c>
      <c r="F17" s="3491" t="s">
        <v>199</v>
      </c>
      <c r="G17" s="3491" t="s">
        <v>199</v>
      </c>
      <c r="H17" s="3491" t="s">
        <v>199</v>
      </c>
      <c r="I17" s="3491" t="s">
        <v>199</v>
      </c>
      <c r="J17" s="3491">
        <v>1478.7004244090001</v>
      </c>
      <c r="K17" s="3491" t="s">
        <v>199</v>
      </c>
      <c r="L17" s="3491" t="s">
        <v>199</v>
      </c>
      <c r="M17" s="3492">
        <f t="shared" si="0"/>
        <v>1489.3786324890002</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135363.49088817701</v>
      </c>
      <c r="D20" s="3493" t="str">
        <f t="shared" ref="D20:L20" si="1">IF(SUM(D10:D19)=0,"NO",SUM(D10:D19))</f>
        <v>NO</v>
      </c>
      <c r="E20" s="3493">
        <f t="shared" si="1"/>
        <v>39984.960091830995</v>
      </c>
      <c r="F20" s="3493">
        <f t="shared" si="1"/>
        <v>518011.24672344793</v>
      </c>
      <c r="G20" s="3493" t="str">
        <f t="shared" si="1"/>
        <v>NO</v>
      </c>
      <c r="H20" s="3493">
        <f t="shared" si="1"/>
        <v>13274.475308215</v>
      </c>
      <c r="I20" s="3493" t="str">
        <f t="shared" si="1"/>
        <v>NO</v>
      </c>
      <c r="J20" s="3493">
        <f t="shared" si="1"/>
        <v>1502.198142508</v>
      </c>
      <c r="K20" s="3493">
        <f t="shared" si="1"/>
        <v>60692.328845821001</v>
      </c>
      <c r="L20" s="3493" t="str">
        <f t="shared" si="1"/>
        <v>NO</v>
      </c>
      <c r="M20" s="3492">
        <f t="shared" si="0"/>
        <v>768828.7</v>
      </c>
    </row>
    <row r="21" spans="2:13" ht="18" customHeight="1" thickBot="1" x14ac:dyDescent="0.25">
      <c r="B21" s="2305" t="s">
        <v>1304</v>
      </c>
      <c r="C21" s="3494">
        <f>IF(SUM(C20)=0,"NO",C20-M10)</f>
        <v>267.62392003601417</v>
      </c>
      <c r="D21" s="3494" t="str">
        <f>IF(SUM(D20)=0,"NO",D20-M11)</f>
        <v>NO</v>
      </c>
      <c r="E21" s="3494">
        <f>IF(SUM(E20)=0,"NO",E20-M12)</f>
        <v>0.75144713799818419</v>
      </c>
      <c r="F21" s="3494">
        <f>IF(SUM(F20)=0,"NO",F20-M13)</f>
        <v>-274.25049050105736</v>
      </c>
      <c r="G21" s="3494" t="str">
        <f>IF(SUM(G20)=0,"NO",G20-M14)</f>
        <v>NO</v>
      </c>
      <c r="H21" s="3494">
        <f>IF(SUM(H20)=0,"NO",H20-M15)</f>
        <v>-6.9443866919991706</v>
      </c>
      <c r="I21" s="3494" t="str">
        <f>IF(SUM(I20)=0,"NO",I20-M16)</f>
        <v>NO</v>
      </c>
      <c r="J21" s="3494">
        <f>IF(SUM(J20)=0,"NO",J20-M17)</f>
        <v>12.819510018999836</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135515.23299723811</v>
      </c>
      <c r="E10" s="3498">
        <f t="shared" ref="E10:U10" si="0">IF(SUM(E11,E16)=0,"IE",SUM(E11,E16))</f>
        <v>135363.49088817716</v>
      </c>
      <c r="F10" s="3499">
        <f t="shared" si="0"/>
        <v>151.74210906096076</v>
      </c>
      <c r="G10" s="3500">
        <f t="shared" ref="G10:K11" si="1">IFERROR(IF(SUM($D10)=0,"NA",N10/$D10),"NA")</f>
        <v>0.15692051779495295</v>
      </c>
      <c r="H10" s="3057">
        <f t="shared" si="1"/>
        <v>-2.4274945598877353E-2</v>
      </c>
      <c r="I10" s="3057">
        <f t="shared" si="1"/>
        <v>0.13264557219607559</v>
      </c>
      <c r="J10" s="3057">
        <f t="shared" si="1"/>
        <v>-1.5479015201953038E-2</v>
      </c>
      <c r="K10" s="3057">
        <f t="shared" si="1"/>
        <v>3.1412782381928326E-3</v>
      </c>
      <c r="L10" s="3057">
        <f>IFERROR(IF(SUM(E10)=0,"NA",S10/E10),"NA")</f>
        <v>-5.3003847050295816E-2</v>
      </c>
      <c r="M10" s="3106">
        <f>IFERROR(IF(SUM(F10)=0,"NA",T10/F10),"NA")</f>
        <v>-0.54731068083785761</v>
      </c>
      <c r="N10" s="3501">
        <f t="shared" si="0"/>
        <v>21265.120531030298</v>
      </c>
      <c r="O10" s="3502">
        <f t="shared" si="0"/>
        <v>-3289.6249088271443</v>
      </c>
      <c r="P10" s="3502">
        <f t="shared" si="0"/>
        <v>17975.495622203154</v>
      </c>
      <c r="Q10" s="3502">
        <f t="shared" si="0"/>
        <v>-2097.6423516604568</v>
      </c>
      <c r="R10" s="3502">
        <f t="shared" si="0"/>
        <v>425.69105235785537</v>
      </c>
      <c r="S10" s="3502">
        <f t="shared" si="0"/>
        <v>-7174.7857672310529</v>
      </c>
      <c r="T10" s="3503">
        <f t="shared" si="0"/>
        <v>-83.050077021926867</v>
      </c>
      <c r="U10" s="4260">
        <f t="shared" si="0"/>
        <v>-33167.597755041097</v>
      </c>
      <c r="W10" s="2422"/>
    </row>
    <row r="11" spans="2:23" ht="18" customHeight="1" x14ac:dyDescent="0.2">
      <c r="B11" s="492" t="s">
        <v>1253</v>
      </c>
      <c r="C11" s="2282"/>
      <c r="D11" s="3504">
        <f>IF(SUM(D12:D15)=0,"IE",SUM(D12:D15))</f>
        <v>124577.485036439</v>
      </c>
      <c r="E11" s="3505">
        <f t="shared" ref="E11:U11" si="2">IF(SUM(E12:E15)=0,"IE",SUM(E12:E15))</f>
        <v>124577.485036439</v>
      </c>
      <c r="F11" s="3506" t="str">
        <f t="shared" si="2"/>
        <v>IE</v>
      </c>
      <c r="G11" s="3500">
        <f t="shared" si="1"/>
        <v>6.0230539483503771E-2</v>
      </c>
      <c r="H11" s="3057">
        <f t="shared" si="1"/>
        <v>-2.6406255575515326E-2</v>
      </c>
      <c r="I11" s="3057">
        <f t="shared" si="1"/>
        <v>3.3824283907988445E-2</v>
      </c>
      <c r="J11" s="3057">
        <f t="shared" si="1"/>
        <v>-1.8993778594307759E-2</v>
      </c>
      <c r="K11" s="3057">
        <f t="shared" si="1"/>
        <v>-4.3360251669283621E-3</v>
      </c>
      <c r="L11" s="3057">
        <f t="shared" ref="L11:L28" si="3">IFERROR(IF(SUM(E11)=0,"NA",S11/E11),"NA")</f>
        <v>-3.5718396531610699E-2</v>
      </c>
      <c r="M11" s="3106" t="str">
        <f t="shared" ref="M11:M28" si="4">IFERROR(IF(SUM(F11)=0,"NA",T11/F11),"NA")</f>
        <v>NA</v>
      </c>
      <c r="N11" s="3087">
        <f t="shared" si="2"/>
        <v>7503.3691312428391</v>
      </c>
      <c r="O11" s="3087">
        <f t="shared" si="2"/>
        <v>-3289.6249088271443</v>
      </c>
      <c r="P11" s="3087">
        <f t="shared" si="2"/>
        <v>4213.7442224156948</v>
      </c>
      <c r="Q11" s="3087">
        <f t="shared" si="2"/>
        <v>-2366.1971686178103</v>
      </c>
      <c r="R11" s="3507">
        <f t="shared" si="2"/>
        <v>-540.1711103506409</v>
      </c>
      <c r="S11" s="3507">
        <f t="shared" si="2"/>
        <v>-4449.7080094423263</v>
      </c>
      <c r="T11" s="3507" t="str">
        <f t="shared" si="2"/>
        <v>IE</v>
      </c>
      <c r="U11" s="4261">
        <f t="shared" si="2"/>
        <v>11521.88424198197</v>
      </c>
      <c r="W11" s="2423"/>
    </row>
    <row r="12" spans="2:23" ht="18" customHeight="1" x14ac:dyDescent="0.2">
      <c r="B12" s="490"/>
      <c r="C12" s="498" t="s">
        <v>1339</v>
      </c>
      <c r="D12" s="3509">
        <f>IF(SUM(E12:F12)=0,E12,SUM(E12:F12))</f>
        <v>17550.669632127287</v>
      </c>
      <c r="E12" s="3510">
        <v>17550.669632127287</v>
      </c>
      <c r="F12" s="3496" t="s">
        <v>274</v>
      </c>
      <c r="G12" s="3500">
        <f>IFERROR(IF(SUM($D12)=0,"NA",N12/$D12),"NA")</f>
        <v>0.42752608809339021</v>
      </c>
      <c r="H12" s="3057" t="str">
        <f>IFERROR(IF(SUM($D12)=0,"NA",O12/$D12),"NA")</f>
        <v>NA</v>
      </c>
      <c r="I12" s="3057">
        <f>IFERROR(IF(SUM($D12)=0,"NA",P12/$D12),"NA")</f>
        <v>0.42752608809339021</v>
      </c>
      <c r="J12" s="3057">
        <f>IFERROR(IF(SUM($D12)=0,"NA",Q12/$D12),"NA")</f>
        <v>-4.1033301737121629E-2</v>
      </c>
      <c r="K12" s="3057">
        <f>IFERROR(IF(SUM($D12)=0,"NA",R12/$D12),"NA")</f>
        <v>1.0687817733312214E-2</v>
      </c>
      <c r="L12" s="3057">
        <f t="shared" si="3"/>
        <v>-0.2717102159958435</v>
      </c>
      <c r="M12" s="3106" t="str">
        <f t="shared" si="4"/>
        <v>NA</v>
      </c>
      <c r="N12" s="2917">
        <v>7503.3691312428391</v>
      </c>
      <c r="O12" s="2917" t="s">
        <v>274</v>
      </c>
      <c r="P12" s="3087">
        <f>IF(SUM(N12:O12)=0,N12,SUM(N12:O12))</f>
        <v>7503.3691312428391</v>
      </c>
      <c r="Q12" s="2917">
        <v>-720.16192270361637</v>
      </c>
      <c r="R12" s="2918">
        <v>187.57835812575416</v>
      </c>
      <c r="S12" s="2918">
        <v>-4768.6962366169964</v>
      </c>
      <c r="T12" s="2918" t="s">
        <v>274</v>
      </c>
      <c r="U12" s="4262">
        <f>IF(SUM(P12:T12)=0,P12,SUM(P12:T12)*-44/12)</f>
        <v>-8074.327543509261</v>
      </c>
      <c r="W12" s="2424"/>
    </row>
    <row r="13" spans="2:23" ht="18" customHeight="1" x14ac:dyDescent="0.2">
      <c r="B13" s="490"/>
      <c r="C13" s="498" t="s">
        <v>1340</v>
      </c>
      <c r="D13" s="3509">
        <f t="shared" ref="D13:D15" si="5">IF(SUM(E13:F13)=0,E13,SUM(E13:F13))</f>
        <v>681.45988290815217</v>
      </c>
      <c r="E13" s="3510">
        <v>681.45988290815217</v>
      </c>
      <c r="F13" s="3496" t="s">
        <v>274</v>
      </c>
      <c r="G13" s="3500" t="str">
        <f t="shared" ref="G13:K28" si="6">IFERROR(IF(SUM($D13)=0,"NA",N13/$D13),"NA")</f>
        <v>NA</v>
      </c>
      <c r="H13" s="3057">
        <f t="shared" si="6"/>
        <v>-1.5182222321400372</v>
      </c>
      <c r="I13" s="3057">
        <f t="shared" si="6"/>
        <v>-1.5182222321400372</v>
      </c>
      <c r="J13" s="3057">
        <f t="shared" si="6"/>
        <v>-0.76994507761928488</v>
      </c>
      <c r="K13" s="3057">
        <f t="shared" si="6"/>
        <v>-0.5920721527979097</v>
      </c>
      <c r="L13" s="3057">
        <f t="shared" si="3"/>
        <v>0.46809538635403997</v>
      </c>
      <c r="M13" s="3106" t="str">
        <f t="shared" si="4"/>
        <v>NA</v>
      </c>
      <c r="N13" s="2917" t="s">
        <v>274</v>
      </c>
      <c r="O13" s="2917">
        <v>-1034.6075445427032</v>
      </c>
      <c r="P13" s="3087">
        <f t="shared" ref="P13:P15" si="7">IF(SUM(N13:O13)=0,N13,SUM(N13:O13))</f>
        <v>-1034.6075445427032</v>
      </c>
      <c r="Q13" s="2917">
        <v>-524.686682440146</v>
      </c>
      <c r="R13" s="2918">
        <v>-403.47341991884116</v>
      </c>
      <c r="S13" s="2918">
        <v>318.98822717467033</v>
      </c>
      <c r="T13" s="2918" t="s">
        <v>274</v>
      </c>
      <c r="U13" s="4262">
        <f t="shared" ref="U13:U15" si="8">IF(SUM(P13:T13)=0,P13,SUM(P13:T13)*-44/12)</f>
        <v>6027.1912056657393</v>
      </c>
      <c r="W13" s="2424"/>
    </row>
    <row r="14" spans="2:23" ht="18" customHeight="1" x14ac:dyDescent="0.2">
      <c r="B14" s="490"/>
      <c r="C14" s="498" t="s">
        <v>1341</v>
      </c>
      <c r="D14" s="3509">
        <f t="shared" si="5"/>
        <v>106345.35552140356</v>
      </c>
      <c r="E14" s="3510">
        <v>106345.35552140356</v>
      </c>
      <c r="F14" s="3496" t="s">
        <v>274</v>
      </c>
      <c r="G14" s="3500" t="str">
        <f t="shared" si="6"/>
        <v>NA</v>
      </c>
      <c r="H14" s="3057">
        <f t="shared" si="6"/>
        <v>-8.5082600990694437E-3</v>
      </c>
      <c r="I14" s="3057">
        <f t="shared" si="6"/>
        <v>-8.5082600990694437E-3</v>
      </c>
      <c r="J14" s="3057">
        <f t="shared" si="6"/>
        <v>-8.5054696905721844E-3</v>
      </c>
      <c r="K14" s="3057">
        <f t="shared" si="6"/>
        <v>-3.0492732566236866E-3</v>
      </c>
      <c r="L14" s="3057" t="str">
        <f t="shared" si="3"/>
        <v>NA</v>
      </c>
      <c r="M14" s="3106" t="str">
        <f t="shared" si="4"/>
        <v>NA</v>
      </c>
      <c r="N14" s="2917" t="s">
        <v>274</v>
      </c>
      <c r="O14" s="2917">
        <v>-904.81394510411224</v>
      </c>
      <c r="P14" s="3087">
        <f t="shared" si="7"/>
        <v>-904.81394510411224</v>
      </c>
      <c r="Q14" s="2917">
        <v>-904.5171981204212</v>
      </c>
      <c r="R14" s="2918">
        <v>-324.27604855755396</v>
      </c>
      <c r="S14" s="2918" t="s">
        <v>205</v>
      </c>
      <c r="T14" s="2918" t="s">
        <v>205</v>
      </c>
      <c r="U14" s="4262">
        <f t="shared" si="8"/>
        <v>7823.2263698676534</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-1350.2034191803289</v>
      </c>
      <c r="P15" s="3087">
        <f t="shared" si="7"/>
        <v>-1350.2034191803289</v>
      </c>
      <c r="Q15" s="2917">
        <v>-216.83136535362712</v>
      </c>
      <c r="R15" s="2918" t="s">
        <v>205</v>
      </c>
      <c r="S15" s="2918" t="s">
        <v>205</v>
      </c>
      <c r="T15" s="2918" t="s">
        <v>205</v>
      </c>
      <c r="U15" s="4262">
        <f t="shared" si="8"/>
        <v>5745.7942099578395</v>
      </c>
      <c r="W15" s="2424"/>
    </row>
    <row r="16" spans="2:23" ht="18" customHeight="1" x14ac:dyDescent="0.2">
      <c r="B16" s="475" t="s">
        <v>1343</v>
      </c>
      <c r="C16" s="494"/>
      <c r="D16" s="3509">
        <f>IF(SUM(D17,D19,D23,D25,D27)=0,"IE",SUM(D17,D19,D23,D25,D27))</f>
        <v>10937.747960799106</v>
      </c>
      <c r="E16" s="3512">
        <f t="shared" ref="E16:T16" si="9">IF(SUM(E17,E19,E23,E25,E27)=0,"IE",SUM(E17,E19,E23,E25,E27))</f>
        <v>10786.005851738146</v>
      </c>
      <c r="F16" s="3513">
        <f t="shared" si="9"/>
        <v>151.74210906096076</v>
      </c>
      <c r="G16" s="3500">
        <f t="shared" si="6"/>
        <v>1.2581887468160338</v>
      </c>
      <c r="H16" s="3057" t="str">
        <f t="shared" si="6"/>
        <v>NA</v>
      </c>
      <c r="I16" s="3057">
        <f t="shared" si="6"/>
        <v>1.2581887468160338</v>
      </c>
      <c r="J16" s="3057">
        <f t="shared" si="6"/>
        <v>2.45530266303314E-2</v>
      </c>
      <c r="K16" s="3057">
        <f t="shared" si="6"/>
        <v>8.8305395788067773E-2</v>
      </c>
      <c r="L16" s="3057">
        <f t="shared" si="3"/>
        <v>-0.25264938618122346</v>
      </c>
      <c r="M16" s="3106">
        <f t="shared" si="4"/>
        <v>-0.54731068083785761</v>
      </c>
      <c r="N16" s="3057">
        <f t="shared" si="9"/>
        <v>13761.751399787458</v>
      </c>
      <c r="O16" s="3057" t="str">
        <f t="shared" si="9"/>
        <v>IE</v>
      </c>
      <c r="P16" s="3057">
        <f t="shared" si="9"/>
        <v>13761.751399787458</v>
      </c>
      <c r="Q16" s="3057">
        <f t="shared" si="9"/>
        <v>268.55481695735341</v>
      </c>
      <c r="R16" s="3514">
        <f t="shared" si="9"/>
        <v>965.86216270849627</v>
      </c>
      <c r="S16" s="3514">
        <f t="shared" si="9"/>
        <v>-2725.0777577887266</v>
      </c>
      <c r="T16" s="3514">
        <f t="shared" si="9"/>
        <v>-83.050077021926867</v>
      </c>
      <c r="U16" s="4262">
        <f>IF(SUM(U17,U19,U23,U25,U27)=0,"IE",SUM(U17,U19,U23,U25,U27))</f>
        <v>-44689.481997023067</v>
      </c>
      <c r="W16" s="2048"/>
    </row>
    <row r="17" spans="2:23" ht="18" customHeight="1" x14ac:dyDescent="0.2">
      <c r="B17" s="477" t="s">
        <v>1344</v>
      </c>
      <c r="C17" s="494"/>
      <c r="D17" s="3509">
        <f>D18</f>
        <v>68.175008351986051</v>
      </c>
      <c r="E17" s="3512">
        <f t="shared" ref="E17:U17" si="10">E18</f>
        <v>68.175008351986051</v>
      </c>
      <c r="F17" s="3513" t="str">
        <f t="shared" si="10"/>
        <v>NO</v>
      </c>
      <c r="G17" s="3500">
        <f t="shared" si="6"/>
        <v>1.4655437211095821</v>
      </c>
      <c r="H17" s="3057" t="str">
        <f t="shared" si="6"/>
        <v>NA</v>
      </c>
      <c r="I17" s="3057">
        <f t="shared" si="6"/>
        <v>1.4655437211095821</v>
      </c>
      <c r="J17" s="3057">
        <f t="shared" si="6"/>
        <v>1.6950532145446867E-2</v>
      </c>
      <c r="K17" s="3057">
        <f t="shared" si="6"/>
        <v>1.6283951055064874E-2</v>
      </c>
      <c r="L17" s="3057">
        <f t="shared" si="3"/>
        <v>-0.50349576225930015</v>
      </c>
      <c r="M17" s="3106" t="str">
        <f t="shared" si="4"/>
        <v>NA</v>
      </c>
      <c r="N17" s="3057">
        <f t="shared" si="10"/>
        <v>99.913455426846468</v>
      </c>
      <c r="O17" s="3057" t="str">
        <f t="shared" si="10"/>
        <v>IE</v>
      </c>
      <c r="P17" s="3057">
        <f t="shared" si="10"/>
        <v>99.913455426846468</v>
      </c>
      <c r="Q17" s="3057">
        <f t="shared" si="10"/>
        <v>1.1556026705864482</v>
      </c>
      <c r="R17" s="3514">
        <f t="shared" si="10"/>
        <v>1.1101584991823799</v>
      </c>
      <c r="S17" s="3514">
        <f t="shared" si="10"/>
        <v>-34.325827797217372</v>
      </c>
      <c r="T17" s="3514" t="str">
        <f t="shared" si="10"/>
        <v>NO</v>
      </c>
      <c r="U17" s="4262">
        <f t="shared" si="10"/>
        <v>-248.79575893112573</v>
      </c>
      <c r="W17" s="2048"/>
    </row>
    <row r="18" spans="2:23" ht="18" customHeight="1" x14ac:dyDescent="0.2">
      <c r="B18" s="478"/>
      <c r="C18" s="498" t="s">
        <v>409</v>
      </c>
      <c r="D18" s="3509">
        <f>IF(SUM(E18:F18)=0,E18,SUM(E18:F18))</f>
        <v>68.175008351986051</v>
      </c>
      <c r="E18" s="3510">
        <v>68.175008351986051</v>
      </c>
      <c r="F18" s="3496" t="s">
        <v>199</v>
      </c>
      <c r="G18" s="3500">
        <f t="shared" si="6"/>
        <v>1.4655437211095821</v>
      </c>
      <c r="H18" s="3057" t="str">
        <f t="shared" si="6"/>
        <v>NA</v>
      </c>
      <c r="I18" s="3057">
        <f t="shared" si="6"/>
        <v>1.4655437211095821</v>
      </c>
      <c r="J18" s="3057">
        <f t="shared" si="6"/>
        <v>1.6950532145446867E-2</v>
      </c>
      <c r="K18" s="3057">
        <f t="shared" si="6"/>
        <v>1.6283951055064874E-2</v>
      </c>
      <c r="L18" s="3057">
        <f t="shared" si="3"/>
        <v>-0.50349576225930015</v>
      </c>
      <c r="M18" s="3106" t="str">
        <f t="shared" si="4"/>
        <v>NA</v>
      </c>
      <c r="N18" s="2917">
        <v>99.913455426846468</v>
      </c>
      <c r="O18" s="2917" t="s">
        <v>274</v>
      </c>
      <c r="P18" s="3087">
        <f>IF(SUM(N18:O18)=0,N18,SUM(N18:O18))</f>
        <v>99.913455426846468</v>
      </c>
      <c r="Q18" s="2917">
        <v>1.1556026705864482</v>
      </c>
      <c r="R18" s="2918">
        <v>1.1101584991823799</v>
      </c>
      <c r="S18" s="2918">
        <v>-34.325827797217372</v>
      </c>
      <c r="T18" s="2918" t="s">
        <v>199</v>
      </c>
      <c r="U18" s="4262">
        <f t="shared" ref="U18" si="11">IF(SUM(P18:T18)=0,P18,SUM(P18:T18)*-44/12)</f>
        <v>-248.79575893112573</v>
      </c>
      <c r="W18" s="2424"/>
    </row>
    <row r="19" spans="2:23" ht="18" customHeight="1" x14ac:dyDescent="0.2">
      <c r="B19" s="477" t="s">
        <v>1345</v>
      </c>
      <c r="C19" s="494"/>
      <c r="D19" s="3504">
        <f>IF(SUM(D20:D22)=0,"IE",SUM(D20:D22))</f>
        <v>10664.701728404534</v>
      </c>
      <c r="E19" s="3512">
        <f t="shared" ref="E19:U19" si="12">IF(SUM(E20:E22)=0,"IE",SUM(E20:E22))</f>
        <v>10664.701728404534</v>
      </c>
      <c r="F19" s="3513" t="str">
        <f t="shared" si="12"/>
        <v>IE</v>
      </c>
      <c r="G19" s="3500">
        <f t="shared" si="6"/>
        <v>1.1403773333361102</v>
      </c>
      <c r="H19" s="3057" t="str">
        <f t="shared" si="6"/>
        <v>NA</v>
      </c>
      <c r="I19" s="3057">
        <f t="shared" si="6"/>
        <v>1.1403773333361102</v>
      </c>
      <c r="J19" s="3057">
        <f t="shared" si="6"/>
        <v>3.7379593098960356E-2</v>
      </c>
      <c r="K19" s="3057">
        <f t="shared" si="6"/>
        <v>8.5299924441354133E-2</v>
      </c>
      <c r="L19" s="3057">
        <f t="shared" si="3"/>
        <v>-0.24660670142285956</v>
      </c>
      <c r="M19" s="3106" t="str">
        <f t="shared" si="4"/>
        <v>NA</v>
      </c>
      <c r="N19" s="3057">
        <f t="shared" si="12"/>
        <v>12161.78411786297</v>
      </c>
      <c r="O19" s="3057" t="str">
        <f t="shared" si="12"/>
        <v>IE</v>
      </c>
      <c r="P19" s="3057">
        <f t="shared" si="12"/>
        <v>12161.78411786297</v>
      </c>
      <c r="Q19" s="3057">
        <f t="shared" si="12"/>
        <v>398.64221112954073</v>
      </c>
      <c r="R19" s="3514">
        <f t="shared" si="12"/>
        <v>909.6982516224856</v>
      </c>
      <c r="S19" s="3514">
        <f t="shared" si="12"/>
        <v>-2629.9869149005112</v>
      </c>
      <c r="T19" s="3514" t="str">
        <f t="shared" si="12"/>
        <v>IE</v>
      </c>
      <c r="U19" s="4262">
        <f t="shared" si="12"/>
        <v>-39747.171440953112</v>
      </c>
      <c r="W19" s="2048"/>
    </row>
    <row r="20" spans="2:23" ht="18" customHeight="1" x14ac:dyDescent="0.2">
      <c r="B20" s="486"/>
      <c r="C20" s="498" t="s">
        <v>1346</v>
      </c>
      <c r="D20" s="3509">
        <f>IF(SUM(E20:F20)=0,E20,SUM(E20:F20))</f>
        <v>2559.7478990079926</v>
      </c>
      <c r="E20" s="3510">
        <v>2559.7478990079926</v>
      </c>
      <c r="F20" s="3496" t="s">
        <v>199</v>
      </c>
      <c r="G20" s="3500">
        <f t="shared" si="6"/>
        <v>1.6054125960833985</v>
      </c>
      <c r="H20" s="3057" t="str">
        <f t="shared" si="6"/>
        <v>NA</v>
      </c>
      <c r="I20" s="3057">
        <f t="shared" si="6"/>
        <v>1.6054125960833985</v>
      </c>
      <c r="J20" s="3057">
        <f t="shared" si="6"/>
        <v>3.3672974048630559E-2</v>
      </c>
      <c r="K20" s="3057">
        <f t="shared" si="6"/>
        <v>2.5430769072811447E-2</v>
      </c>
      <c r="L20" s="3057">
        <f t="shared" si="3"/>
        <v>-0.77456407983908027</v>
      </c>
      <c r="M20" s="3106" t="str">
        <f t="shared" si="4"/>
        <v>NA</v>
      </c>
      <c r="N20" s="2917">
        <v>4109.4515198654462</v>
      </c>
      <c r="O20" s="2917" t="s">
        <v>274</v>
      </c>
      <c r="P20" s="3087">
        <f>IF(SUM(N20:O20)=0,N20,SUM(N20:O20))</f>
        <v>4109.4515198654462</v>
      </c>
      <c r="Q20" s="2917">
        <v>86.194324574332725</v>
      </c>
      <c r="R20" s="2918">
        <v>65.096357704286532</v>
      </c>
      <c r="S20" s="2918">
        <v>-1982.6887760151449</v>
      </c>
      <c r="T20" s="2918" t="s">
        <v>199</v>
      </c>
      <c r="U20" s="4262">
        <f t="shared" ref="U20:U22" si="13">IF(SUM(P20:T20)=0,P20,SUM(P20:T20)*-44/12)</f>
        <v>-8352.8625624727083</v>
      </c>
      <c r="W20" s="2424"/>
    </row>
    <row r="21" spans="2:23" ht="18" customHeight="1" x14ac:dyDescent="0.2">
      <c r="B21" s="490"/>
      <c r="C21" s="498" t="s">
        <v>1347</v>
      </c>
      <c r="D21" s="3509">
        <f>IF(SUM(E21:F21)=0,E21,SUM(E21:F21))</f>
        <v>8104.9538293965416</v>
      </c>
      <c r="E21" s="3510">
        <v>8104.9538293965416</v>
      </c>
      <c r="F21" s="3496" t="s">
        <v>199</v>
      </c>
      <c r="G21" s="3500">
        <f t="shared" si="6"/>
        <v>0.99329427955941973</v>
      </c>
      <c r="H21" s="3057" t="str">
        <f t="shared" si="6"/>
        <v>NA</v>
      </c>
      <c r="I21" s="3057">
        <f t="shared" si="6"/>
        <v>0.99329427955941973</v>
      </c>
      <c r="J21" s="3057">
        <f t="shared" si="6"/>
        <v>3.8556567156536506E-2</v>
      </c>
      <c r="K21" s="3057">
        <f t="shared" si="6"/>
        <v>0.10420810675747974</v>
      </c>
      <c r="L21" s="3057">
        <f t="shared" si="3"/>
        <v>-7.9864506635142815E-2</v>
      </c>
      <c r="M21" s="3106" t="str">
        <f t="shared" si="4"/>
        <v>NA</v>
      </c>
      <c r="N21" s="2917">
        <v>8050.6042748327982</v>
      </c>
      <c r="O21" s="2917" t="s">
        <v>274</v>
      </c>
      <c r="P21" s="3087">
        <f t="shared" ref="P21:P28" si="14">IF(SUM(N21:O21)=0,N21,SUM(N21:O21))</f>
        <v>8050.6042748327982</v>
      </c>
      <c r="Q21" s="2917">
        <v>312.49919662375549</v>
      </c>
      <c r="R21" s="2918">
        <v>844.60189391819904</v>
      </c>
      <c r="S21" s="2918">
        <v>-647.29813888536626</v>
      </c>
      <c r="T21" s="2918" t="s">
        <v>199</v>
      </c>
      <c r="U21" s="4262">
        <f t="shared" si="13"/>
        <v>-31388.159830461085</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1.7283231647247823</v>
      </c>
      <c r="O22" s="2917" t="s">
        <v>274</v>
      </c>
      <c r="P22" s="3087">
        <f t="shared" si="14"/>
        <v>1.7283231647247823</v>
      </c>
      <c r="Q22" s="2917">
        <v>-5.1310068547467252E-2</v>
      </c>
      <c r="R22" s="2918" t="s">
        <v>205</v>
      </c>
      <c r="S22" s="2918" t="s">
        <v>205</v>
      </c>
      <c r="T22" s="2918" t="s">
        <v>205</v>
      </c>
      <c r="U22" s="4262">
        <f t="shared" si="13"/>
        <v>-6.1490480193168224</v>
      </c>
      <c r="W22" s="2424"/>
    </row>
    <row r="23" spans="2:23" ht="18" customHeight="1" x14ac:dyDescent="0.2">
      <c r="B23" s="477" t="s">
        <v>1348</v>
      </c>
      <c r="C23" s="494"/>
      <c r="D23" s="3509">
        <f>D24</f>
        <v>151.74210906096076</v>
      </c>
      <c r="E23" s="3512" t="str">
        <f t="shared" ref="E23" si="15">E24</f>
        <v>NO</v>
      </c>
      <c r="F23" s="3513">
        <f t="shared" ref="F23" si="16">F24</f>
        <v>151.74210906096076</v>
      </c>
      <c r="G23" s="3500">
        <f t="shared" si="6"/>
        <v>9.2471741081499097</v>
      </c>
      <c r="H23" s="3057" t="str">
        <f t="shared" si="6"/>
        <v>NA</v>
      </c>
      <c r="I23" s="3057">
        <f t="shared" si="6"/>
        <v>9.2471741081499097</v>
      </c>
      <c r="J23" s="3057">
        <f t="shared" si="6"/>
        <v>-0.88389224056879534</v>
      </c>
      <c r="K23" s="3057">
        <f t="shared" si="6"/>
        <v>0.3480413253133956</v>
      </c>
      <c r="L23" s="3057" t="str">
        <f t="shared" si="3"/>
        <v>NA</v>
      </c>
      <c r="M23" s="3106">
        <f t="shared" si="4"/>
        <v>-0.54731068083785761</v>
      </c>
      <c r="N23" s="3057">
        <f t="shared" ref="N23" si="17">N24</f>
        <v>1403.1857020245761</v>
      </c>
      <c r="O23" s="3057" t="str">
        <f t="shared" ref="O23" si="18">O24</f>
        <v>IE</v>
      </c>
      <c r="P23" s="3057">
        <f t="shared" ref="P23" si="19">P24</f>
        <v>1403.1857020245761</v>
      </c>
      <c r="Q23" s="3057">
        <f t="shared" ref="Q23" si="20">Q24</f>
        <v>-134.12367276652711</v>
      </c>
      <c r="R23" s="3514">
        <f t="shared" ref="R23" si="21">R24</f>
        <v>52.8125247434266</v>
      </c>
      <c r="S23" s="3514" t="str">
        <f t="shared" ref="S23" si="22">S24</f>
        <v>NO</v>
      </c>
      <c r="T23" s="3514">
        <f t="shared" ref="T23" si="23">T24</f>
        <v>-83.050077021926867</v>
      </c>
      <c r="U23" s="4262">
        <f t="shared" ref="U23" si="24">U24</f>
        <v>-4542.3564155916783</v>
      </c>
      <c r="W23" s="2048"/>
    </row>
    <row r="24" spans="2:23" ht="18" customHeight="1" x14ac:dyDescent="0.2">
      <c r="B24" s="478"/>
      <c r="C24" s="498" t="s">
        <v>409</v>
      </c>
      <c r="D24" s="3509">
        <f>IF(SUM(E24:F24)=0,E24,SUM(E24:F24))</f>
        <v>151.74210906096076</v>
      </c>
      <c r="E24" s="3510" t="s">
        <v>199</v>
      </c>
      <c r="F24" s="3496">
        <v>151.74210906096076</v>
      </c>
      <c r="G24" s="3500">
        <f t="shared" si="6"/>
        <v>9.2471741081499097</v>
      </c>
      <c r="H24" s="3057" t="str">
        <f t="shared" si="6"/>
        <v>NA</v>
      </c>
      <c r="I24" s="3057">
        <f t="shared" si="6"/>
        <v>9.2471741081499097</v>
      </c>
      <c r="J24" s="3057">
        <f t="shared" si="6"/>
        <v>-0.88389224056879534</v>
      </c>
      <c r="K24" s="3057">
        <f t="shared" si="6"/>
        <v>0.3480413253133956</v>
      </c>
      <c r="L24" s="3057" t="str">
        <f t="shared" si="3"/>
        <v>NA</v>
      </c>
      <c r="M24" s="3106">
        <f t="shared" si="4"/>
        <v>-0.54731068083785761</v>
      </c>
      <c r="N24" s="2917">
        <v>1403.1857020245761</v>
      </c>
      <c r="O24" s="2917" t="s">
        <v>274</v>
      </c>
      <c r="P24" s="3087">
        <f t="shared" si="14"/>
        <v>1403.1857020245761</v>
      </c>
      <c r="Q24" s="2917">
        <v>-134.12367276652711</v>
      </c>
      <c r="R24" s="2918">
        <v>52.8125247434266</v>
      </c>
      <c r="S24" s="2918" t="s">
        <v>199</v>
      </c>
      <c r="T24" s="2918">
        <v>-83.050077021926867</v>
      </c>
      <c r="U24" s="4262">
        <f t="shared" ref="U24" si="25">IF(SUM(P24:T24)=0,P24,SUM(P24:T24)*-44/12)</f>
        <v>-4542.3564155916783</v>
      </c>
      <c r="W24" s="2424"/>
    </row>
    <row r="25" spans="2:23" ht="18" customHeight="1" x14ac:dyDescent="0.2">
      <c r="B25" s="477" t="s">
        <v>1349</v>
      </c>
      <c r="C25" s="494"/>
      <c r="D25" s="3509">
        <f>D26</f>
        <v>53.129114981626323</v>
      </c>
      <c r="E25" s="3512">
        <f t="shared" ref="E25" si="26">E26</f>
        <v>53.129114981626323</v>
      </c>
      <c r="F25" s="3513" t="str">
        <f t="shared" ref="F25" si="27">F26</f>
        <v>NO</v>
      </c>
      <c r="G25" s="3500">
        <f t="shared" si="6"/>
        <v>1.8232587632330601</v>
      </c>
      <c r="H25" s="3057" t="str">
        <f t="shared" si="6"/>
        <v>NA</v>
      </c>
      <c r="I25" s="3057">
        <f t="shared" si="6"/>
        <v>1.8232587632330601</v>
      </c>
      <c r="J25" s="3057">
        <f t="shared" si="6"/>
        <v>5.4220288155553409E-2</v>
      </c>
      <c r="K25" s="3057">
        <f t="shared" si="6"/>
        <v>4.2184550677660679E-2</v>
      </c>
      <c r="L25" s="3057">
        <f t="shared" si="3"/>
        <v>-1.14372345769382</v>
      </c>
      <c r="M25" s="3106" t="str">
        <f t="shared" si="4"/>
        <v>NA</v>
      </c>
      <c r="N25" s="3057">
        <f t="shared" ref="N25" si="28">N26</f>
        <v>96.868124473067056</v>
      </c>
      <c r="O25" s="3057" t="str">
        <f t="shared" ref="O25" si="29">O26</f>
        <v>IE</v>
      </c>
      <c r="P25" s="3057">
        <f t="shared" ref="P25" si="30">P26</f>
        <v>96.868124473067056</v>
      </c>
      <c r="Q25" s="3057">
        <f t="shared" ref="Q25" si="31">Q26</f>
        <v>2.8806759237533091</v>
      </c>
      <c r="R25" s="3514">
        <f t="shared" ref="R25" si="32">R26</f>
        <v>2.2412278434016768</v>
      </c>
      <c r="S25" s="3514">
        <f t="shared" ref="S25" si="33">S26</f>
        <v>-60.76501509099819</v>
      </c>
      <c r="T25" s="3514" t="str">
        <f t="shared" ref="T25" si="34">T26</f>
        <v>NO</v>
      </c>
      <c r="U25" s="4262">
        <f t="shared" ref="U25" si="35">U26</f>
        <v>-151.15838154715414</v>
      </c>
      <c r="W25" s="2048"/>
    </row>
    <row r="26" spans="2:23" ht="18" customHeight="1" x14ac:dyDescent="0.2">
      <c r="B26" s="478"/>
      <c r="C26" s="498" t="s">
        <v>409</v>
      </c>
      <c r="D26" s="3509">
        <f>IF(SUM(E26:F26)=0,E26,SUM(E26:F26))</f>
        <v>53.129114981626323</v>
      </c>
      <c r="E26" s="3510">
        <v>53.129114981626323</v>
      </c>
      <c r="F26" s="3496" t="s">
        <v>199</v>
      </c>
      <c r="G26" s="3500">
        <f t="shared" si="6"/>
        <v>1.8232587632330601</v>
      </c>
      <c r="H26" s="3057" t="str">
        <f t="shared" si="6"/>
        <v>NA</v>
      </c>
      <c r="I26" s="3057">
        <f t="shared" si="6"/>
        <v>1.8232587632330601</v>
      </c>
      <c r="J26" s="3057">
        <f t="shared" si="6"/>
        <v>5.4220288155553409E-2</v>
      </c>
      <c r="K26" s="3057">
        <f t="shared" si="6"/>
        <v>4.2184550677660679E-2</v>
      </c>
      <c r="L26" s="3057">
        <f t="shared" si="3"/>
        <v>-1.14372345769382</v>
      </c>
      <c r="M26" s="3106" t="str">
        <f t="shared" si="4"/>
        <v>NA</v>
      </c>
      <c r="N26" s="2917">
        <v>96.868124473067056</v>
      </c>
      <c r="O26" s="2917" t="s">
        <v>274</v>
      </c>
      <c r="P26" s="3087">
        <f t="shared" si="14"/>
        <v>96.868124473067056</v>
      </c>
      <c r="Q26" s="2917">
        <v>2.8806759237533091</v>
      </c>
      <c r="R26" s="2918">
        <v>2.2412278434016768</v>
      </c>
      <c r="S26" s="2918">
        <v>-60.76501509099819</v>
      </c>
      <c r="T26" s="2918" t="s">
        <v>199</v>
      </c>
      <c r="U26" s="4262">
        <f t="shared" ref="U26" si="36">IF(SUM(P26:T26)=0,P26,SUM(P26:T26)*-44/12)</f>
        <v>-151.15838154715414</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6" t="s">
        <v>1351</v>
      </c>
      <c r="C49" s="4507"/>
      <c r="D49" s="4507"/>
      <c r="E49" s="4507"/>
      <c r="F49" s="4507"/>
      <c r="G49" s="4507"/>
      <c r="H49" s="4507"/>
      <c r="I49" s="4507"/>
      <c r="J49" s="4507"/>
      <c r="K49" s="4507"/>
      <c r="L49" s="4507"/>
      <c r="M49" s="4507"/>
      <c r="N49" s="4507"/>
      <c r="O49" s="4507"/>
      <c r="P49" s="4507"/>
      <c r="Q49" s="4507"/>
      <c r="R49" s="4507"/>
      <c r="S49" s="4507"/>
      <c r="T49" s="4507"/>
      <c r="U49" s="45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39984.960091830806</v>
      </c>
      <c r="E10" s="3523">
        <f t="shared" ref="E10:F10" si="0">IF(SUM(E11,E13)=0,"IE",SUM(E11,E13))</f>
        <v>39981.960091830806</v>
      </c>
      <c r="F10" s="3524">
        <f t="shared" si="0"/>
        <v>3</v>
      </c>
      <c r="G10" s="3500">
        <f>IFERROR(IF(SUM($D10)=0,"NA",M10/$D10),"NA")</f>
        <v>2.3507311551263098E-3</v>
      </c>
      <c r="H10" s="3523">
        <f t="shared" ref="H10:J10" si="1">IFERROR(IF(SUM($D10)=0,"NA",N10/$D10),"NA")</f>
        <v>-6.6353271600185747E-3</v>
      </c>
      <c r="I10" s="3523">
        <f t="shared" si="1"/>
        <v>-4.2845960048922653E-3</v>
      </c>
      <c r="J10" s="3523">
        <f t="shared" si="1"/>
        <v>-3.2361529055348276E-3</v>
      </c>
      <c r="K10" s="3525">
        <f>IFERROR(IF(SUM(E10)=0,"NA",Q10/E10),"NA")</f>
        <v>-3.7421332977340321E-2</v>
      </c>
      <c r="L10" s="3524">
        <f>IFERROR(IF(SUM(F10)=0,"NA",R10/F10),"NA")</f>
        <v>-12.475</v>
      </c>
      <c r="M10" s="3526">
        <f>IF(SUM(M11,M13)=0,"IE",SUM(M11,M13))</f>
        <v>93.993891424348831</v>
      </c>
      <c r="N10" s="3523">
        <f t="shared" ref="N10:S10" si="2">IF(SUM(N11,N13)=0,"IE",SUM(N11,N13))</f>
        <v>-265.31329168958376</v>
      </c>
      <c r="O10" s="3527">
        <f t="shared" si="2"/>
        <v>-171.31940026523495</v>
      </c>
      <c r="P10" s="3523">
        <f t="shared" si="2"/>
        <v>-129.3974447788724</v>
      </c>
      <c r="Q10" s="3525">
        <f t="shared" si="2"/>
        <v>-1496.1782416831329</v>
      </c>
      <c r="R10" s="3525">
        <f t="shared" si="2"/>
        <v>-37.424999999999997</v>
      </c>
      <c r="S10" s="3528">
        <f t="shared" si="2"/>
        <v>6725.8403179998804</v>
      </c>
      <c r="U10" s="2287"/>
    </row>
    <row r="11" spans="2:21" ht="18" customHeight="1" x14ac:dyDescent="0.2">
      <c r="B11" s="489" t="s">
        <v>1256</v>
      </c>
      <c r="C11" s="2282"/>
      <c r="D11" s="3529">
        <f>D12</f>
        <v>37700.381986827997</v>
      </c>
      <c r="E11" s="3057">
        <f t="shared" ref="E11" si="3">E12</f>
        <v>37700.381986827997</v>
      </c>
      <c r="F11" s="3057" t="str">
        <f t="shared" ref="F11" si="4">F12</f>
        <v>IE</v>
      </c>
      <c r="G11" s="3500">
        <f t="shared" ref="G11:G23" si="5">IFERROR(IF(SUM($D11)=0,"NA",M11/$D11),"NA")</f>
        <v>2.4931814074772244E-3</v>
      </c>
      <c r="H11" s="3057" t="str">
        <f t="shared" ref="H11:H23" si="6">IFERROR(IF(SUM($D11)=0,"NA",N11/$D11),"NA")</f>
        <v>NA</v>
      </c>
      <c r="I11" s="3057">
        <f t="shared" ref="I11:I23" si="7">IFERROR(IF(SUM($D11)=0,"NA",O11/$D11),"NA")</f>
        <v>2.4931814074772244E-3</v>
      </c>
      <c r="J11" s="3057" t="str">
        <f t="shared" ref="J11:J23" si="8">IFERROR(IF(SUM($D11)=0,"NA",P11/$D11),"NA")</f>
        <v>NA</v>
      </c>
      <c r="K11" s="3514">
        <f t="shared" ref="K11:K23" si="9">IFERROR(IF(SUM(E11)=0,"NA",Q11/E11),"NA")</f>
        <v>-2.5910130233820463E-2</v>
      </c>
      <c r="L11" s="3106" t="str">
        <f t="shared" ref="L11:L23" si="10">IFERROR(IF(SUM(F11)=0,"NA",R11/F11),"NA")</f>
        <v>NA</v>
      </c>
      <c r="M11" s="3530">
        <f t="shared" ref="M11" si="11">M12</f>
        <v>93.993891424348831</v>
      </c>
      <c r="N11" s="3531" t="str">
        <f t="shared" ref="N11" si="12">N12</f>
        <v>IE</v>
      </c>
      <c r="O11" s="3532">
        <f t="shared" ref="O11" si="13">O12</f>
        <v>93.993891424348831</v>
      </c>
      <c r="P11" s="3531" t="str">
        <f t="shared" ref="P11" si="14">P12</f>
        <v>NA</v>
      </c>
      <c r="Q11" s="3533">
        <f t="shared" ref="Q11" si="15">Q12</f>
        <v>-976.82180714349249</v>
      </c>
      <c r="R11" s="3533" t="str">
        <f t="shared" ref="R11" si="16">R12</f>
        <v>IE</v>
      </c>
      <c r="S11" s="3534">
        <f t="shared" ref="S11" si="17">S12</f>
        <v>3237.0356909701936</v>
      </c>
      <c r="U11" s="2284"/>
    </row>
    <row r="12" spans="2:21" ht="18" customHeight="1" x14ac:dyDescent="0.2">
      <c r="B12" s="491"/>
      <c r="C12" s="498" t="s">
        <v>409</v>
      </c>
      <c r="D12" s="3509">
        <f>IF(SUM(E12:F12)=0,E12,SUM(E12:F12))</f>
        <v>37700.381986827997</v>
      </c>
      <c r="E12" s="3510">
        <v>37700.381986827997</v>
      </c>
      <c r="F12" s="3496" t="s">
        <v>274</v>
      </c>
      <c r="G12" s="3500">
        <f t="shared" si="5"/>
        <v>2.4931814074772244E-3</v>
      </c>
      <c r="H12" s="3057" t="str">
        <f t="shared" si="6"/>
        <v>NA</v>
      </c>
      <c r="I12" s="3057">
        <f t="shared" si="7"/>
        <v>2.4931814074772244E-3</v>
      </c>
      <c r="J12" s="3057" t="str">
        <f t="shared" si="8"/>
        <v>NA</v>
      </c>
      <c r="K12" s="3514">
        <f t="shared" si="9"/>
        <v>-2.5910130233820463E-2</v>
      </c>
      <c r="L12" s="3106" t="str">
        <f t="shared" si="10"/>
        <v>NA</v>
      </c>
      <c r="M12" s="2917">
        <v>93.993891424348831</v>
      </c>
      <c r="N12" s="2917" t="s">
        <v>274</v>
      </c>
      <c r="O12" s="3087">
        <f>IF(SUM(M12:N12)=0,M12,SUM(M12:N12))</f>
        <v>93.993891424348831</v>
      </c>
      <c r="P12" s="2917" t="s">
        <v>205</v>
      </c>
      <c r="Q12" s="2918">
        <v>-976.82180714349249</v>
      </c>
      <c r="R12" s="2918" t="s">
        <v>274</v>
      </c>
      <c r="S12" s="3534">
        <f>IF(SUM(O12:R12)=0,Q12,SUM(O12:R12)*-44/12)</f>
        <v>3237.0356909701936</v>
      </c>
      <c r="U12" s="2424"/>
    </row>
    <row r="13" spans="2:21" ht="18" customHeight="1" x14ac:dyDescent="0.2">
      <c r="B13" s="475" t="s">
        <v>1375</v>
      </c>
      <c r="C13" s="494"/>
      <c r="D13" s="3529">
        <f>IF(SUM(D14,D16,D18,D20,D22)=0,"IE",SUM(D14,D16,D18,D20,D22))</f>
        <v>2284.5781050028104</v>
      </c>
      <c r="E13" s="3531">
        <f t="shared" ref="E13:F13" si="18">IF(SUM(E14,E16,E18,E20,E22)=0,"IE",SUM(E14,E16,E18,E20,E22))</f>
        <v>2281.5781050028104</v>
      </c>
      <c r="F13" s="3535">
        <f t="shared" si="18"/>
        <v>3</v>
      </c>
      <c r="G13" s="3500" t="str">
        <f t="shared" si="5"/>
        <v>NA</v>
      </c>
      <c r="H13" s="3057">
        <f t="shared" si="6"/>
        <v>-0.11613229204490577</v>
      </c>
      <c r="I13" s="3057">
        <f t="shared" si="7"/>
        <v>-0.11613229204490577</v>
      </c>
      <c r="J13" s="3057">
        <f t="shared" si="8"/>
        <v>-5.6639536418350303E-2</v>
      </c>
      <c r="K13" s="3514">
        <f t="shared" si="9"/>
        <v>-0.22763035523563666</v>
      </c>
      <c r="L13" s="3106">
        <f t="shared" si="10"/>
        <v>-12.475</v>
      </c>
      <c r="M13" s="3530" t="str">
        <f>IF(SUM(M14,M16,M18,M20,M22)=0,"IE",SUM(M14,M16,M18,M20,M22))</f>
        <v>IE</v>
      </c>
      <c r="N13" s="3531">
        <f t="shared" ref="N13" si="19">IF(SUM(N14,N16,N18,N20,N22)=0,"IE",SUM(N14,N16,N18,N20,N22))</f>
        <v>-265.31329168958376</v>
      </c>
      <c r="O13" s="3532">
        <f t="shared" ref="O13" si="20">IF(SUM(O14,O16,O18,O20,O22)=0,"IE",SUM(O14,O16,O18,O20,O22))</f>
        <v>-265.31329168958376</v>
      </c>
      <c r="P13" s="3532">
        <f t="shared" ref="P13" si="21">IF(SUM(P14,P16,P18,P20,P22)=0,"IE",SUM(P14,P16,P18,P20,P22))</f>
        <v>-129.3974447788724</v>
      </c>
      <c r="Q13" s="3532">
        <f t="shared" ref="Q13" si="22">IF(SUM(Q14,Q16,Q18,Q20,Q22)=0,"IE",SUM(Q14,Q16,Q18,Q20,Q22))</f>
        <v>-519.35643453964042</v>
      </c>
      <c r="R13" s="3532">
        <f t="shared" ref="R13" si="23">IF(SUM(R14,R16,R18,R20,R22)=0,"IE",SUM(R14,R16,R18,R20,R22))</f>
        <v>-37.424999999999997</v>
      </c>
      <c r="S13" s="3534">
        <f t="shared" ref="S13" si="24">IF(SUM(S14,S16,S18,S20,S22)=0,"IE",SUM(S14,S16,S18,S20,S22))</f>
        <v>3488.8046270296873</v>
      </c>
      <c r="U13" s="493"/>
    </row>
    <row r="14" spans="2:21" ht="18" customHeight="1" x14ac:dyDescent="0.2">
      <c r="B14" s="477" t="s">
        <v>1376</v>
      </c>
      <c r="C14" s="494"/>
      <c r="D14" s="3529">
        <f>D15</f>
        <v>2271.9171639749984</v>
      </c>
      <c r="E14" s="3057">
        <f t="shared" ref="E14" si="25">E15</f>
        <v>2271.9171639749984</v>
      </c>
      <c r="F14" s="3057" t="str">
        <f t="shared" ref="F14" si="26">F15</f>
        <v>IE</v>
      </c>
      <c r="G14" s="3500" t="str">
        <f t="shared" si="5"/>
        <v>NA</v>
      </c>
      <c r="H14" s="3057">
        <f t="shared" si="6"/>
        <v>-0.11677947413601363</v>
      </c>
      <c r="I14" s="3057">
        <f t="shared" si="7"/>
        <v>-0.11677947413601363</v>
      </c>
      <c r="J14" s="3057">
        <f t="shared" si="8"/>
        <v>-5.6955177253239134E-2</v>
      </c>
      <c r="K14" s="3514">
        <f t="shared" si="9"/>
        <v>-0.21617542564634712</v>
      </c>
      <c r="L14" s="3106" t="str">
        <f t="shared" si="10"/>
        <v>NA</v>
      </c>
      <c r="M14" s="3530" t="str">
        <f t="shared" ref="M14" si="27">M15</f>
        <v>IE</v>
      </c>
      <c r="N14" s="3531">
        <f t="shared" ref="N14" si="28">N15</f>
        <v>-265.31329168958376</v>
      </c>
      <c r="O14" s="3532">
        <f t="shared" ref="O14" si="29">O15</f>
        <v>-265.31329168958376</v>
      </c>
      <c r="P14" s="3531">
        <f t="shared" ref="P14" si="30">P15</f>
        <v>-129.3974447788724</v>
      </c>
      <c r="Q14" s="3533">
        <f t="shared" ref="Q14" si="31">Q15</f>
        <v>-491.13265995553706</v>
      </c>
      <c r="R14" s="3533" t="str">
        <f t="shared" ref="R14" si="32">R15</f>
        <v>IE</v>
      </c>
      <c r="S14" s="3534">
        <f t="shared" ref="S14" si="33">S15</f>
        <v>3248.0924535546419</v>
      </c>
      <c r="U14" s="493"/>
    </row>
    <row r="15" spans="2:21" ht="18" customHeight="1" x14ac:dyDescent="0.2">
      <c r="B15" s="491"/>
      <c r="C15" s="498" t="s">
        <v>409</v>
      </c>
      <c r="D15" s="3509">
        <f>IF(SUM(E15:F15)=0,E15,SUM(E15:F15))</f>
        <v>2271.9171639749984</v>
      </c>
      <c r="E15" s="3510">
        <v>2271.9171639749984</v>
      </c>
      <c r="F15" s="3496" t="s">
        <v>274</v>
      </c>
      <c r="G15" s="3500" t="str">
        <f t="shared" si="5"/>
        <v>NA</v>
      </c>
      <c r="H15" s="3057">
        <f t="shared" si="6"/>
        <v>-0.11677947413601363</v>
      </c>
      <c r="I15" s="3057">
        <f t="shared" si="7"/>
        <v>-0.11677947413601363</v>
      </c>
      <c r="J15" s="3057">
        <f t="shared" si="8"/>
        <v>-5.6955177253239134E-2</v>
      </c>
      <c r="K15" s="3514">
        <f t="shared" si="9"/>
        <v>-0.21617542564634712</v>
      </c>
      <c r="L15" s="3106" t="str">
        <f t="shared" si="10"/>
        <v>NA</v>
      </c>
      <c r="M15" s="2917" t="s">
        <v>274</v>
      </c>
      <c r="N15" s="2917">
        <v>-265.31329168958376</v>
      </c>
      <c r="O15" s="3087">
        <f>IF(SUM(M15:N15)=0,M15,SUM(M15:N15))</f>
        <v>-265.31329168958376</v>
      </c>
      <c r="P15" s="2917">
        <v>-129.3974447788724</v>
      </c>
      <c r="Q15" s="2918">
        <v>-491.13265995553706</v>
      </c>
      <c r="R15" s="2918" t="s">
        <v>274</v>
      </c>
      <c r="S15" s="3534">
        <f>IF(SUM(O15:R15)=0,Q15,SUM(O15:R15)*-44/12)</f>
        <v>3248.0924535546419</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6" t="s">
        <v>1381</v>
      </c>
      <c r="C46" s="4507"/>
      <c r="D46" s="4507"/>
      <c r="E46" s="4507"/>
      <c r="F46" s="4507"/>
      <c r="G46" s="4507"/>
      <c r="H46" s="4507"/>
      <c r="I46" s="4507"/>
      <c r="J46" s="4507"/>
      <c r="K46" s="4507"/>
      <c r="L46" s="4507"/>
      <c r="M46" s="4507"/>
      <c r="N46" s="4507"/>
      <c r="O46" s="4507"/>
      <c r="P46" s="4507"/>
      <c r="Q46" s="4507"/>
      <c r="R46" s="4507"/>
      <c r="S46" s="45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518011.24672344781</v>
      </c>
      <c r="E10" s="3523">
        <f t="shared" ref="E10:F10" si="0">IF(SUM(E11,E15)=0,"IE",SUM(E11,E15))</f>
        <v>518010.24672344781</v>
      </c>
      <c r="F10" s="3524">
        <f t="shared" si="0"/>
        <v>1</v>
      </c>
      <c r="G10" s="3500">
        <f>IFERROR(IF(SUM($D10)=0,"NA",M10/$D10),"NA")</f>
        <v>5.0881381130474567E-3</v>
      </c>
      <c r="H10" s="3523">
        <f t="shared" ref="H10:J10" si="1">IFERROR(IF(SUM($D10)=0,"NA",N10/$D10),"NA")</f>
        <v>-1.1066060619411257E-2</v>
      </c>
      <c r="I10" s="3523">
        <f t="shared" si="1"/>
        <v>-5.9779225063638008E-3</v>
      </c>
      <c r="J10" s="3523">
        <f t="shared" si="1"/>
        <v>-5.3234147991935857E-3</v>
      </c>
      <c r="K10" s="3525">
        <f>IFERROR(IF(SUM(E10)=0,"NA",Q10/E10),"NA")</f>
        <v>-3.9110504466143359E-3</v>
      </c>
      <c r="L10" s="3524">
        <f>IFERROR(IF(SUM(F10)=0,"NA",R10/F10),"NA")</f>
        <v>-8.7249999999999996</v>
      </c>
      <c r="M10" s="3526">
        <f>IF(SUM(M11,M15)=0,"IE",SUM(M11,M15))</f>
        <v>2635.7127674408043</v>
      </c>
      <c r="N10" s="3523">
        <f t="shared" ref="N10:S10" si="2">IF(SUM(N11,N15)=0,"IE",SUM(N11,N15))</f>
        <v>-5732.3438577784746</v>
      </c>
      <c r="O10" s="3527">
        <f t="shared" si="2"/>
        <v>-3096.6310903376702</v>
      </c>
      <c r="P10" s="3523">
        <f t="shared" si="2"/>
        <v>-2757.588736956322</v>
      </c>
      <c r="Q10" s="3525">
        <f t="shared" si="2"/>
        <v>-2025.964206798543</v>
      </c>
      <c r="R10" s="3525">
        <f t="shared" si="2"/>
        <v>-8.7249999999999996</v>
      </c>
      <c r="S10" s="3528">
        <f t="shared" si="2"/>
        <v>28925.999791672632</v>
      </c>
      <c r="U10" s="2287"/>
    </row>
    <row r="11" spans="2:21" ht="18" customHeight="1" x14ac:dyDescent="0.2">
      <c r="B11" s="483" t="s">
        <v>1259</v>
      </c>
      <c r="C11" s="473"/>
      <c r="D11" s="3539">
        <f>IF(SUM(D12:D14)=0,"IE",SUM(D12:D14))</f>
        <v>504555.65426125203</v>
      </c>
      <c r="E11" s="3505">
        <f t="shared" ref="E11:F11" si="3">IF(SUM(E12:E14)=0,"IE",SUM(E12:E14))</f>
        <v>504555.65426125203</v>
      </c>
      <c r="F11" s="3506" t="str">
        <f t="shared" si="3"/>
        <v>IE</v>
      </c>
      <c r="G11" s="3539">
        <f t="shared" ref="G11:G26" si="4">IFERROR(IF(SUM($D11)=0,"NA",M11/$D11),"NA")</f>
        <v>5.2238296116211358E-3</v>
      </c>
      <c r="H11" s="3087" t="str">
        <f t="shared" ref="H11:H26" si="5">IFERROR(IF(SUM($D11)=0,"NA",N11/$D11),"NA")</f>
        <v>NA</v>
      </c>
      <c r="I11" s="3087">
        <f t="shared" ref="I11:I26" si="6">IFERROR(IF(SUM($D11)=0,"NA",O11/$D11),"NA")</f>
        <v>5.2238296116211358E-3</v>
      </c>
      <c r="J11" s="3087">
        <f t="shared" ref="J11:J26" si="7">IFERROR(IF(SUM($D11)=0,"NA",P11/$D11),"NA")</f>
        <v>-7.7559211326153846E-4</v>
      </c>
      <c r="K11" s="3507">
        <f t="shared" ref="K11:K26" si="8">IFERROR(IF(SUM(E11)=0,"NA",Q11/E11),"NA")</f>
        <v>-1.6909792875306501E-3</v>
      </c>
      <c r="L11" s="3216" t="str">
        <f t="shared" ref="L11:L26" si="9">IFERROR(IF(SUM(F11)=0,"NA",R11/F11),"NA")</f>
        <v>NA</v>
      </c>
      <c r="M11" s="3087">
        <f>IF(SUM(M12:M14)=0,"IE",SUM(M12:M14))</f>
        <v>2635.7127674408043</v>
      </c>
      <c r="N11" s="3087" t="str">
        <f t="shared" ref="N11:O11" si="10">IF(SUM(N12:N14)=0,"IE",SUM(N12:N14))</f>
        <v>IE</v>
      </c>
      <c r="O11" s="3087">
        <f t="shared" si="10"/>
        <v>2635.7127674408043</v>
      </c>
      <c r="P11" s="3087">
        <f t="shared" ref="P11" si="11">IF(SUM(P12:P14)=0,"IE",SUM(P12:P14))</f>
        <v>-391.32938614654262</v>
      </c>
      <c r="Q11" s="3507">
        <f t="shared" ref="Q11" si="12">IF(SUM(Q12:Q14)=0,"IE",SUM(Q12:Q14))</f>
        <v>-853.193160762253</v>
      </c>
      <c r="R11" s="3507" t="str">
        <f t="shared" ref="R11" si="13">IF(SUM(R12:R14)=0,"IE",SUM(R12:R14))</f>
        <v>IE</v>
      </c>
      <c r="S11" s="3508">
        <f t="shared" ref="S11" si="14">IF(SUM(S12:S14)=0,"IE",SUM(S12:S14))</f>
        <v>-5101.0308086173636</v>
      </c>
      <c r="U11" s="2423"/>
    </row>
    <row r="12" spans="2:21" ht="18" customHeight="1" x14ac:dyDescent="0.2">
      <c r="B12" s="489"/>
      <c r="C12" s="474" t="s">
        <v>1391</v>
      </c>
      <c r="D12" s="3500">
        <f>IF(SUM(E12:F12)=0,E12,SUM(E12:F12))</f>
        <v>69820.727480068104</v>
      </c>
      <c r="E12" s="3510">
        <v>69820.727480068104</v>
      </c>
      <c r="F12" s="3496" t="s">
        <v>274</v>
      </c>
      <c r="G12" s="3500">
        <f t="shared" si="4"/>
        <v>8.9324534754090211E-3</v>
      </c>
      <c r="H12" s="3057" t="str">
        <f t="shared" si="5"/>
        <v>NA</v>
      </c>
      <c r="I12" s="3057">
        <f t="shared" si="6"/>
        <v>8.9324534754090211E-3</v>
      </c>
      <c r="J12" s="3057">
        <f t="shared" si="7"/>
        <v>1.7864906950818041E-3</v>
      </c>
      <c r="K12" s="3514">
        <f t="shared" si="8"/>
        <v>7.1459627803272165E-3</v>
      </c>
      <c r="L12" s="3106" t="str">
        <f t="shared" si="9"/>
        <v>NA</v>
      </c>
      <c r="M12" s="2917">
        <v>623.67039983492043</v>
      </c>
      <c r="N12" s="2917" t="s">
        <v>274</v>
      </c>
      <c r="O12" s="3087">
        <f>IF(SUM(M12:N12)=0,M12,SUM(M12:N12))</f>
        <v>623.67039983492043</v>
      </c>
      <c r="P12" s="2917">
        <v>124.7340799669841</v>
      </c>
      <c r="Q12" s="2918">
        <v>498.93631986793639</v>
      </c>
      <c r="R12" s="2918" t="s">
        <v>274</v>
      </c>
      <c r="S12" s="3511">
        <f>IF(SUM(O12:R12)=0,Q12,SUM(O12:R12)*-44/12)</f>
        <v>-4573.5829321227493</v>
      </c>
      <c r="U12" s="2424"/>
    </row>
    <row r="13" spans="2:21" ht="18" customHeight="1" x14ac:dyDescent="0.2">
      <c r="B13" s="489"/>
      <c r="C13" s="474" t="s">
        <v>1392</v>
      </c>
      <c r="D13" s="3500">
        <f>IF(SUM(E13:F13)=0,E13,SUM(E13:F13))</f>
        <v>434734.92678118392</v>
      </c>
      <c r="E13" s="3510">
        <v>434734.92678118392</v>
      </c>
      <c r="F13" s="3496" t="s">
        <v>274</v>
      </c>
      <c r="G13" s="3500" t="str">
        <f t="shared" si="4"/>
        <v>NA</v>
      </c>
      <c r="H13" s="3057" t="str">
        <f t="shared" si="5"/>
        <v>NA</v>
      </c>
      <c r="I13" s="3057" t="str">
        <f t="shared" si="6"/>
        <v>NA</v>
      </c>
      <c r="J13" s="3057" t="str">
        <f t="shared" si="7"/>
        <v>NA</v>
      </c>
      <c r="K13" s="3514">
        <f t="shared" si="8"/>
        <v>-3.1102389003834505E-3</v>
      </c>
      <c r="L13" s="3106" t="str">
        <f t="shared" si="9"/>
        <v>NA</v>
      </c>
      <c r="M13" s="2917" t="s">
        <v>205</v>
      </c>
      <c r="N13" s="2917" t="s">
        <v>205</v>
      </c>
      <c r="O13" s="3087" t="str">
        <f>IF(SUM(M13:N13)=0,M13,SUM(M13:N13))</f>
        <v>NA</v>
      </c>
      <c r="P13" s="2917" t="s">
        <v>205</v>
      </c>
      <c r="Q13" s="2918">
        <v>-1352.1294806301894</v>
      </c>
      <c r="R13" s="2918" t="s">
        <v>274</v>
      </c>
      <c r="S13" s="3511">
        <f>IF(SUM(O13:R13)=0,Q13,SUM(O13:R13)*-44/12)</f>
        <v>4957.8080956440281</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2012.042367605884</v>
      </c>
      <c r="N14" s="2917" t="s">
        <v>274</v>
      </c>
      <c r="O14" s="3087">
        <f>IF(SUM(M14:N14)=0,M14,SUM(M14:N14))</f>
        <v>2012.042367605884</v>
      </c>
      <c r="P14" s="2917">
        <v>-516.06346611352672</v>
      </c>
      <c r="Q14" s="2918" t="s">
        <v>205</v>
      </c>
      <c r="R14" s="2918" t="s">
        <v>205</v>
      </c>
      <c r="S14" s="3511">
        <f>IF(SUM(O14:R14)=0,Q14,SUM(O14:R14)*-44/12)</f>
        <v>-5485.2559721386424</v>
      </c>
      <c r="U14" s="2424"/>
    </row>
    <row r="15" spans="2:21" ht="18" customHeight="1" x14ac:dyDescent="0.2">
      <c r="B15" s="475" t="s">
        <v>1394</v>
      </c>
      <c r="C15" s="476"/>
      <c r="D15" s="3529">
        <f>IF(SUM(D16,D19,D21,D23,D25)=0,"IE",SUM(D16,D19,D21,D23,D25))</f>
        <v>13455.592462195777</v>
      </c>
      <c r="E15" s="3531">
        <f t="shared" ref="E15:F15" si="15">IF(SUM(E16,E19,E21,E23,E25)=0,"IE",SUM(E16,E19,E21,E23,E25))</f>
        <v>13454.592462195777</v>
      </c>
      <c r="F15" s="3535">
        <f t="shared" si="15"/>
        <v>1</v>
      </c>
      <c r="G15" s="3500" t="str">
        <f t="shared" si="4"/>
        <v>NA</v>
      </c>
      <c r="H15" s="3057">
        <f t="shared" si="5"/>
        <v>-0.42601943198590536</v>
      </c>
      <c r="I15" s="3057">
        <f t="shared" si="6"/>
        <v>-0.42601943198590536</v>
      </c>
      <c r="J15" s="3057">
        <f t="shared" si="7"/>
        <v>-0.17585694256554771</v>
      </c>
      <c r="K15" s="3514">
        <f t="shared" si="8"/>
        <v>-8.7165111045280588E-2</v>
      </c>
      <c r="L15" s="3106">
        <f t="shared" si="9"/>
        <v>-8.7249999999999996</v>
      </c>
      <c r="M15" s="3530" t="str">
        <f>IF(SUM(M16,M19,M21,M23,M25)=0,"IE",SUM(M16,M19,M21,M23,M25))</f>
        <v>IE</v>
      </c>
      <c r="N15" s="3531">
        <f t="shared" ref="N15:S15" si="16">IF(SUM(N16,N19,N21,N23,N25)=0,"IE",SUM(N16,N19,N21,N23,N25))</f>
        <v>-5732.3438577784746</v>
      </c>
      <c r="O15" s="3532">
        <f t="shared" si="16"/>
        <v>-5732.3438577784746</v>
      </c>
      <c r="P15" s="3532">
        <f t="shared" si="16"/>
        <v>-2366.2593508097793</v>
      </c>
      <c r="Q15" s="3532">
        <f t="shared" si="16"/>
        <v>-1172.77104603629</v>
      </c>
      <c r="R15" s="3532">
        <f t="shared" si="16"/>
        <v>-8.7249999999999996</v>
      </c>
      <c r="S15" s="3534">
        <f t="shared" si="16"/>
        <v>34027.030600289996</v>
      </c>
      <c r="U15" s="2048"/>
    </row>
    <row r="16" spans="2:21" ht="18" customHeight="1" x14ac:dyDescent="0.2">
      <c r="B16" s="490" t="s">
        <v>1395</v>
      </c>
      <c r="C16" s="476"/>
      <c r="D16" s="3539">
        <f>IF(SUM(D17:D18)=0,"IE",SUM(D17:D18))</f>
        <v>13406.71502965923</v>
      </c>
      <c r="E16" s="3505">
        <f t="shared" ref="E16:F16" si="17">IF(SUM(E17:E18)=0,"IE",SUM(E17:E18))</f>
        <v>13406.71502965923</v>
      </c>
      <c r="F16" s="3506" t="str">
        <f t="shared" si="17"/>
        <v>IE</v>
      </c>
      <c r="G16" s="3500" t="str">
        <f t="shared" si="4"/>
        <v>NA</v>
      </c>
      <c r="H16" s="3057">
        <f t="shared" si="5"/>
        <v>-0.42757258919108826</v>
      </c>
      <c r="I16" s="3057">
        <f t="shared" si="6"/>
        <v>-0.42757258919108826</v>
      </c>
      <c r="J16" s="3057">
        <f t="shared" si="7"/>
        <v>-0.17649807171816381</v>
      </c>
      <c r="K16" s="3514">
        <f t="shared" si="8"/>
        <v>-7.8645458390346423E-2</v>
      </c>
      <c r="L16" s="3106" t="str">
        <f t="shared" si="9"/>
        <v>NA</v>
      </c>
      <c r="M16" s="3057" t="str">
        <f>IF(SUM(M17:M18)=0,"IE",SUM(M17:M18))</f>
        <v>IE</v>
      </c>
      <c r="N16" s="3057">
        <f t="shared" ref="N16:O16" si="18">IF(SUM(N17:N18)=0,"IE",SUM(N17:N18))</f>
        <v>-5732.3438577784746</v>
      </c>
      <c r="O16" s="3057">
        <f t="shared" si="18"/>
        <v>-5732.3438577784746</v>
      </c>
      <c r="P16" s="3057">
        <f t="shared" ref="P16" si="19">IF(SUM(P17:P18)=0,"IE",SUM(P17:P18))</f>
        <v>-2366.2593508097793</v>
      </c>
      <c r="Q16" s="3514">
        <f t="shared" ref="Q16" si="20">IF(SUM(Q17:Q18)=0,"IE",SUM(Q17:Q18))</f>
        <v>-1054.3772490162969</v>
      </c>
      <c r="R16" s="3514" t="str">
        <f t="shared" ref="R16" si="21">IF(SUM(R17:R18)=0,"IE",SUM(R17:R18))</f>
        <v>IE</v>
      </c>
      <c r="S16" s="3511">
        <f t="shared" ref="S16" si="22">IF(SUM(S17:S18)=0,"IE",SUM(S17:S18))</f>
        <v>33560.928344550019</v>
      </c>
      <c r="U16" s="2048"/>
    </row>
    <row r="17" spans="2:21" ht="18" customHeight="1" x14ac:dyDescent="0.2">
      <c r="B17" s="490"/>
      <c r="C17" s="474" t="s">
        <v>1396</v>
      </c>
      <c r="D17" s="3500">
        <f>IF(SUM(E17:F17)=0,E17,SUM(E17:F17))</f>
        <v>13406.71502965923</v>
      </c>
      <c r="E17" s="3510">
        <v>13406.71502965923</v>
      </c>
      <c r="F17" s="3496" t="s">
        <v>274</v>
      </c>
      <c r="G17" s="3500" t="str">
        <f t="shared" si="4"/>
        <v>NA</v>
      </c>
      <c r="H17" s="3057">
        <f t="shared" si="5"/>
        <v>-0.42619799631851307</v>
      </c>
      <c r="I17" s="3057">
        <f t="shared" si="6"/>
        <v>-0.42619799631851307</v>
      </c>
      <c r="J17" s="3057">
        <f t="shared" si="7"/>
        <v>-0.1764226060629536</v>
      </c>
      <c r="K17" s="3514">
        <f t="shared" si="8"/>
        <v>-7.8645458390346423E-2</v>
      </c>
      <c r="L17" s="3106" t="str">
        <f t="shared" si="9"/>
        <v>NA</v>
      </c>
      <c r="M17" s="2917" t="s">
        <v>274</v>
      </c>
      <c r="N17" s="2917">
        <v>-5713.9150828540587</v>
      </c>
      <c r="O17" s="3087">
        <f>IF(SUM(M17:N17)=0,M17,SUM(M17:N17))</f>
        <v>-5713.9150828540587</v>
      </c>
      <c r="P17" s="2917">
        <v>-2365.2476042758494</v>
      </c>
      <c r="Q17" s="2918">
        <v>-1054.3772490162969</v>
      </c>
      <c r="R17" s="2918" t="s">
        <v>274</v>
      </c>
      <c r="S17" s="3511">
        <f>IF(SUM(O17:R17)=0,Q17,SUM(O17:R17)*-44/12)</f>
        <v>33489.646432536087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-18.428774924415869</v>
      </c>
      <c r="O18" s="3087">
        <f>IF(SUM(M18:N18)=0,M18,SUM(M18:N18))</f>
        <v>-18.428774924415869</v>
      </c>
      <c r="P18" s="2917">
        <v>-1.0117465339297522</v>
      </c>
      <c r="Q18" s="2918" t="s">
        <v>205</v>
      </c>
      <c r="R18" s="2918" t="s">
        <v>205</v>
      </c>
      <c r="S18" s="3511">
        <f>IF(SUM(O18:R18)=0,Q18,SUM(O18:R18)*-44/12)</f>
        <v>71.281912013933947</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9" t="s">
        <v>1401</v>
      </c>
      <c r="C47" s="4510"/>
      <c r="D47" s="4510"/>
      <c r="E47" s="4510"/>
      <c r="F47" s="4510"/>
      <c r="G47" s="4510"/>
      <c r="H47" s="4510"/>
      <c r="I47" s="4510"/>
      <c r="J47" s="4510"/>
      <c r="K47" s="4510"/>
      <c r="L47" s="4510"/>
      <c r="M47" s="4510"/>
      <c r="N47" s="4510"/>
      <c r="O47" s="4510"/>
      <c r="P47" s="4510"/>
      <c r="Q47" s="4510"/>
      <c r="R47" s="4510"/>
      <c r="S47" s="45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13274.475308215089</v>
      </c>
      <c r="E10" s="3523">
        <f>IF(SUM(E11,E23)=0,"IE",SUM(E11,E23))</f>
        <v>13224.319201005366</v>
      </c>
      <c r="F10" s="3524">
        <f>IF(SUM(F11,F23)=0,"IE",SUM(F11,F23))</f>
        <v>50.156107209723245</v>
      </c>
      <c r="G10" s="4317" t="str">
        <f>IFERROR(IF(SUM($D10)=0,"NA",M10/$D10),"NA")</f>
        <v>NA</v>
      </c>
      <c r="H10" s="4318">
        <f t="shared" ref="H10:J10" si="0">IFERROR(IF(SUM($D10)=0,"NA",N10/$D10),"NA")</f>
        <v>-3.9036450995994371E-2</v>
      </c>
      <c r="I10" s="4319">
        <f t="shared" si="0"/>
        <v>-3.9036450995994371E-2</v>
      </c>
      <c r="J10" s="4318">
        <f t="shared" si="0"/>
        <v>-2.8271862095197598E-3</v>
      </c>
      <c r="K10" s="4318">
        <f>IFERROR(IF(SUM(E10)=0,"NA",Q10/E10),"NA")</f>
        <v>-1.9341931290258697E-3</v>
      </c>
      <c r="L10" s="4320" t="str">
        <f>IFERROR(IF(SUM(F10)=0,"NA",R10/F10),"NA")</f>
        <v>NA</v>
      </c>
      <c r="M10" s="4319" t="str">
        <f t="shared" ref="M10:S10" si="1">IF(SUM(M11,M23)=0,"IE",SUM(M11,M23))</f>
        <v>IE</v>
      </c>
      <c r="N10" s="4318">
        <f t="shared" si="1"/>
        <v>-518.18840486667557</v>
      </c>
      <c r="O10" s="4319">
        <f t="shared" si="1"/>
        <v>-518.18840486667557</v>
      </c>
      <c r="P10" s="4318">
        <f t="shared" si="1"/>
        <v>-37.529413529996262</v>
      </c>
      <c r="Q10" s="4321">
        <f t="shared" si="1"/>
        <v>-25.578387334629458</v>
      </c>
      <c r="R10" s="4321" t="str">
        <f t="shared" si="1"/>
        <v>IE</v>
      </c>
      <c r="S10" s="3528">
        <f t="shared" si="1"/>
        <v>2131.4194210147712</v>
      </c>
      <c r="U10" s="4322"/>
    </row>
    <row r="11" spans="1:23" ht="18" customHeight="1" x14ac:dyDescent="0.2">
      <c r="B11" s="491" t="s">
        <v>1262</v>
      </c>
      <c r="C11" s="473"/>
      <c r="D11" s="4323">
        <f>IF(SUM(D12,D14,D17)=0,"IE",SUM(D12,D14,D17))</f>
        <v>13225.383553273001</v>
      </c>
      <c r="E11" s="3542">
        <f t="shared" ref="E11:S11" si="2">IF(SUM(E12,E14,E17)=0,"IE",SUM(E12,E14,E17))</f>
        <v>13175.227446063278</v>
      </c>
      <c r="F11" s="3543">
        <f t="shared" si="2"/>
        <v>50.156107209723245</v>
      </c>
      <c r="G11" s="4324" t="str">
        <f t="shared" ref="G11:G56" si="3">IFERROR(IF(SUM($D11)=0,"NA",M11/$D11),"NA")</f>
        <v>NA</v>
      </c>
      <c r="H11" s="4325">
        <f t="shared" ref="H11:H56" si="4">IFERROR(IF(SUM($D11)=0,"NA",N11/$D11),"NA")</f>
        <v>-8.8951108959313911E-3</v>
      </c>
      <c r="I11" s="4326">
        <f t="shared" ref="I11:I56" si="5">IFERROR(IF(SUM($D11)=0,"NA",O11/$D11),"NA")</f>
        <v>-8.8951108959313911E-3</v>
      </c>
      <c r="J11" s="4325">
        <f t="shared" ref="J11:J56" si="6">IFERROR(IF(SUM($D11)=0,"NA",P11/$D11),"NA")</f>
        <v>-2.8376805390047484E-3</v>
      </c>
      <c r="K11" s="4325">
        <f t="shared" ref="K11:K56" si="7">IFERROR(IF(SUM(E11)=0,"NA",Q11/E11),"NA")</f>
        <v>-1.9414000585069376E-3</v>
      </c>
      <c r="L11" s="4327" t="str">
        <f t="shared" ref="L11:L56" si="8">IFERROR(IF(SUM(F11)=0,"NA",R11/F11),"NA")</f>
        <v>NA</v>
      </c>
      <c r="M11" s="4326" t="str">
        <f t="shared" si="2"/>
        <v>IE</v>
      </c>
      <c r="N11" s="4325">
        <f t="shared" si="2"/>
        <v>-117.64125334759048</v>
      </c>
      <c r="O11" s="4326">
        <f t="shared" si="2"/>
        <v>-117.64125334759048</v>
      </c>
      <c r="P11" s="4325">
        <f t="shared" si="2"/>
        <v>-37.529413529996262</v>
      </c>
      <c r="Q11" s="4328">
        <f t="shared" si="2"/>
        <v>-25.578387334629458</v>
      </c>
      <c r="R11" s="4328" t="str">
        <f t="shared" si="2"/>
        <v>IE</v>
      </c>
      <c r="S11" s="3544">
        <f t="shared" si="2"/>
        <v>662.74653211145937</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773.69159083423187</v>
      </c>
      <c r="E14" s="3505">
        <f>IF(SUM(E15:E16)=0,"IE",SUM(E15:E16))</f>
        <v>773.69159083423187</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546.52140000000009</v>
      </c>
      <c r="E15" s="3510">
        <v>546.52140000000009</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12451.691962438768</v>
      </c>
      <c r="E17" s="3505">
        <f>IF(SUM(E18:E21)=0,"IE",SUM(E18:E21))</f>
        <v>12401.535855229045</v>
      </c>
      <c r="F17" s="3506">
        <f>IF(SUM(F18:F21)=0,"IE",SUM(F18:F21))</f>
        <v>50.156107209723245</v>
      </c>
      <c r="G17" s="3545" t="str">
        <f t="shared" si="3"/>
        <v>NA</v>
      </c>
      <c r="H17" s="3531">
        <f t="shared" si="4"/>
        <v>-9.4478126910352393E-3</v>
      </c>
      <c r="I17" s="3546">
        <f t="shared" si="5"/>
        <v>-9.4478126910352393E-3</v>
      </c>
      <c r="J17" s="3531">
        <f t="shared" si="6"/>
        <v>-3.0140011207477552E-3</v>
      </c>
      <c r="K17" s="3531">
        <f t="shared" si="7"/>
        <v>-2.0625177101628472E-3</v>
      </c>
      <c r="L17" s="3535" t="str">
        <f t="shared" si="8"/>
        <v>NA</v>
      </c>
      <c r="M17" s="3505" t="str">
        <f t="shared" ref="M17:S17" si="16">IF(SUM(M18:M21)=0,"IE",SUM(M18:M21))</f>
        <v>IE</v>
      </c>
      <c r="N17" s="4325">
        <f t="shared" si="16"/>
        <v>-117.64125334759048</v>
      </c>
      <c r="O17" s="4326">
        <f t="shared" si="16"/>
        <v>-117.64125334759048</v>
      </c>
      <c r="P17" s="4325">
        <f t="shared" si="16"/>
        <v>-37.529413529996262</v>
      </c>
      <c r="Q17" s="4328">
        <f t="shared" si="16"/>
        <v>-25.578387334629458</v>
      </c>
      <c r="R17" s="4328" t="str">
        <f t="shared" si="16"/>
        <v>IE</v>
      </c>
      <c r="S17" s="4332">
        <f t="shared" si="16"/>
        <v>662.74653211145937</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-1.8620485076223443E-2</v>
      </c>
      <c r="I18" s="3554">
        <f t="shared" si="5"/>
        <v>-1.8620485076223443E-2</v>
      </c>
      <c r="J18" s="3553">
        <f t="shared" si="6"/>
        <v>-3.7240970152446896E-3</v>
      </c>
      <c r="K18" s="3553">
        <f t="shared" si="7"/>
        <v>-1.4896388060978758E-2</v>
      </c>
      <c r="L18" s="3555" t="str">
        <f t="shared" si="8"/>
        <v>NA</v>
      </c>
      <c r="M18" s="3547" t="s">
        <v>274</v>
      </c>
      <c r="N18" s="3548">
        <v>-31.972984168286814</v>
      </c>
      <c r="O18" s="3087">
        <f>IF(SUM(M18:N18)=0,M18,SUM(M18:N18))</f>
        <v>-31.972984168286814</v>
      </c>
      <c r="P18" s="3548">
        <v>-6.3945968336573644</v>
      </c>
      <c r="Q18" s="3549">
        <v>-25.578387334629458</v>
      </c>
      <c r="R18" s="3556" t="s">
        <v>274</v>
      </c>
      <c r="S18" s="3511">
        <f>IF(SUM(O18:R18)=0,Q18,SUM(O18:R18)*-44/12)</f>
        <v>234.46855056743667</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-85.668269179303664</v>
      </c>
      <c r="O19" s="3087">
        <f t="shared" ref="O19:O22" si="18">IF(SUM(M19:N19)=0,M19,SUM(M19:N19))</f>
        <v>-85.668269179303664</v>
      </c>
      <c r="P19" s="3548">
        <v>-31.134816696338895</v>
      </c>
      <c r="Q19" s="3551" t="s">
        <v>205</v>
      </c>
      <c r="R19" s="3550" t="s">
        <v>205</v>
      </c>
      <c r="S19" s="3511">
        <f t="shared" ref="S19:S22" si="19">IF(SUM(O19:R19)=0,Q19,SUM(O19:R19)*-44/12)</f>
        <v>428.27798154402268</v>
      </c>
      <c r="T19" s="2519"/>
      <c r="U19" s="2699"/>
      <c r="V19" s="2519"/>
      <c r="W19" s="2519"/>
    </row>
    <row r="20" spans="1:23" ht="18" customHeight="1" x14ac:dyDescent="0.2">
      <c r="A20" s="2519"/>
      <c r="B20" s="2698"/>
      <c r="C20" s="4316" t="s">
        <v>1414</v>
      </c>
      <c r="D20" s="3500">
        <f t="shared" si="17"/>
        <v>10684.449321908105</v>
      </c>
      <c r="E20" s="4335">
        <v>10684.449321908105</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50.156107209723245</v>
      </c>
      <c r="E21" s="3505" t="str">
        <f t="shared" ref="E21:F21" si="20">E22</f>
        <v>IE</v>
      </c>
      <c r="F21" s="3506">
        <f t="shared" si="20"/>
        <v>50.156107209723245</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50.156107209723245</v>
      </c>
      <c r="E22" s="3510" t="s">
        <v>274</v>
      </c>
      <c r="F22" s="3496">
        <v>50.156107209723245</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49.091754942088947</v>
      </c>
      <c r="E23" s="3531">
        <f t="shared" ref="E23:F23" si="22">IF(SUM(E24,E35,E46)=0,"IE",SUM(E24,E35,E46))</f>
        <v>49.091754942088947</v>
      </c>
      <c r="F23" s="3535" t="str">
        <f t="shared" si="22"/>
        <v>IE</v>
      </c>
      <c r="G23" s="3545" t="str">
        <f t="shared" si="3"/>
        <v>NA</v>
      </c>
      <c r="H23" s="3531">
        <f t="shared" si="4"/>
        <v>-8.1591532425677222</v>
      </c>
      <c r="I23" s="3546">
        <f t="shared" si="5"/>
        <v>-8.1591532425677222</v>
      </c>
      <c r="J23" s="3531" t="str">
        <f t="shared" si="6"/>
        <v>NA</v>
      </c>
      <c r="K23" s="3531" t="str">
        <f t="shared" si="7"/>
        <v>NA</v>
      </c>
      <c r="L23" s="3535" t="str">
        <f t="shared" si="8"/>
        <v>NA</v>
      </c>
      <c r="M23" s="3531" t="str">
        <f t="shared" ref="M23" si="23">IF(SUM(M24,M35,M46)=0,"IE",SUM(M24,M35,M46))</f>
        <v>IE</v>
      </c>
      <c r="N23" s="3531">
        <f t="shared" ref="N23" si="24">IF(SUM(N24,N35,N46)=0,"IE",SUM(N24,N35,N46))</f>
        <v>-400.54715151908505</v>
      </c>
      <c r="O23" s="3546">
        <f t="shared" ref="O23" si="25">IF(SUM(O24,O35,O46)=0,"IE",SUM(O24,O35,O46))</f>
        <v>-400.54715151908505</v>
      </c>
      <c r="P23" s="3531" t="str">
        <f>IF(SUM(P24,P35,P46)=0,"NO",SUM(P24,P35,P46))</f>
        <v>NO</v>
      </c>
      <c r="Q23" s="3530" t="str">
        <f>IF(SUM(Q24,Q35,Q46)=0,"NO",SUM(Q24,Q35,Q46))</f>
        <v>NO</v>
      </c>
      <c r="R23" s="3530" t="str">
        <f>IF(SUM(R24,R35,R46)=0,"NO",SUM(R24,R35,R46))</f>
        <v>NO</v>
      </c>
      <c r="S23" s="3534">
        <f t="shared" ref="S23" si="26">IF(SUM(S24,S35,S46)=0,"IE",SUM(S24,S35,S46))</f>
        <v>1468.6728889033118</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49.091754942088947</v>
      </c>
      <c r="E35" s="3531">
        <f>IF(SUM(E36,E38,E40,E42,E44)=0,"IE",SUM(E36,E38,E40,E42,E44))</f>
        <v>49.091754942088947</v>
      </c>
      <c r="F35" s="3535" t="str">
        <f>IF(SUM(F36,F38,F40,F42,F44)=0,"IE",SUM(F36,F38,F40,F42,F44))</f>
        <v>IE</v>
      </c>
      <c r="G35" s="3545" t="str">
        <f t="shared" si="3"/>
        <v>NA</v>
      </c>
      <c r="H35" s="3531">
        <f t="shared" si="4"/>
        <v>-8.1591532425677222</v>
      </c>
      <c r="I35" s="3546">
        <f t="shared" si="5"/>
        <v>-8.1591532425677222</v>
      </c>
      <c r="J35" s="3531" t="str">
        <f t="shared" si="6"/>
        <v>NA</v>
      </c>
      <c r="K35" s="3531" t="str">
        <f t="shared" si="7"/>
        <v>NA</v>
      </c>
      <c r="L35" s="3535" t="str">
        <f t="shared" si="8"/>
        <v>NA</v>
      </c>
      <c r="M35" s="3531" t="str">
        <f t="shared" ref="M35:S35" si="48">IF(SUM(M36,M38,M40,M42,M44)=0,"IE",SUM(M36,M38,M40,M42,M44))</f>
        <v>IE</v>
      </c>
      <c r="N35" s="3531">
        <f t="shared" si="48"/>
        <v>-400.54715151908505</v>
      </c>
      <c r="O35" s="3546">
        <f t="shared" si="48"/>
        <v>-400.54715151908505</v>
      </c>
      <c r="P35" s="3531" t="str">
        <f>IF(SUM(P36,P38,P40,P42,P44)=0,"NO",SUM(P36,P38,P40,P42,P44))</f>
        <v>NO</v>
      </c>
      <c r="Q35" s="3530" t="str">
        <f>IF(SUM(Q36,Q38,Q40,Q42,Q44)=0,"NO",SUM(Q36,Q38,Q40,Q42,Q44))</f>
        <v>NO</v>
      </c>
      <c r="R35" s="3530" t="str">
        <f>IF(SUM(R36,R38,R40,R42,R44)=0,"NO",SUM(R36,R38,R40,R42,R44))</f>
        <v>NO</v>
      </c>
      <c r="S35" s="3534">
        <f t="shared" si="48"/>
        <v>1468.6728889033118</v>
      </c>
      <c r="U35" s="493"/>
    </row>
    <row r="36" spans="2:21" ht="18" customHeight="1" x14ac:dyDescent="0.2">
      <c r="B36" s="495" t="s">
        <v>1424</v>
      </c>
      <c r="C36" s="476"/>
      <c r="D36" s="3500">
        <f>D37</f>
        <v>49.091754942088947</v>
      </c>
      <c r="E36" s="3505">
        <f t="shared" ref="E36:F36" si="49">E37</f>
        <v>49.091754942088947</v>
      </c>
      <c r="F36" s="3506" t="str">
        <f t="shared" si="49"/>
        <v>IE</v>
      </c>
      <c r="G36" s="3500" t="str">
        <f t="shared" si="3"/>
        <v>NA</v>
      </c>
      <c r="H36" s="3057">
        <f t="shared" si="4"/>
        <v>-8.1591532425677222</v>
      </c>
      <c r="I36" s="3057">
        <f t="shared" si="5"/>
        <v>-8.1591532425677222</v>
      </c>
      <c r="J36" s="3057" t="str">
        <f t="shared" si="6"/>
        <v>NA</v>
      </c>
      <c r="K36" s="3514" t="str">
        <f t="shared" si="7"/>
        <v>NA</v>
      </c>
      <c r="L36" s="3106" t="str">
        <f t="shared" si="8"/>
        <v>NA</v>
      </c>
      <c r="M36" s="4170" t="str">
        <f t="shared" ref="M36:S36" si="50">M37</f>
        <v>IE</v>
      </c>
      <c r="N36" s="3057">
        <f t="shared" si="50"/>
        <v>-400.54715151908505</v>
      </c>
      <c r="O36" s="3057">
        <f t="shared" si="50"/>
        <v>-400.54715151908505</v>
      </c>
      <c r="P36" s="3057" t="str">
        <f t="shared" si="50"/>
        <v>NA</v>
      </c>
      <c r="Q36" s="3514" t="str">
        <f t="shared" si="50"/>
        <v>NA</v>
      </c>
      <c r="R36" s="3514" t="str">
        <f t="shared" si="50"/>
        <v>NA</v>
      </c>
      <c r="S36" s="3511">
        <f t="shared" si="50"/>
        <v>1468.6728889033118</v>
      </c>
      <c r="U36" s="4329"/>
    </row>
    <row r="37" spans="2:21" ht="18" customHeight="1" x14ac:dyDescent="0.2">
      <c r="B37" s="1478"/>
      <c r="C37" s="4330" t="s">
        <v>409</v>
      </c>
      <c r="D37" s="3500">
        <f>IF(SUM(E37:F37)=0,E37,SUM(E37:F37))</f>
        <v>49.091754942088947</v>
      </c>
      <c r="E37" s="3510">
        <v>49.091754942088947</v>
      </c>
      <c r="F37" s="3496" t="s">
        <v>274</v>
      </c>
      <c r="G37" s="3545" t="str">
        <f t="shared" si="3"/>
        <v>NA</v>
      </c>
      <c r="H37" s="3531">
        <f t="shared" si="4"/>
        <v>-8.1591532425677222</v>
      </c>
      <c r="I37" s="3546">
        <f t="shared" si="5"/>
        <v>-8.1591532425677222</v>
      </c>
      <c r="J37" s="3531" t="str">
        <f t="shared" si="6"/>
        <v>NA</v>
      </c>
      <c r="K37" s="3531" t="str">
        <f t="shared" si="7"/>
        <v>NA</v>
      </c>
      <c r="L37" s="3535" t="str">
        <f t="shared" si="8"/>
        <v>NA</v>
      </c>
      <c r="M37" s="3547" t="s">
        <v>274</v>
      </c>
      <c r="N37" s="3548">
        <v>-400.54715151908505</v>
      </c>
      <c r="O37" s="3087">
        <f t="shared" ref="O37" si="51">IF(SUM(M37:N37)=0,M37,SUM(M37:N37))</f>
        <v>-400.54715151908505</v>
      </c>
      <c r="P37" s="3548" t="s">
        <v>205</v>
      </c>
      <c r="Q37" s="3549" t="s">
        <v>205</v>
      </c>
      <c r="R37" s="3549" t="s">
        <v>205</v>
      </c>
      <c r="S37" s="3511">
        <f t="shared" ref="S37" si="52">IF(SUM(O37:R37)=0,Q37,SUM(O37:R37)*-44/12)</f>
        <v>1468.6728889033118</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7" t="s">
        <v>1435</v>
      </c>
      <c r="C80" s="4528"/>
      <c r="D80" s="4528"/>
      <c r="E80" s="4528"/>
      <c r="F80" s="4528"/>
      <c r="G80" s="4528"/>
      <c r="H80" s="4528"/>
      <c r="I80" s="4528"/>
      <c r="J80" s="4528"/>
      <c r="K80" s="4528"/>
      <c r="L80" s="4528"/>
      <c r="M80" s="4528"/>
      <c r="N80" s="4528"/>
      <c r="O80" s="4528"/>
      <c r="P80" s="4528"/>
      <c r="Q80" s="4528"/>
      <c r="R80" s="4528"/>
      <c r="S80" s="45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1589.6608577282436</v>
      </c>
      <c r="E10" s="3523">
        <f t="shared" ref="E10:F10" si="0">IF(SUM(E11,E13)=0,"IE",SUM(E11,E13))</f>
        <v>1502.1981425072977</v>
      </c>
      <c r="F10" s="3524">
        <f t="shared" si="0"/>
        <v>87.462715220945896</v>
      </c>
      <c r="G10" s="3522">
        <f>IFERROR(IF(SUM($D10)=0,"NA",M10/$D10),"NA")</f>
        <v>3.20149224893869E-2</v>
      </c>
      <c r="H10" s="3523">
        <f t="shared" ref="H10:J10" si="1">IFERROR(IF(SUM($D10)=0,"NA",N10/$D10),"NA")</f>
        <v>-0.95042914058386119</v>
      </c>
      <c r="I10" s="3523">
        <f t="shared" si="1"/>
        <v>-0.91841421809447432</v>
      </c>
      <c r="J10" s="3523">
        <f t="shared" si="1"/>
        <v>0.36004170753661657</v>
      </c>
      <c r="K10" s="3525">
        <f>IFERROR(IF(SUM(E10)=0,"NA",Q10/E10),"NA")</f>
        <v>-0.11109091812394717</v>
      </c>
      <c r="L10" s="3524">
        <f>IFERROR(IF(SUM(F10)=0,"NA",R10/F10),"NA")</f>
        <v>7.2255851818527851E-3</v>
      </c>
      <c r="M10" s="3526">
        <f>IF(SUM(M11,M13)=0,"IE",SUM(M11,M13))</f>
        <v>50.892869144582022</v>
      </c>
      <c r="N10" s="3523">
        <f t="shared" ref="N10:S10" si="2">IF(SUM(N11,N13)=0,"IE",SUM(N11,N13))</f>
        <v>-1510.8600028304581</v>
      </c>
      <c r="O10" s="3527">
        <f t="shared" si="2"/>
        <v>-1459.9671336858762</v>
      </c>
      <c r="P10" s="3523">
        <f t="shared" si="2"/>
        <v>572.34420962059937</v>
      </c>
      <c r="Q10" s="3525">
        <f t="shared" si="2"/>
        <v>-166.88057085522374</v>
      </c>
      <c r="R10" s="3525">
        <f t="shared" si="2"/>
        <v>0.63196929906507671</v>
      </c>
      <c r="S10" s="3528">
        <f t="shared" si="2"/>
        <v>3864.1955939452637</v>
      </c>
      <c r="U10" s="2287"/>
    </row>
    <row r="11" spans="2:21" ht="18" customHeight="1" x14ac:dyDescent="0.2">
      <c r="B11" s="483" t="s">
        <v>1265</v>
      </c>
      <c r="C11" s="2282"/>
      <c r="D11" s="3529">
        <f>D12</f>
        <v>1088.100839341</v>
      </c>
      <c r="E11" s="3057">
        <f t="shared" ref="E11:F11" si="3">E12</f>
        <v>1088.100839341</v>
      </c>
      <c r="F11" s="3057" t="str">
        <f t="shared" si="3"/>
        <v>IE</v>
      </c>
      <c r="G11" s="3500" t="str">
        <f t="shared" ref="G11:G24" si="4">IFERROR(IF(SUM($D11)=0,"NA",M11/$D11),"NA")</f>
        <v>NA</v>
      </c>
      <c r="H11" s="3057">
        <f t="shared" ref="H11:H24" si="5">IFERROR(IF(SUM($D11)=0,"NA",N11/$D11),"NA")</f>
        <v>-8.6537637255433466E-4</v>
      </c>
      <c r="I11" s="3057">
        <f t="shared" ref="I11:I24" si="6">IFERROR(IF(SUM($D11)=0,"NA",O11/$D11),"NA")</f>
        <v>-8.6537637255433466E-4</v>
      </c>
      <c r="J11" s="3057">
        <f t="shared" ref="J11:J24" si="7">IFERROR(IF(SUM($D11)=0,"NA",P11/$D11),"NA")</f>
        <v>-1.7307527451086691E-4</v>
      </c>
      <c r="K11" s="3514">
        <f t="shared" ref="K11:K24" si="8">IFERROR(IF(SUM(E11)=0,"NA",Q11/E11),"NA")</f>
        <v>-6.9230109804346764E-4</v>
      </c>
      <c r="L11" s="3106" t="str">
        <f t="shared" ref="L11:L24" si="9">IFERROR(IF(SUM(F11)=0,"NA",R11/F11),"NA")</f>
        <v>NA</v>
      </c>
      <c r="M11" s="3530" t="str">
        <f t="shared" ref="M11:S11" si="10">M12</f>
        <v>IE</v>
      </c>
      <c r="N11" s="3531">
        <f t="shared" si="10"/>
        <v>-0.94161675732224148</v>
      </c>
      <c r="O11" s="3532">
        <f t="shared" si="10"/>
        <v>-0.94161675732224148</v>
      </c>
      <c r="P11" s="3531">
        <f t="shared" si="10"/>
        <v>-0.18832335146444826</v>
      </c>
      <c r="Q11" s="3533">
        <f t="shared" si="10"/>
        <v>-0.75329340585779303</v>
      </c>
      <c r="R11" s="3533" t="str">
        <f t="shared" si="10"/>
        <v>IE</v>
      </c>
      <c r="S11" s="3534">
        <f t="shared" si="10"/>
        <v>6.9051895536964372</v>
      </c>
      <c r="U11" s="2423"/>
    </row>
    <row r="12" spans="2:21" ht="18" customHeight="1" x14ac:dyDescent="0.2">
      <c r="B12" s="491"/>
      <c r="C12" s="4330" t="s">
        <v>409</v>
      </c>
      <c r="D12" s="3500">
        <f>IF(SUM(E12:F12)=0,E12,SUM(E12:F12))</f>
        <v>1088.100839341</v>
      </c>
      <c r="E12" s="3510">
        <v>1088.100839341</v>
      </c>
      <c r="F12" s="3496" t="s">
        <v>274</v>
      </c>
      <c r="G12" s="3500" t="str">
        <f t="shared" si="4"/>
        <v>NA</v>
      </c>
      <c r="H12" s="3057">
        <f t="shared" si="5"/>
        <v>-8.6537637255433466E-4</v>
      </c>
      <c r="I12" s="3057">
        <f t="shared" si="6"/>
        <v>-8.6537637255433466E-4</v>
      </c>
      <c r="J12" s="3057">
        <f t="shared" si="7"/>
        <v>-1.7307527451086691E-4</v>
      </c>
      <c r="K12" s="3514">
        <f t="shared" si="8"/>
        <v>-6.9230109804346764E-4</v>
      </c>
      <c r="L12" s="3106" t="str">
        <f t="shared" si="9"/>
        <v>NA</v>
      </c>
      <c r="M12" s="2917" t="s">
        <v>274</v>
      </c>
      <c r="N12" s="2917">
        <v>-0.94161675732224148</v>
      </c>
      <c r="O12" s="3087">
        <f>IF(SUM(M12:N12)=0,M12,SUM(M12:N12))</f>
        <v>-0.94161675732224148</v>
      </c>
      <c r="P12" s="2917">
        <v>-0.18832335146444826</v>
      </c>
      <c r="Q12" s="2918">
        <v>-0.75329340585779303</v>
      </c>
      <c r="R12" s="2918" t="s">
        <v>274</v>
      </c>
      <c r="S12" s="3511">
        <f>IF(SUM(O12:R12)=0,Q12,SUM(O12:R12)*-44/12)</f>
        <v>6.9051895536964372</v>
      </c>
      <c r="U12" s="2424"/>
    </row>
    <row r="13" spans="2:21" ht="18" customHeight="1" x14ac:dyDescent="0.2">
      <c r="B13" s="483" t="s">
        <v>1266</v>
      </c>
      <c r="C13" s="494"/>
      <c r="D13" s="3529">
        <f>IF(SUM(D14,D17,D19,D21,D23)=0,"IE",SUM(D14,D17,D19,D21,D23))</f>
        <v>501.5600183872437</v>
      </c>
      <c r="E13" s="3531">
        <f t="shared" ref="E13:S13" si="11">IF(SUM(E14,E17,E19,E21,E23)=0,"IE",SUM(E14,E17,E19,E21,E23))</f>
        <v>414.09730316629782</v>
      </c>
      <c r="F13" s="3535">
        <f t="shared" si="11"/>
        <v>87.462715220945896</v>
      </c>
      <c r="G13" s="3500">
        <f t="shared" si="4"/>
        <v>0.10146915080716967</v>
      </c>
      <c r="H13" s="3057">
        <f t="shared" si="5"/>
        <v>-3.0104440759218578</v>
      </c>
      <c r="I13" s="3057">
        <f t="shared" si="6"/>
        <v>-2.9089749251146886</v>
      </c>
      <c r="J13" s="3057">
        <f t="shared" si="7"/>
        <v>1.1415035329431378</v>
      </c>
      <c r="K13" s="3514">
        <f t="shared" si="8"/>
        <v>-0.40117932712701271</v>
      </c>
      <c r="L13" s="3106">
        <f t="shared" si="9"/>
        <v>7.2255851818527851E-3</v>
      </c>
      <c r="M13" s="3057">
        <f t="shared" si="11"/>
        <v>50.892869144582022</v>
      </c>
      <c r="N13" s="3057">
        <f t="shared" si="11"/>
        <v>-1509.9183860731359</v>
      </c>
      <c r="O13" s="3057">
        <f t="shared" si="11"/>
        <v>-1459.025516928554</v>
      </c>
      <c r="P13" s="3057">
        <f t="shared" si="11"/>
        <v>572.53253297206379</v>
      </c>
      <c r="Q13" s="3514">
        <f t="shared" si="11"/>
        <v>-166.12727744936595</v>
      </c>
      <c r="R13" s="3514">
        <f t="shared" si="11"/>
        <v>0.63196929906507671</v>
      </c>
      <c r="S13" s="3511">
        <f t="shared" si="11"/>
        <v>3857.2904043915673</v>
      </c>
      <c r="U13" s="2048"/>
    </row>
    <row r="14" spans="2:21" ht="18" customHeight="1" x14ac:dyDescent="0.2">
      <c r="B14" s="485" t="s">
        <v>1440</v>
      </c>
      <c r="C14" s="494"/>
      <c r="D14" s="3539">
        <f>IF(SUM(D15:D16)=0,"IE",SUM(D15:D16))</f>
        <v>501.5600183872437</v>
      </c>
      <c r="E14" s="3505">
        <f t="shared" ref="E14:F14" si="12">IF(SUM(E15:E16)=0,"IE",SUM(E15:E16))</f>
        <v>414.09730316629782</v>
      </c>
      <c r="F14" s="3506">
        <f t="shared" si="12"/>
        <v>87.462715220945896</v>
      </c>
      <c r="G14" s="3500">
        <f t="shared" si="4"/>
        <v>0.10146915080716967</v>
      </c>
      <c r="H14" s="3057">
        <f t="shared" si="5"/>
        <v>-3.0104440759218578</v>
      </c>
      <c r="I14" s="3057">
        <f t="shared" si="6"/>
        <v>-2.9089749251146886</v>
      </c>
      <c r="J14" s="3057">
        <f t="shared" si="7"/>
        <v>1.1415035329431378</v>
      </c>
      <c r="K14" s="3514">
        <f t="shared" si="8"/>
        <v>-0.40117932712701271</v>
      </c>
      <c r="L14" s="3106">
        <f t="shared" si="9"/>
        <v>7.2255851818527851E-3</v>
      </c>
      <c r="M14" s="3057">
        <f>IF(SUM(M15:M16)=0,"IE",SUM(M15:M16))</f>
        <v>50.892869144582022</v>
      </c>
      <c r="N14" s="3057">
        <f t="shared" ref="N14:S14" si="13">IF(SUM(N15:N16)=0,"IE",SUM(N15:N16))</f>
        <v>-1509.9183860731359</v>
      </c>
      <c r="O14" s="3057">
        <f t="shared" si="13"/>
        <v>-1459.025516928554</v>
      </c>
      <c r="P14" s="3057">
        <f t="shared" si="13"/>
        <v>572.53253297206379</v>
      </c>
      <c r="Q14" s="3514">
        <f t="shared" si="13"/>
        <v>-166.12727744936595</v>
      </c>
      <c r="R14" s="3514">
        <f t="shared" si="13"/>
        <v>0.63196929906507671</v>
      </c>
      <c r="S14" s="3511">
        <f t="shared" si="13"/>
        <v>3857.2904043915673</v>
      </c>
      <c r="U14" s="2048"/>
    </row>
    <row r="15" spans="2:21" ht="18" customHeight="1" x14ac:dyDescent="0.2">
      <c r="B15" s="486"/>
      <c r="C15" s="498" t="s">
        <v>1441</v>
      </c>
      <c r="D15" s="3500">
        <f>IF(SUM(E15:F15)=0,E15,SUM(E15:F15))</f>
        <v>87.462715220945896</v>
      </c>
      <c r="E15" s="3510" t="s">
        <v>199</v>
      </c>
      <c r="F15" s="3496">
        <v>87.462715220945896</v>
      </c>
      <c r="G15" s="3500" t="str">
        <f t="shared" si="4"/>
        <v>NA</v>
      </c>
      <c r="H15" s="3057">
        <f t="shared" si="5"/>
        <v>-17.263566335195765</v>
      </c>
      <c r="I15" s="3057">
        <f t="shared" si="6"/>
        <v>-17.263566335195765</v>
      </c>
      <c r="J15" s="3057">
        <f t="shared" si="7"/>
        <v>7.9922745616119482</v>
      </c>
      <c r="K15" s="3514" t="str">
        <f t="shared" si="8"/>
        <v>NA</v>
      </c>
      <c r="L15" s="3106">
        <f t="shared" si="9"/>
        <v>7.2255851818527851E-3</v>
      </c>
      <c r="M15" s="2917" t="s">
        <v>274</v>
      </c>
      <c r="N15" s="2917">
        <v>-1509.9183860731359</v>
      </c>
      <c r="O15" s="3087">
        <f>IF(SUM(M15:N15)=0,M15,SUM(M15:N15))</f>
        <v>-1509.9183860731359</v>
      </c>
      <c r="P15" s="2917">
        <v>699.02603394987602</v>
      </c>
      <c r="Q15" s="2918" t="s">
        <v>199</v>
      </c>
      <c r="R15" s="2918">
        <v>0.63196929906507671</v>
      </c>
      <c r="S15" s="3511">
        <f>IF(SUM(O15:R15)=0,Q15,SUM(O15:R15)*-44/12)</f>
        <v>2970.954737022048</v>
      </c>
      <c r="U15" s="2048"/>
    </row>
    <row r="16" spans="2:21" ht="18" customHeight="1" x14ac:dyDescent="0.2">
      <c r="B16" s="484"/>
      <c r="C16" s="498" t="s">
        <v>1442</v>
      </c>
      <c r="D16" s="3500">
        <f>IF(SUM(E16:F16)=0,E16,SUM(E16:F16))</f>
        <v>414.09730316629782</v>
      </c>
      <c r="E16" s="3510">
        <v>414.09730316629782</v>
      </c>
      <c r="F16" s="3496" t="s">
        <v>274</v>
      </c>
      <c r="G16" s="3500">
        <f t="shared" si="4"/>
        <v>0.12290075003010559</v>
      </c>
      <c r="H16" s="3057" t="str">
        <f t="shared" si="5"/>
        <v>NA</v>
      </c>
      <c r="I16" s="3057">
        <f t="shared" si="6"/>
        <v>0.12290075003010559</v>
      </c>
      <c r="J16" s="3057">
        <f t="shared" si="7"/>
        <v>-0.3054680627248943</v>
      </c>
      <c r="K16" s="3514">
        <f t="shared" si="8"/>
        <v>-0.40117932712701271</v>
      </c>
      <c r="L16" s="3106" t="str">
        <f t="shared" si="9"/>
        <v>NA</v>
      </c>
      <c r="M16" s="2917">
        <v>50.892869144582022</v>
      </c>
      <c r="N16" s="2917" t="s">
        <v>274</v>
      </c>
      <c r="O16" s="3087">
        <f>IF(SUM(M16:N16)=0,M16,SUM(M16:N16))</f>
        <v>50.892869144582022</v>
      </c>
      <c r="P16" s="2917">
        <v>-126.49350097781223</v>
      </c>
      <c r="Q16" s="2918">
        <v>-166.12727744936595</v>
      </c>
      <c r="R16" s="2918" t="s">
        <v>274</v>
      </c>
      <c r="S16" s="3511">
        <f>IF(SUM(O16:R16)=0,Q16,SUM(O16:R16)*-44/12)</f>
        <v>886.33566736951923</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30"/>
      <c r="W29" s="4530"/>
      <c r="X29" s="4530"/>
      <c r="Y29" s="4530"/>
      <c r="Z29" s="4530"/>
      <c r="AA29" s="4530"/>
      <c r="AB29" s="4530"/>
      <c r="AC29" s="4530"/>
      <c r="AD29" s="4530"/>
      <c r="AE29" s="4530"/>
      <c r="AF29" s="4530"/>
      <c r="AG29" s="4530"/>
      <c r="AH29" s="4530"/>
      <c r="AI29" s="4530"/>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9" t="s">
        <v>1501</v>
      </c>
      <c r="C53" s="4510"/>
      <c r="D53" s="4510"/>
      <c r="E53" s="4510"/>
      <c r="F53" s="4510"/>
      <c r="G53" s="4510"/>
      <c r="H53" s="4510"/>
      <c r="I53" s="4510"/>
      <c r="J53" s="4510"/>
      <c r="K53" s="4510"/>
      <c r="L53" s="4511"/>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1"/>
      <c r="C55" s="4531"/>
      <c r="D55" s="4531"/>
      <c r="E55" s="4531"/>
      <c r="F55" s="4531"/>
      <c r="G55" s="4531"/>
      <c r="H55" s="4531"/>
      <c r="I55" s="45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2" t="s">
        <v>1505</v>
      </c>
      <c r="C8" s="2474" t="s">
        <v>1312</v>
      </c>
      <c r="D8" s="2838" t="s">
        <v>1506</v>
      </c>
      <c r="E8" s="910" t="s">
        <v>1507</v>
      </c>
      <c r="F8" s="909" t="s">
        <v>1508</v>
      </c>
      <c r="G8" s="511" t="s">
        <v>1509</v>
      </c>
      <c r="H8" s="512" t="s">
        <v>1510</v>
      </c>
      <c r="I8" s="512" t="s">
        <v>1511</v>
      </c>
      <c r="J8" s="513" t="s">
        <v>1512</v>
      </c>
    </row>
    <row r="9" spans="2:10" ht="15" thickBot="1" x14ac:dyDescent="0.3">
      <c r="B9" s="4533"/>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70.889634140804773</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70.889634140804773</v>
      </c>
    </row>
    <row r="270" spans="2:10" ht="18" customHeight="1" x14ac:dyDescent="0.2">
      <c r="B270" s="2842" t="s">
        <v>1550</v>
      </c>
      <c r="C270" s="2843"/>
      <c r="D270" s="2823"/>
      <c r="E270" s="2824"/>
      <c r="F270" s="2825"/>
      <c r="G270" s="2826"/>
      <c r="H270" s="2834" t="s">
        <v>221</v>
      </c>
      <c r="I270" s="2830" t="s">
        <v>221</v>
      </c>
      <c r="J270" s="3659">
        <f>J277</f>
        <v>69.871290831950603</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639.26352231488113</v>
      </c>
      <c r="E277" s="2770" t="s">
        <v>205</v>
      </c>
      <c r="F277" s="2768" t="s">
        <v>205</v>
      </c>
      <c r="G277" s="3653">
        <f>IF(SUM(D277)=0,"NA",J277*1000/D277)</f>
        <v>109.2996681226779</v>
      </c>
      <c r="H277" s="2793" t="str">
        <f t="shared" ref="H277:J277" si="1">H302</f>
        <v>NE</v>
      </c>
      <c r="I277" s="2792" t="str">
        <f t="shared" si="1"/>
        <v>NE</v>
      </c>
      <c r="J277" s="3652">
        <f t="shared" si="1"/>
        <v>69.871290831950603</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415.96806633391981</v>
      </c>
      <c r="E281" s="2770" t="str">
        <f t="shared" si="2"/>
        <v>NA</v>
      </c>
      <c r="F281" s="2768" t="str">
        <f t="shared" si="2"/>
        <v>NA</v>
      </c>
      <c r="G281" s="3653">
        <f t="shared" si="2"/>
        <v>123.85906066421613</v>
      </c>
      <c r="H281" s="2795" t="str">
        <f t="shared" ref="H281" si="3">H306</f>
        <v>NA</v>
      </c>
      <c r="I281" s="2773" t="str">
        <f t="shared" ref="I281:J281" si="4">I306</f>
        <v>NA</v>
      </c>
      <c r="J281" s="3662">
        <f t="shared" si="4"/>
        <v>51.521413962429648</v>
      </c>
    </row>
    <row r="282" spans="2:10" ht="18" customHeight="1" outlineLevel="1" x14ac:dyDescent="0.2">
      <c r="B282" s="2862" t="str">
        <f>B307</f>
        <v>Other Constructed Water Bodies</v>
      </c>
      <c r="C282" s="2850" t="str">
        <f t="shared" si="2"/>
        <v>Other Constructed Water Bodies</v>
      </c>
      <c r="D282" s="3647">
        <f t="shared" si="2"/>
        <v>223.29545598096126</v>
      </c>
      <c r="E282" s="2770" t="str">
        <f t="shared" si="2"/>
        <v>NA</v>
      </c>
      <c r="F282" s="2768" t="str">
        <f t="shared" si="2"/>
        <v>NA</v>
      </c>
      <c r="G282" s="3653">
        <f t="shared" si="2"/>
        <v>82.177565096020189</v>
      </c>
      <c r="H282" s="2860" t="str">
        <f t="shared" ref="H282" si="5">H307</f>
        <v>NA</v>
      </c>
      <c r="I282" s="2861" t="str">
        <f t="shared" ref="I282:J282" si="6">I307</f>
        <v>NA</v>
      </c>
      <c r="J282" s="3662">
        <f t="shared" si="6"/>
        <v>18.349876869520955</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69.871290831950603</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639.26352231488113</v>
      </c>
      <c r="E302" s="2770" t="s">
        <v>205</v>
      </c>
      <c r="F302" s="2768" t="s">
        <v>205</v>
      </c>
      <c r="G302" s="3653">
        <f>IF(SUM(D302)=0,"NA",J302*1000/D302)</f>
        <v>109.2996681226779</v>
      </c>
      <c r="H302" s="2793" t="s">
        <v>221</v>
      </c>
      <c r="I302" s="2792" t="s">
        <v>221</v>
      </c>
      <c r="J302" s="3652">
        <f t="shared" ref="J302" si="7">IF(SUM(J306:J307)=0,"NO",SUM(J306:J307))</f>
        <v>69.871290831950603</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415.96806633391981</v>
      </c>
      <c r="E306" s="2770" t="s">
        <v>205</v>
      </c>
      <c r="F306" s="2768" t="s">
        <v>205</v>
      </c>
      <c r="G306" s="3653">
        <f>IF(SUM(D306)=0,"NA",J306*1000/D306)</f>
        <v>123.85906066421613</v>
      </c>
      <c r="H306" s="2795" t="s">
        <v>205</v>
      </c>
      <c r="I306" s="2773" t="s">
        <v>205</v>
      </c>
      <c r="J306" s="3662">
        <v>51.521413962429648</v>
      </c>
    </row>
    <row r="307" spans="2:10" ht="18" customHeight="1" outlineLevel="2" x14ac:dyDescent="0.2">
      <c r="B307" s="2862" t="s">
        <v>1554</v>
      </c>
      <c r="C307" s="2850" t="s">
        <v>1554</v>
      </c>
      <c r="D307" s="3650">
        <v>223.29545598096126</v>
      </c>
      <c r="E307" s="2770" t="s">
        <v>205</v>
      </c>
      <c r="F307" s="2768" t="s">
        <v>205</v>
      </c>
      <c r="G307" s="3653">
        <f>IF(SUM(D307)=0,"NA",J307*1000/D307)</f>
        <v>82.177565096020189</v>
      </c>
      <c r="H307" s="2795" t="s">
        <v>205</v>
      </c>
      <c r="I307" s="2773" t="s">
        <v>205</v>
      </c>
      <c r="J307" s="3662">
        <v>18.349876869520955</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1.0183433088541667</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4.4332465277777775</v>
      </c>
      <c r="E327" s="2791" t="str">
        <f t="shared" ref="E327:J327" si="8">E331</f>
        <v>NA</v>
      </c>
      <c r="F327" s="2792" t="str">
        <f t="shared" si="8"/>
        <v>NA</v>
      </c>
      <c r="G327" s="3655">
        <f t="shared" si="8"/>
        <v>229.70599592723858</v>
      </c>
      <c r="H327" s="2793" t="str">
        <f t="shared" si="8"/>
        <v>IE</v>
      </c>
      <c r="I327" s="2792" t="str">
        <f t="shared" si="8"/>
        <v>NA</v>
      </c>
      <c r="J327" s="3652">
        <f t="shared" si="8"/>
        <v>1.0183433088541667</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4.4332465277777775</v>
      </c>
      <c r="E331" s="2770" t="str">
        <f t="shared" si="9"/>
        <v>NA</v>
      </c>
      <c r="F331" s="2768" t="str">
        <f t="shared" si="9"/>
        <v>NA</v>
      </c>
      <c r="G331" s="3653">
        <f t="shared" si="9"/>
        <v>229.70599592723858</v>
      </c>
      <c r="H331" s="2780" t="str">
        <f t="shared" si="9"/>
        <v>IE</v>
      </c>
      <c r="I331" s="2773" t="str">
        <f t="shared" si="9"/>
        <v>NA</v>
      </c>
      <c r="J331" s="3662">
        <f t="shared" si="9"/>
        <v>1.0183433088541667</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1.0183433088541667</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4.4332465277777775</v>
      </c>
      <c r="E411" s="2791" t="str">
        <f t="shared" ref="E411:J411" si="10">E415</f>
        <v>NA</v>
      </c>
      <c r="F411" s="2792" t="str">
        <f t="shared" si="10"/>
        <v>NA</v>
      </c>
      <c r="G411" s="3655">
        <f t="shared" si="10"/>
        <v>229.70599592723858</v>
      </c>
      <c r="H411" s="2793" t="str">
        <f t="shared" si="10"/>
        <v>IE</v>
      </c>
      <c r="I411" s="2792" t="str">
        <f t="shared" si="10"/>
        <v>NA</v>
      </c>
      <c r="J411" s="3652">
        <f t="shared" si="10"/>
        <v>1.0183433088541667</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4.4332465277777775</v>
      </c>
      <c r="E415" s="2770" t="str">
        <f>E427</f>
        <v>NA</v>
      </c>
      <c r="F415" s="2768" t="str">
        <f>F427</f>
        <v>NA</v>
      </c>
      <c r="G415" s="3653">
        <f t="shared" ref="G415:J415" si="11">G427</f>
        <v>229.70599592723858</v>
      </c>
      <c r="H415" s="2795" t="str">
        <f t="shared" si="11"/>
        <v>IE</v>
      </c>
      <c r="I415" s="2773" t="str">
        <f t="shared" si="11"/>
        <v>NA</v>
      </c>
      <c r="J415" s="3662">
        <f t="shared" si="11"/>
        <v>1.0183433088541667</v>
      </c>
    </row>
    <row r="416" spans="2:10" ht="18" customHeight="1" outlineLevel="2" x14ac:dyDescent="0.2">
      <c r="B416" s="2857" t="s">
        <v>1564</v>
      </c>
      <c r="C416" s="2843"/>
      <c r="D416" s="3649"/>
      <c r="E416" s="2824"/>
      <c r="F416" s="2825"/>
      <c r="G416" s="3656"/>
      <c r="H416" s="2834" t="s">
        <v>221</v>
      </c>
      <c r="I416" s="2830" t="s">
        <v>221</v>
      </c>
      <c r="J416" s="3659">
        <f>J423</f>
        <v>1.0183433088541667</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4.4332465277777775</v>
      </c>
      <c r="E423" s="2791" t="str">
        <f t="shared" ref="E423:J423" si="12">E427</f>
        <v>NA</v>
      </c>
      <c r="F423" s="2792" t="str">
        <f t="shared" si="12"/>
        <v>NA</v>
      </c>
      <c r="G423" s="3655">
        <f t="shared" si="12"/>
        <v>229.70599592723858</v>
      </c>
      <c r="H423" s="2793" t="str">
        <f t="shared" si="12"/>
        <v>IE</v>
      </c>
      <c r="I423" s="2792" t="str">
        <f t="shared" si="12"/>
        <v>NA</v>
      </c>
      <c r="J423" s="3652">
        <f t="shared" si="12"/>
        <v>1.0183433088541667</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4.4332465277777775</v>
      </c>
      <c r="E427" s="2770" t="s">
        <v>205</v>
      </c>
      <c r="F427" s="2768" t="s">
        <v>205</v>
      </c>
      <c r="G427" s="3653">
        <f>IF(SUM(D427)=0,"NA",J427*1000/D427)</f>
        <v>229.70599592723858</v>
      </c>
      <c r="H427" s="4306" t="s">
        <v>274</v>
      </c>
      <c r="I427" s="2773" t="s">
        <v>205</v>
      </c>
      <c r="J427" s="3662">
        <v>1.0183433088541667</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3" t="s">
        <v>1592</v>
      </c>
      <c r="C736" s="4504"/>
      <c r="D736" s="4504"/>
      <c r="E736" s="4504"/>
      <c r="F736" s="4504"/>
      <c r="G736" s="4504"/>
      <c r="H736" s="4504"/>
      <c r="I736" s="4504"/>
      <c r="J736" s="45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657099.97548557073</v>
      </c>
      <c r="D10" s="3577">
        <f>IF(SUM(D11,D20,D28,D37,D46,D55)=0,"NO",SUM(D11,D20,D28,D37,D46,D55))</f>
        <v>83149.954935419824</v>
      </c>
      <c r="E10" s="3592">
        <f t="shared" ref="E10:E12" si="0">IF(SUM(C10)=0,"NA",G10/C10*1000/(44/28))</f>
        <v>2.4059475036641766E-3</v>
      </c>
      <c r="F10" s="3593">
        <f t="shared" ref="F10:F11" si="1">IF(SUM(D10)=0,"NA",H10/D10*1000/(44/28))</f>
        <v>7.4999999999999997E-3</v>
      </c>
      <c r="G10" s="4464">
        <f>IF(SUM(G11,G20,G28,G37,G46,G55)=0,"NO",SUM(G11,G20,G28,G37,G46,G55))</f>
        <v>2.4843469289214726</v>
      </c>
      <c r="H10" s="4465">
        <f>IF(SUM(H11,H20,H28,H37,H46,H55)=0,"NO",SUM(H11,H20,H28,H37,H46,H55))</f>
        <v>0.97998161173887632</v>
      </c>
      <c r="I10" s="4466">
        <f t="shared" ref="I10:I11" si="2">IF(SUM(G10:H10)=0,"NO",SUM(G10:H10))</f>
        <v>3.464328540660349</v>
      </c>
    </row>
    <row r="11" spans="2:10" ht="18" customHeight="1" x14ac:dyDescent="0.2">
      <c r="B11" s="2863" t="s">
        <v>1605</v>
      </c>
      <c r="C11" s="3578">
        <f>IF(SUM(C12:C13)=0,"NO",SUM(C12:C13))</f>
        <v>135363.49088817716</v>
      </c>
      <c r="D11" s="3579">
        <f>IF(SUM(D12:D13)=0,"NO",SUM(D12:D13))</f>
        <v>54968.979456498128</v>
      </c>
      <c r="E11" s="3594">
        <f t="shared" si="0"/>
        <v>7.3254186231342553E-3</v>
      </c>
      <c r="F11" s="3595">
        <f t="shared" si="1"/>
        <v>7.4999999999999997E-3</v>
      </c>
      <c r="G11" s="4467">
        <f>IF(SUM(G12:G13)=0,"NO",SUM(G12:G13))</f>
        <v>1.5582195153559839</v>
      </c>
      <c r="H11" s="4468">
        <f>IF(SUM(H12:H13)=0,"NO",SUM(H12:H13))</f>
        <v>0.647848686451585</v>
      </c>
      <c r="I11" s="4469">
        <f t="shared" si="2"/>
        <v>2.206068201807569</v>
      </c>
    </row>
    <row r="12" spans="2:10" ht="18" customHeight="1" x14ac:dyDescent="0.2">
      <c r="B12" s="917" t="s">
        <v>1606</v>
      </c>
      <c r="C12" s="3580">
        <f>Table4.A!E11</f>
        <v>124577.485036439</v>
      </c>
      <c r="D12" s="3581">
        <f>H12/F12*1000/(44/28)</f>
        <v>34401.110060980624</v>
      </c>
      <c r="E12" s="3596">
        <f t="shared" si="0"/>
        <v>4.6622904052479146E-3</v>
      </c>
      <c r="F12" s="3597">
        <v>7.4999999999999997E-3</v>
      </c>
      <c r="G12" s="4470">
        <v>0.91271150644976518</v>
      </c>
      <c r="H12" s="4471">
        <v>0.40544165429012874</v>
      </c>
      <c r="I12" s="4472">
        <f>IF(SUM(G12:H12)=0,"NO",SUM(G12:H12))</f>
        <v>1.318153160739894</v>
      </c>
    </row>
    <row r="13" spans="2:10" ht="18" customHeight="1" x14ac:dyDescent="0.2">
      <c r="B13" s="917" t="s">
        <v>1607</v>
      </c>
      <c r="C13" s="3582">
        <f>IF(SUM(C15:C19)=0,"NO",SUM(C15:C19))</f>
        <v>10786.005851738146</v>
      </c>
      <c r="D13" s="3583">
        <f>IF(SUM(D15:D19)=0,"NO",SUM(D15:D19))</f>
        <v>20567.8693955175</v>
      </c>
      <c r="E13" s="3599">
        <f>IF(SUM(C13)=0,"NA",G13/C13*1000/(44/28))</f>
        <v>3.8084331632660472E-2</v>
      </c>
      <c r="F13" s="3598">
        <f>IF(SUM(D13)=0,"NA",H13/D13*1000/(44/28))</f>
        <v>7.4999999999999997E-3</v>
      </c>
      <c r="G13" s="4473">
        <f>IF(SUM(G15:G19)=0,"NO",SUM(G15:G19))</f>
        <v>0.64550800890621884</v>
      </c>
      <c r="H13" s="4474">
        <f>IF(SUM(H15:H19)=0,"NO",SUM(H15:H19))</f>
        <v>0.24240703216145623</v>
      </c>
      <c r="I13" s="4472">
        <f>IF(SUM(G13:H13)=0,"NO",SUM(G13:H13))</f>
        <v>0.88791504106767505</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68.175008351986051</v>
      </c>
      <c r="D15" s="3581">
        <f>H15/F15*1000/(44/28)</f>
        <v>171.63141470540191</v>
      </c>
      <c r="E15" s="3599">
        <f>IF(SUM(C15)=0,"NA",G15/C15*1000/(44/28))</f>
        <v>5.9617602059775281E-2</v>
      </c>
      <c r="F15" s="3597">
        <v>7.4999999999999997E-3</v>
      </c>
      <c r="G15" s="4477">
        <v>6.3869622431223091E-3</v>
      </c>
      <c r="H15" s="4478">
        <v>2.0227988161708082E-3</v>
      </c>
      <c r="I15" s="4472">
        <f>IF(SUM(G15:H15)=0,"NO",SUM(G15:H15))</f>
        <v>8.4097610592931173E-3</v>
      </c>
    </row>
    <row r="16" spans="2:10" ht="18" customHeight="1" x14ac:dyDescent="0.2">
      <c r="B16" s="518" t="s">
        <v>1609</v>
      </c>
      <c r="C16" s="3584">
        <f>Table4.A!E19</f>
        <v>10664.701728404534</v>
      </c>
      <c r="D16" s="3581">
        <f>H16/F16*1000/(44/28)</f>
        <v>20122.728412894441</v>
      </c>
      <c r="E16" s="3599">
        <f t="shared" ref="E16:E21" si="3">IF(SUM(C16)=0,"NA",G16/C16*1000/(44/28))</f>
        <v>3.7471402015037576E-2</v>
      </c>
      <c r="F16" s="3597">
        <v>7.4999999999999997E-3</v>
      </c>
      <c r="G16" s="4477">
        <v>0.62797636917009081</v>
      </c>
      <c r="H16" s="4478">
        <v>0.23716072772339875</v>
      </c>
      <c r="I16" s="4472">
        <f t="shared" ref="I16:I21" si="4">IF(SUM(G16:H16)=0,"NO",SUM(G16:H16))</f>
        <v>0.8651370968934895</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53.129114981626323</v>
      </c>
      <c r="D18" s="3581">
        <f>H18/F18*1000/(44/28)</f>
        <v>273.50956791765634</v>
      </c>
      <c r="E18" s="3599">
        <f t="shared" si="3"/>
        <v>0.13348740136179116</v>
      </c>
      <c r="F18" s="3597">
        <v>7.4999999999999997E-3</v>
      </c>
      <c r="G18" s="4477">
        <v>1.1144677493005736E-2</v>
      </c>
      <c r="H18" s="4478">
        <v>3.2235056218866639E-3</v>
      </c>
      <c r="I18" s="4472">
        <f t="shared" si="4"/>
        <v>1.4368183114892399E-2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2271.9171639749984</v>
      </c>
      <c r="D20" s="3589">
        <f>D21</f>
        <v>2680.07851441194</v>
      </c>
      <c r="E20" s="3602">
        <f t="shared" si="3"/>
        <v>2.5947707775526727E-2</v>
      </c>
      <c r="F20" s="3603">
        <f t="shared" si="5"/>
        <v>7.5000000000000006E-3</v>
      </c>
      <c r="G20" s="4482">
        <f>G21</f>
        <v>9.2637352753041941E-2</v>
      </c>
      <c r="H20" s="4483">
        <f>H21</f>
        <v>3.1586639634140726E-2</v>
      </c>
      <c r="I20" s="4484">
        <f t="shared" si="4"/>
        <v>0.12422399238718267</v>
      </c>
    </row>
    <row r="21" spans="2:9" ht="18" customHeight="1" x14ac:dyDescent="0.2">
      <c r="B21" s="917" t="s">
        <v>1614</v>
      </c>
      <c r="C21" s="3582">
        <f>IF(SUM(C23:C27)=0,"NO",SUM(C23:C27))</f>
        <v>2271.9171639749984</v>
      </c>
      <c r="D21" s="3583">
        <f>IF(SUM(D23:D27)=0,"NO",SUM(D23:D27))</f>
        <v>2680.07851441194</v>
      </c>
      <c r="E21" s="3599">
        <f t="shared" si="3"/>
        <v>2.5947707775526727E-2</v>
      </c>
      <c r="F21" s="3598">
        <f t="shared" si="5"/>
        <v>7.5000000000000006E-3</v>
      </c>
      <c r="G21" s="4473">
        <f>IF(SUM(G23:G27)=0,"NO",SUM(G23:G27))</f>
        <v>9.2637352753041941E-2</v>
      </c>
      <c r="H21" s="4474">
        <f>IF(SUM(H23:H27)=0,"NO",SUM(H23:H27))</f>
        <v>3.1586639634140726E-2</v>
      </c>
      <c r="I21" s="4472">
        <f t="shared" si="4"/>
        <v>0.12422399238718267</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2271.9171639749984</v>
      </c>
      <c r="D23" s="3581">
        <f>H23/F23*1000/(44/28)</f>
        <v>2680.07851441194</v>
      </c>
      <c r="E23" s="3599">
        <f>IF(SUM(C23)=0,"NA",G23/C23*1000/(44/28))</f>
        <v>2.5947707775526727E-2</v>
      </c>
      <c r="F23" s="3597">
        <v>7.4999999999999997E-3</v>
      </c>
      <c r="G23" s="4477">
        <v>9.2637352753041941E-2</v>
      </c>
      <c r="H23" s="4478">
        <v>3.1586639634140726E-2</v>
      </c>
      <c r="I23" s="4472">
        <f>IF(SUM(G23:H23)=0,"NO",SUM(G23:H23))</f>
        <v>0.12422399238718267</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517962.36929091124</v>
      </c>
      <c r="D28" s="3579">
        <f>IF(SUM(D29:D30)=0,"NO",SUM(D29:D30))</f>
        <v>24670.825155552731</v>
      </c>
      <c r="E28" s="3594">
        <f t="shared" si="6"/>
        <v>9.8564119365310873E-4</v>
      </c>
      <c r="F28" s="3595">
        <f t="shared" si="7"/>
        <v>7.4999999999999997E-3</v>
      </c>
      <c r="G28" s="4467">
        <f>IF(SUM(G29:G30)=0,"NO",SUM(G29:G30))</f>
        <v>0.80225364675544952</v>
      </c>
      <c r="H28" s="4468">
        <f>IF(SUM(H29:H30)=0,"NO",SUM(H29:H30))</f>
        <v>0.29076329647615717</v>
      </c>
      <c r="I28" s="4484">
        <f t="shared" si="8"/>
        <v>1.0930169432316066</v>
      </c>
    </row>
    <row r="29" spans="2:9" ht="18" customHeight="1" x14ac:dyDescent="0.2">
      <c r="B29" s="917" t="s">
        <v>1621</v>
      </c>
      <c r="C29" s="3580">
        <f>Table4.C!E11</f>
        <v>504555.65426125203</v>
      </c>
      <c r="D29" s="3581">
        <f>H29/F29*1000/(44/28)</f>
        <v>19291.859700058507</v>
      </c>
      <c r="E29" s="3596">
        <f t="shared" si="6"/>
        <v>6.8380281624397319E-4</v>
      </c>
      <c r="F29" s="3597">
        <v>7.4999999999999997E-3</v>
      </c>
      <c r="G29" s="4470">
        <v>0.5421689072417587</v>
      </c>
      <c r="H29" s="4471">
        <v>0.22736834646497525</v>
      </c>
      <c r="I29" s="4472">
        <f t="shared" si="8"/>
        <v>0.76953725370673398</v>
      </c>
    </row>
    <row r="30" spans="2:9" ht="18" customHeight="1" x14ac:dyDescent="0.2">
      <c r="B30" s="917" t="s">
        <v>1622</v>
      </c>
      <c r="C30" s="3582">
        <f>IF(SUM(C32:C36)=0,"NO",SUM(C32:C36))</f>
        <v>13406.71502965923</v>
      </c>
      <c r="D30" s="3583">
        <f>IF(SUM(D32:D36)=0,"NO",SUM(D32:D36))</f>
        <v>5378.9654554942263</v>
      </c>
      <c r="E30" s="3599">
        <f>IF(SUM(C30)=0,"NA",G30/C30*1000/(44/28))</f>
        <v>1.2345191960407342E-2</v>
      </c>
      <c r="F30" s="3598">
        <f>IF(SUM(D30)=0,"NA",H30/D30*1000/(44/28))</f>
        <v>7.4999999999999997E-3</v>
      </c>
      <c r="G30" s="4473">
        <f>IF(SUM(G32:G36)=0,"NO",SUM(G32:G36))</f>
        <v>0.26008473951369077</v>
      </c>
      <c r="H30" s="4474">
        <f>IF(SUM(H32:H36)=0,"NO",SUM(H32:H36))</f>
        <v>6.339495001118195E-2</v>
      </c>
      <c r="I30" s="4472">
        <f t="shared" si="8"/>
        <v>0.32347968952487272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13406.71502965923</v>
      </c>
      <c r="D32" s="3581">
        <f>H32/F32*1000/(44/28)</f>
        <v>5378.9654554942263</v>
      </c>
      <c r="E32" s="3599">
        <f>IF(SUM(C32)=0,"NA",G32/C32*1000/(44/28))</f>
        <v>1.2345191960407342E-2</v>
      </c>
      <c r="F32" s="3597">
        <v>7.4999999999999997E-3</v>
      </c>
      <c r="G32" s="4477">
        <v>0.26008473951369077</v>
      </c>
      <c r="H32" s="4478">
        <v>6.339495001118195E-2</v>
      </c>
      <c r="I32" s="4472">
        <f t="shared" si="8"/>
        <v>0.32347968952487272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1502.1981425072977</v>
      </c>
      <c r="D46" s="3579">
        <f>IF(SUM(D47:D48)=0,"NO",SUM(D47:D48))</f>
        <v>830.07180895701435</v>
      </c>
      <c r="E46" s="3594">
        <f t="shared" si="11"/>
        <v>1.3232420859670047E-2</v>
      </c>
      <c r="F46" s="3595">
        <f t="shared" si="12"/>
        <v>7.4999999999999997E-3</v>
      </c>
      <c r="G46" s="4467">
        <f>IF(SUM(G47:G48)=0,"NO",SUM(G47:G48))</f>
        <v>3.1236414056997543E-2</v>
      </c>
      <c r="H46" s="4468">
        <f>IF(SUM(H47:H48)=0,"NO",SUM(H47:H48))</f>
        <v>9.7829891769933824E-3</v>
      </c>
      <c r="I46" s="4469">
        <f t="shared" si="8"/>
        <v>4.1019403233990927E-2</v>
      </c>
    </row>
    <row r="47" spans="2:9" ht="18" customHeight="1" x14ac:dyDescent="0.2">
      <c r="B47" s="917" t="s">
        <v>1637</v>
      </c>
      <c r="C47" s="3580">
        <f>Table4.E!E11</f>
        <v>1088.100839341</v>
      </c>
      <c r="D47" s="3581">
        <f>H47/F47*1000/(44/28)</f>
        <v>15.23178758639013</v>
      </c>
      <c r="E47" s="3596">
        <f t="shared" si="11"/>
        <v>1.6876307034860243E-4</v>
      </c>
      <c r="F47" s="3597">
        <v>7.4999999999999997E-3</v>
      </c>
      <c r="G47" s="4470">
        <v>2.8856337477955194E-4</v>
      </c>
      <c r="H47" s="4471">
        <v>1.7951749655388367E-4</v>
      </c>
      <c r="I47" s="4472">
        <f t="shared" si="8"/>
        <v>4.6808087133343558E-4</v>
      </c>
    </row>
    <row r="48" spans="2:9" ht="18" customHeight="1" x14ac:dyDescent="0.2">
      <c r="B48" s="917" t="s">
        <v>1638</v>
      </c>
      <c r="C48" s="3582">
        <f>IF(SUM(C50:C54)=0,"NO",SUM(C50:C54))</f>
        <v>414.09730316629782</v>
      </c>
      <c r="D48" s="3583">
        <f>IF(SUM(D50:D54)=0,"NO",SUM(D50:D54))</f>
        <v>814.84002137062419</v>
      </c>
      <c r="E48" s="3599">
        <f>IF(SUM(C48)=0,"NA",G48/C48*1000/(44/28))</f>
        <v>4.7559080069319151E-2</v>
      </c>
      <c r="F48" s="3598">
        <f>IF(SUM(D48)=0,"NA",H48/D48*1000/(44/28))</f>
        <v>7.4999999999999997E-3</v>
      </c>
      <c r="G48" s="4473">
        <f>IF(SUM(G50:G54)=0,"NO",SUM(G50:G54))</f>
        <v>3.0947850682217989E-2</v>
      </c>
      <c r="H48" s="4474">
        <f>IF(SUM(H50:H54)=0,"NO",SUM(H50:H54))</f>
        <v>9.6034716804394987E-3</v>
      </c>
      <c r="I48" s="4472">
        <f t="shared" si="8"/>
        <v>4.0551322362657488E-2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414.09730316629782</v>
      </c>
      <c r="D50" s="3581">
        <f>H50/F50*1000/(44/28)</f>
        <v>814.84002137062419</v>
      </c>
      <c r="E50" s="3599">
        <f>IF(SUM(C50)=0,"NA",G50/C50*1000/(44/28))</f>
        <v>4.7559080069319151E-2</v>
      </c>
      <c r="F50" s="3597">
        <v>7.4999999999999997E-3</v>
      </c>
      <c r="G50" s="4477">
        <v>3.0947850682217989E-2</v>
      </c>
      <c r="H50" s="4478">
        <v>9.6034716804394987E-3</v>
      </c>
      <c r="I50" s="4472">
        <f t="shared" si="8"/>
        <v>4.0551322362657488E-2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4"/>
      <c r="C83" s="4495"/>
      <c r="D83" s="4495"/>
      <c r="E83" s="4495"/>
      <c r="F83" s="4495"/>
      <c r="G83" s="4495"/>
      <c r="H83" s="4495"/>
      <c r="I83" s="44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5268509.0973327318</v>
      </c>
      <c r="D10" s="3055" t="s">
        <v>97</v>
      </c>
      <c r="E10" s="615"/>
      <c r="F10" s="615"/>
      <c r="G10" s="615"/>
      <c r="H10" s="1938">
        <f>IF(SUM(H11:H15)=0,"NO",SUM(H11:H15))</f>
        <v>369696.78610851301</v>
      </c>
      <c r="I10" s="1938">
        <f t="shared" ref="I10:K10" si="0">IF(SUM(I11:I16)=0,"NO",SUM(I11:I16))</f>
        <v>76.434882063747565</v>
      </c>
      <c r="J10" s="1938">
        <f t="shared" si="0"/>
        <v>12.347439697399661</v>
      </c>
      <c r="K10" s="3064" t="str">
        <f t="shared" si="0"/>
        <v>NO</v>
      </c>
    </row>
    <row r="11" spans="2:11" ht="18" customHeight="1" x14ac:dyDescent="0.2">
      <c r="B11" s="282" t="s">
        <v>243</v>
      </c>
      <c r="C11" s="3065">
        <f>IF(SUM(C18,'Table1.A(a)s2'!C11,'Table1.A(a)s3'!C11,'Table1.A(a)s4'!C11,'Table1.A(a)s4'!C94)=0,"NO",SUM(C18,'Table1.A(a)s2'!C11,'Table1.A(a)s3'!C11,'Table1.A(a)s4'!C11,'Table1.A(a)s4'!C94))</f>
        <v>1847239.1448926539</v>
      </c>
      <c r="D11" s="3056" t="s">
        <v>244</v>
      </c>
      <c r="E11" s="1938">
        <f>IFERROR(H11*1000/$C11,"NA")</f>
        <v>68.344099271227762</v>
      </c>
      <c r="F11" s="1938">
        <f t="shared" ref="F11:G16" si="1">IFERROR(I11*1000000/$C11,"NA")</f>
        <v>10.216590749766318</v>
      </c>
      <c r="G11" s="1938">
        <f t="shared" si="1"/>
        <v>3.9312897256945782</v>
      </c>
      <c r="H11" s="1938">
        <f>IF(SUM(H18,'Table1.A(a)s2'!H11,'Table1.A(a)s3'!H11,'Table1.A(a)s4'!H11,'Table1.A(a)s4'!H94)=0,"NO",SUM(H18,'Table1.A(a)s2'!H11,'Table1.A(a)s3'!H11,'Table1.A(a)s4'!H11,'Table1.A(a)s4'!H94))</f>
        <v>126247.89549624141</v>
      </c>
      <c r="I11" s="1938">
        <f>IF(SUM(I18,'Table1.A(a)s2'!I11,'Table1.A(a)s3'!I11,'Table1.A(a)s4'!I11,'Table1.A(a)s4'!I94)=0,"NO",SUM(I18,'Table1.A(a)s2'!I11,'Table1.A(a)s3'!I11,'Table1.A(a)s4'!I11,'Table1.A(a)s4'!I94))</f>
        <v>18.872486360316532</v>
      </c>
      <c r="J11" s="1938">
        <f>IF(SUM(J18,'Table1.A(a)s2'!J11,'Table1.A(a)s3'!J11,'Table1.A(a)s4'!J11,'Table1.A(a)s4'!J94)=0,"NO",SUM(J18,'Table1.A(a)s2'!J11,'Table1.A(a)s3'!J11,'Table1.A(a)s4'!J11,'Table1.A(a)s4'!J94))</f>
        <v>7.2620322712173282</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2004448.5422953644</v>
      </c>
      <c r="D12" s="3056" t="s">
        <v>97</v>
      </c>
      <c r="E12" s="1938">
        <f t="shared" ref="E12:E16" si="2">IFERROR(H12*1000/$C12,"NA")</f>
        <v>90.128161083051467</v>
      </c>
      <c r="F12" s="1938">
        <f t="shared" si="1"/>
        <v>0.67889817547292619</v>
      </c>
      <c r="G12" s="1938">
        <f t="shared" si="1"/>
        <v>1.4914860810789574</v>
      </c>
      <c r="H12" s="1938">
        <f>IF(SUM(H19,'Table1.A(a)s2'!H12,'Table1.A(a)s3'!H12,'Table1.A(a)s4'!H12,'Table1.A(a)s4'!H95)=0,"NO",SUM(H19,'Table1.A(a)s2'!H12,'Table1.A(a)s3'!H12,'Table1.A(a)s4'!H12,'Table1.A(a)s4'!H95))</f>
        <v>180657.26110268431</v>
      </c>
      <c r="I12" s="1938">
        <f>IF(SUM(I19,'Table1.A(a)s2'!I12,'Table1.A(a)s3'!I12,'Table1.A(a)s4'!I12,'Table1.A(a)s4'!I95)=0,"NO",SUM(I19,'Table1.A(a)s2'!I12,'Table1.A(a)s3'!I12,'Table1.A(a)s4'!I12,'Table1.A(a)s4'!I95))</f>
        <v>1.3608164581936892</v>
      </c>
      <c r="J12" s="1938">
        <f>IF(SUM(J19,'Table1.A(a)s2'!J12,'Table1.A(a)s3'!J12,'Table1.A(a)s4'!J12,'Table1.A(a)s4'!J95)=0,"NO",SUM(J19,'Table1.A(a)s2'!J12,'Table1.A(a)s3'!J12,'Table1.A(a)s4'!J12,'Table1.A(a)s4'!J95))</f>
        <v>2.9896071010725418</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1220651.7358689383</v>
      </c>
      <c r="D13" s="3056" t="s">
        <v>244</v>
      </c>
      <c r="E13" s="1938">
        <f t="shared" si="2"/>
        <v>51.221631044114169</v>
      </c>
      <c r="F13" s="1938">
        <f t="shared" si="1"/>
        <v>11.587799229558168</v>
      </c>
      <c r="G13" s="1938">
        <f t="shared" si="1"/>
        <v>1.0121469943507617</v>
      </c>
      <c r="H13" s="1938">
        <f>IF(SUM(H20,'Table1.A(a)s2'!H13,'Table1.A(a)s3'!H13,'Table1.A(a)s4'!H13,'Table1.A(a)s4'!H96)=0,"NO",SUM(H20,'Table1.A(a)s2'!H13,'Table1.A(a)s3'!H13,'Table1.A(a)s4'!H13,'Table1.A(a)s4'!H96))</f>
        <v>62523.772848036257</v>
      </c>
      <c r="I13" s="1938">
        <f>IF(SUM(I20,'Table1.A(a)s2'!I13,'Table1.A(a)s3'!I13,'Table1.A(a)s4'!I13,'Table1.A(a)s4'!I96)=0,"NO",SUM(I20,'Table1.A(a)s2'!I13,'Table1.A(a)s3'!I13,'Table1.A(a)s4'!I13,'Table1.A(a)s4'!I96))</f>
        <v>14.144667244460924</v>
      </c>
      <c r="J13" s="1938">
        <f>IF(SUM(J20,'Table1.A(a)s2'!J13,'Table1.A(a)s3'!J13,'Table1.A(a)s4'!J13,'Table1.A(a)s4'!J96)=0,"NO",SUM(J20,'Table1.A(a)s2'!J13,'Table1.A(a)s3'!J13,'Table1.A(a)s4'!J13,'Table1.A(a)s4'!J96))</f>
        <v>1.2354789856087856</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3429.6838747753804</v>
      </c>
      <c r="D14" s="3056" t="s">
        <v>244</v>
      </c>
      <c r="E14" s="1938">
        <f t="shared" si="2"/>
        <v>78.099519177573768</v>
      </c>
      <c r="F14" s="1938">
        <f t="shared" si="1"/>
        <v>27.572508326511219</v>
      </c>
      <c r="G14" s="1938">
        <f t="shared" si="1"/>
        <v>0.91562328761707135</v>
      </c>
      <c r="H14" s="1938">
        <f>IF(SUM(H21,'Table1.A(a)s2'!H14,'Table1.A(a)s3'!H14,'Table1.A(a)s4'!H14,'Table1.A(a)s4'!H97)=0,"NO",SUM(H21,'Table1.A(a)s2'!H14,'Table1.A(a)s3'!H14,'Table1.A(a)s4'!H14,'Table1.A(a)s4'!H97))</f>
        <v>267.85666155103536</v>
      </c>
      <c r="I14" s="1938">
        <f>IF(SUM(I21,'Table1.A(a)s2'!I14,'Table1.A(a)s3'!I14,'Table1.A(a)s4'!I14,'Table1.A(a)s4'!I97)=0,"NO",SUM(I21,'Table1.A(a)s2'!I14,'Table1.A(a)s3'!I14,'Table1.A(a)s4'!I14,'Table1.A(a)s4'!I97))</f>
        <v>9.4564987194545438E-2</v>
      </c>
      <c r="J14" s="1938">
        <f>IF(SUM(J21,'Table1.A(a)s2'!J14,'Table1.A(a)s3'!J14,'Table1.A(a)s4'!J14,'Table1.A(a)s4'!J97)=0,"NO",SUM(J21,'Table1.A(a)s2'!J14,'Table1.A(a)s3'!J14,'Table1.A(a)s4'!J14,'Table1.A(a)s4'!J97))</f>
        <v>3.1402984249090903E-3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192739.99040100013</v>
      </c>
      <c r="D16" s="3058" t="s">
        <v>244</v>
      </c>
      <c r="E16" s="2891">
        <f t="shared" si="2"/>
        <v>85.37558055034701</v>
      </c>
      <c r="F16" s="1938">
        <f t="shared" si="1"/>
        <v>217.7147924843112</v>
      </c>
      <c r="G16" s="1938">
        <f t="shared" si="1"/>
        <v>4.4473440062579179</v>
      </c>
      <c r="H16" s="2891">
        <f>IF(SUM(H23,'Table1.A(a)s2'!H16,'Table1.A(a)s3'!H15,'Table1.A(a)s4'!H16,'Table1.A(a)s4'!H99)=0,"NO",SUM(H23,'Table1.A(a)s2'!H16,'Table1.A(a)s3'!H15,'Table1.A(a)s4'!H16,'Table1.A(a)s4'!H99))</f>
        <v>16455.288575753697</v>
      </c>
      <c r="I16" s="2891">
        <f>IF(SUM(I23,'Table1.A(a)s2'!I16,'Table1.A(a)s3'!I15,'Table1.A(a)s4'!I16,'Table1.A(a)s4'!I99)=0,"NO",SUM(I23,'Table1.A(a)s2'!I16,'Table1.A(a)s3'!I15,'Table1.A(a)s4'!I16,'Table1.A(a)s4'!I99))</f>
        <v>41.962347013581876</v>
      </c>
      <c r="J16" s="2891">
        <f>IF(SUM(J23,'Table1.A(a)s2'!J16,'Table1.A(a)s3'!J15,'Table1.A(a)s4'!J16,'Table1.A(a)s4'!J99)=0,"NO",SUM(J23,'Table1.A(a)s2'!J16,'Table1.A(a)s3'!J15,'Table1.A(a)s4'!J16,'Table1.A(a)s4'!J99))</f>
        <v>0.85718104107609661</v>
      </c>
      <c r="K16" s="3045" t="str">
        <f>IF(SUM(K23,'Table1.A(a)s2'!K16,'Table1.A(a)s3'!K15,'Table1.A(a)s4'!K16,'Table1.A(a)s4'!K99)=0,"NO",SUM(K23,'Table1.A(a)s2'!K16,'Table1.A(a)s3'!K15,'Table1.A(a)s4'!K16,'Table1.A(a)s4'!K99))</f>
        <v>NO</v>
      </c>
    </row>
    <row r="17" spans="2:12" ht="18" customHeight="1" x14ac:dyDescent="0.2">
      <c r="B17" s="2209" t="s">
        <v>175</v>
      </c>
      <c r="C17" s="3046">
        <f>IF(SUM(C18:C23)=0,"NO",SUM(C18:C23))</f>
        <v>2783947.9523964501</v>
      </c>
      <c r="D17" s="3059" t="s">
        <v>97</v>
      </c>
      <c r="E17" s="3060"/>
      <c r="F17" s="3060"/>
      <c r="G17" s="3060"/>
      <c r="H17" s="3046">
        <f>IF(SUM(H18:H22)=0,"NO",SUM(H18:H22))</f>
        <v>219013.47583026008</v>
      </c>
      <c r="I17" s="3046">
        <f t="shared" ref="I17" si="3">IF(SUM(I18:I23)=0,"NO",SUM(I18:I23))</f>
        <v>18.075069639112495</v>
      </c>
      <c r="J17" s="3046">
        <f t="shared" ref="J17" si="4">IF(SUM(J18:J23)=0,"NO",SUM(J18:J23))</f>
        <v>4.1841424421947027</v>
      </c>
      <c r="K17" s="3047" t="str">
        <f t="shared" ref="K17" si="5">IF(SUM(K18:K23)=0,"NO",SUM(K18:K23))</f>
        <v>NO</v>
      </c>
    </row>
    <row r="18" spans="2:12" ht="18" customHeight="1" x14ac:dyDescent="0.2">
      <c r="B18" s="282" t="s">
        <v>243</v>
      </c>
      <c r="C18" s="3065">
        <f>IF(SUM(C25,C54,C61)=0,"NO",SUM(C25,C54,C61))</f>
        <v>190026.01565706596</v>
      </c>
      <c r="D18" s="3056" t="s">
        <v>97</v>
      </c>
      <c r="E18" s="1938">
        <f>IFERROR(H18*1000/$C18,"NA")</f>
        <v>67.879165289790933</v>
      </c>
      <c r="F18" s="1938">
        <f t="shared" ref="F18:G23" si="6">IFERROR(I18*1000000/$C18,"NA")</f>
        <v>2.4443424522629944</v>
      </c>
      <c r="G18" s="1938">
        <f t="shared" si="6"/>
        <v>1.5744022044751751</v>
      </c>
      <c r="H18" s="3065">
        <f>IF(SUM(H25,H54,H61)=0,"NO",SUM(H25,H54,H61))</f>
        <v>12898.807326146381</v>
      </c>
      <c r="I18" s="3065">
        <f>IF(SUM(I25,I54,I61)=0,"NO",SUM(I25,I54,I61))</f>
        <v>0.46448865710495879</v>
      </c>
      <c r="J18" s="3065">
        <f>IF(SUM(J25,J54,J61)=0,"NO",SUM(J25,J54,J61))</f>
        <v>0.29917737795811877</v>
      </c>
      <c r="K18" s="3048" t="str">
        <f>IF(SUM(K25,K54,K61)=0,"NO",SUM(K25,K54,K61))</f>
        <v>NO</v>
      </c>
      <c r="L18" s="19"/>
    </row>
    <row r="19" spans="2:12" ht="18" customHeight="1" x14ac:dyDescent="0.2">
      <c r="B19" s="282" t="s">
        <v>245</v>
      </c>
      <c r="C19" s="3065">
        <f t="shared" ref="C19:C23" si="7">IF(SUM(C26,C55,C62)=0,"NO",SUM(C26,C55,C62))</f>
        <v>1884561.3597684542</v>
      </c>
      <c r="D19" s="3056" t="s">
        <v>97</v>
      </c>
      <c r="E19" s="1938">
        <f t="shared" ref="E19:E23" si="8">IFERROR(H19*1000/$C19,"NA")</f>
        <v>90.865324150784545</v>
      </c>
      <c r="F19" s="1938">
        <f t="shared" si="6"/>
        <v>0.66355550736837643</v>
      </c>
      <c r="G19" s="1938">
        <f t="shared" si="6"/>
        <v>1.5429932841828951</v>
      </c>
      <c r="H19" s="3065">
        <f t="shared" ref="H19:K23" si="9">IF(SUM(H26,H55,H62)=0,"NO",SUM(H26,H55,H62))</f>
        <v>171241.27883740389</v>
      </c>
      <c r="I19" s="3065">
        <f t="shared" si="9"/>
        <v>1.2505110692479942</v>
      </c>
      <c r="J19" s="3065">
        <f t="shared" si="9"/>
        <v>2.9078655217533096</v>
      </c>
      <c r="K19" s="3048" t="str">
        <f t="shared" si="9"/>
        <v>NO</v>
      </c>
      <c r="L19" s="19"/>
    </row>
    <row r="20" spans="2:12" ht="18" customHeight="1" x14ac:dyDescent="0.2">
      <c r="B20" s="282" t="s">
        <v>246</v>
      </c>
      <c r="C20" s="3065">
        <f t="shared" si="7"/>
        <v>682878.77551022999</v>
      </c>
      <c r="D20" s="3056" t="s">
        <v>97</v>
      </c>
      <c r="E20" s="1938">
        <f t="shared" si="8"/>
        <v>51.065361691648341</v>
      </c>
      <c r="F20" s="1938">
        <f t="shared" si="6"/>
        <v>19.469131886963378</v>
      </c>
      <c r="G20" s="1938">
        <f t="shared" si="6"/>
        <v>1.2862589750185618</v>
      </c>
      <c r="H20" s="3065">
        <f t="shared" si="9"/>
        <v>34871.451662979824</v>
      </c>
      <c r="I20" s="3065">
        <f t="shared" si="9"/>
        <v>13.295056943216725</v>
      </c>
      <c r="J20" s="3065">
        <f t="shared" si="9"/>
        <v>0.87835895384971896</v>
      </c>
      <c r="K20" s="3048" t="str">
        <f t="shared" si="9"/>
        <v>NO</v>
      </c>
      <c r="L20" s="19"/>
    </row>
    <row r="21" spans="2:12" ht="18" customHeight="1" x14ac:dyDescent="0.2">
      <c r="B21" s="282" t="s">
        <v>247</v>
      </c>
      <c r="C21" s="3065">
        <f t="shared" si="7"/>
        <v>471.69400000000002</v>
      </c>
      <c r="D21" s="3056" t="s">
        <v>97</v>
      </c>
      <c r="E21" s="1938">
        <f t="shared" si="8"/>
        <v>4.1086037346245661</v>
      </c>
      <c r="F21" s="1938">
        <f t="shared" si="6"/>
        <v>1.0281818181818181</v>
      </c>
      <c r="G21" s="1938">
        <f t="shared" si="6"/>
        <v>0.42463636363636359</v>
      </c>
      <c r="H21" s="3065">
        <f t="shared" si="9"/>
        <v>1.9380037300000001</v>
      </c>
      <c r="I21" s="3065">
        <f t="shared" si="9"/>
        <v>4.8498719454545449E-4</v>
      </c>
      <c r="J21" s="3065">
        <f t="shared" si="9"/>
        <v>2.0029842490909089E-4</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26010.107460700001</v>
      </c>
      <c r="D23" s="3056" t="s">
        <v>97</v>
      </c>
      <c r="E23" s="1938">
        <f t="shared" si="8"/>
        <v>72.025157343729063</v>
      </c>
      <c r="F23" s="1938">
        <f t="shared" si="6"/>
        <v>117.82065825674209</v>
      </c>
      <c r="G23" s="1938">
        <f t="shared" si="6"/>
        <v>3.7885383733049172</v>
      </c>
      <c r="H23" s="3065">
        <f t="shared" si="9"/>
        <v>1873.3820823842188</v>
      </c>
      <c r="I23" s="3065">
        <f t="shared" si="9"/>
        <v>3.0645279823482725</v>
      </c>
      <c r="J23" s="3065">
        <f t="shared" si="9"/>
        <v>9.8540290208646478E-2</v>
      </c>
      <c r="K23" s="3048" t="str">
        <f t="shared" si="9"/>
        <v>NO</v>
      </c>
      <c r="L23" s="19"/>
    </row>
    <row r="24" spans="2:12" ht="18" customHeight="1" x14ac:dyDescent="0.2">
      <c r="B24" s="1236" t="s">
        <v>250</v>
      </c>
      <c r="C24" s="3065">
        <f>IF(SUM(C25:C30)=0,"NO",SUM(C25:C30))</f>
        <v>2419472.8808656447</v>
      </c>
      <c r="D24" s="3056" t="s">
        <v>97</v>
      </c>
      <c r="E24" s="615"/>
      <c r="F24" s="615"/>
      <c r="G24" s="615"/>
      <c r="H24" s="3065">
        <f>IF(SUM(H25:H29)=0,"NO",SUM(H25:H29))</f>
        <v>197146.01491714569</v>
      </c>
      <c r="I24" s="3065">
        <f t="shared" ref="I24" si="10">IF(SUM(I25:I30)=0,"NO",SUM(I25:I30))</f>
        <v>9.7353694042206289</v>
      </c>
      <c r="J24" s="3065">
        <f t="shared" ref="J24" si="11">IF(SUM(J25:J30)=0,"NO",SUM(J25:J30))</f>
        <v>3.7187711566472248</v>
      </c>
      <c r="K24" s="3048" t="str">
        <f t="shared" ref="K24" si="12">IF(SUM(K25:K30)=0,"NO",SUM(K25:K30))</f>
        <v>NO</v>
      </c>
      <c r="L24" s="19"/>
    </row>
    <row r="25" spans="2:12" ht="18" customHeight="1" x14ac:dyDescent="0.2">
      <c r="B25" s="160" t="s">
        <v>243</v>
      </c>
      <c r="C25" s="3053">
        <f>IF(SUM(C33,C40,C47)=0,"NO",SUM(C33,C40,C47))</f>
        <v>34195.074341865969</v>
      </c>
      <c r="D25" s="3061" t="s">
        <v>97</v>
      </c>
      <c r="E25" s="3065">
        <f>IFERROR(H25*1000/$C25,"NA")</f>
        <v>68.910664904016286</v>
      </c>
      <c r="F25" s="1938">
        <f t="shared" ref="F25:G30" si="13">IFERROR(I25*1000000/$C25,"NA")</f>
        <v>3.1930174320730687</v>
      </c>
      <c r="G25" s="1938">
        <f t="shared" si="13"/>
        <v>0.37727268768967975</v>
      </c>
      <c r="H25" s="3065">
        <f>IF(SUM(H33,H40,H47)=0,"NO",SUM(H33,H40,H47))</f>
        <v>2356.4053093402513</v>
      </c>
      <c r="I25" s="3065">
        <f>IF(SUM(I33,I40,I47)=0,"NO",SUM(I33,I40,I47))</f>
        <v>0.10918546846461255</v>
      </c>
      <c r="J25" s="3065">
        <f>IF(SUM(J33,J40,J47)=0,"NO",SUM(J33,J40,J47))</f>
        <v>1.2900867602704182E-2</v>
      </c>
      <c r="K25" s="3048" t="str">
        <f>IF(SUM(K33,K40,K47)=0,"NO",SUM(K33,K40,K47))</f>
        <v>NO</v>
      </c>
      <c r="L25" s="19"/>
    </row>
    <row r="26" spans="2:12" ht="18" customHeight="1" x14ac:dyDescent="0.2">
      <c r="B26" s="160" t="s">
        <v>245</v>
      </c>
      <c r="C26" s="3065">
        <f t="shared" ref="C26:C30" si="14">IF(SUM(C34,C41,C48)=0,"NO",SUM(C34,C41,C48))</f>
        <v>1865257.661200349</v>
      </c>
      <c r="D26" s="3061" t="s">
        <v>97</v>
      </c>
      <c r="E26" s="3065">
        <f t="shared" ref="E26:E30" si="15">IFERROR(H26*1000/$C26,"NA")</f>
        <v>90.914512304250636</v>
      </c>
      <c r="F26" s="1938">
        <f t="shared" si="13"/>
        <v>0.66047592997750748</v>
      </c>
      <c r="G26" s="1938">
        <f t="shared" si="13"/>
        <v>1.5507123727061469</v>
      </c>
      <c r="H26" s="3065">
        <f t="shared" ref="H26:K30" si="16">IF(SUM(H34,H41,H48)=0,"NO",SUM(H34,H41,H48))</f>
        <v>169578.99058979691</v>
      </c>
      <c r="I26" s="3065">
        <f t="shared" si="16"/>
        <v>1.231957788428971</v>
      </c>
      <c r="J26" s="3065">
        <f t="shared" si="16"/>
        <v>2.8924781335083116</v>
      </c>
      <c r="K26" s="3048" t="str">
        <f t="shared" si="16"/>
        <v>NO</v>
      </c>
      <c r="L26" s="19"/>
    </row>
    <row r="27" spans="2:12" ht="18" customHeight="1" x14ac:dyDescent="0.2">
      <c r="B27" s="160" t="s">
        <v>246</v>
      </c>
      <c r="C27" s="3065">
        <f t="shared" si="14"/>
        <v>494970.08658852993</v>
      </c>
      <c r="D27" s="3061" t="s">
        <v>97</v>
      </c>
      <c r="E27" s="3065">
        <f t="shared" si="15"/>
        <v>50.933621447241478</v>
      </c>
      <c r="F27" s="1938">
        <f t="shared" si="13"/>
        <v>10.774695608049289</v>
      </c>
      <c r="G27" s="1938">
        <f t="shared" si="13"/>
        <v>1.4511921615368324</v>
      </c>
      <c r="H27" s="3065">
        <f t="shared" si="16"/>
        <v>25210.619018008518</v>
      </c>
      <c r="I27" s="3065">
        <f t="shared" si="16"/>
        <v>5.3331520180812095</v>
      </c>
      <c r="J27" s="3065">
        <f t="shared" si="16"/>
        <v>0.71829670985248184</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25050.058734900002</v>
      </c>
      <c r="D30" s="3061" t="s">
        <v>97</v>
      </c>
      <c r="E30" s="3065">
        <f t="shared" si="15"/>
        <v>72.175219285292769</v>
      </c>
      <c r="F30" s="1938">
        <f t="shared" si="13"/>
        <v>122.19828151465033</v>
      </c>
      <c r="G30" s="1938">
        <f t="shared" si="13"/>
        <v>3.7962164755821242</v>
      </c>
      <c r="H30" s="3065">
        <f t="shared" si="16"/>
        <v>1807.9934823008712</v>
      </c>
      <c r="I30" s="3065">
        <f t="shared" si="16"/>
        <v>3.0610741292458359</v>
      </c>
      <c r="J30" s="3065">
        <f t="shared" si="16"/>
        <v>9.5095445683727284E-2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2419472.8808656447</v>
      </c>
      <c r="D32" s="3056" t="s">
        <v>97</v>
      </c>
      <c r="E32" s="1939"/>
      <c r="F32" s="1939"/>
      <c r="G32" s="1939"/>
      <c r="H32" s="3065">
        <f>IF(SUM(H33:H37)=0,"NO",SUM(H33:H37))</f>
        <v>197146.01491714569</v>
      </c>
      <c r="I32" s="3065">
        <f t="shared" ref="I32" si="17">IF(SUM(I33:I38)=0,"NO",SUM(I33:I38))</f>
        <v>9.7353694042206289</v>
      </c>
      <c r="J32" s="3065">
        <f t="shared" ref="J32" si="18">IF(SUM(J33:J38)=0,"NO",SUM(J33:J38))</f>
        <v>3.7187711566472248</v>
      </c>
      <c r="K32" s="3048" t="str">
        <f t="shared" ref="K32" si="19">IF(SUM(K33:K38)=0,"NO",SUM(K33:K38))</f>
        <v>NO</v>
      </c>
      <c r="L32" s="19"/>
    </row>
    <row r="33" spans="2:12" ht="18" customHeight="1" x14ac:dyDescent="0.2">
      <c r="B33" s="160" t="s">
        <v>243</v>
      </c>
      <c r="C33" s="3014">
        <v>34195.074341865969</v>
      </c>
      <c r="D33" s="3056" t="s">
        <v>97</v>
      </c>
      <c r="E33" s="1938">
        <f>IFERROR(H33*1000/$C33,"NA")</f>
        <v>68.910664904016286</v>
      </c>
      <c r="F33" s="1938">
        <f t="shared" ref="F33:G38" si="20">IFERROR(I33*1000000/$C33,"NA")</f>
        <v>3.1930174320730687</v>
      </c>
      <c r="G33" s="1938">
        <f t="shared" si="20"/>
        <v>0.37727268768967975</v>
      </c>
      <c r="H33" s="3014">
        <v>2356.4053093402513</v>
      </c>
      <c r="I33" s="3014">
        <v>0.10918546846461255</v>
      </c>
      <c r="J33" s="3014">
        <v>1.2900867602704182E-2</v>
      </c>
      <c r="K33" s="3051" t="s">
        <v>199</v>
      </c>
      <c r="L33" s="19"/>
    </row>
    <row r="34" spans="2:12" ht="18" customHeight="1" x14ac:dyDescent="0.2">
      <c r="B34" s="160" t="s">
        <v>245</v>
      </c>
      <c r="C34" s="3014">
        <v>1865257.661200349</v>
      </c>
      <c r="D34" s="3056" t="s">
        <v>97</v>
      </c>
      <c r="E34" s="1938">
        <f t="shared" ref="E34:E38" si="21">IFERROR(H34*1000/$C34,"NA")</f>
        <v>90.914512304250636</v>
      </c>
      <c r="F34" s="1938">
        <f t="shared" si="20"/>
        <v>0.66047592997750748</v>
      </c>
      <c r="G34" s="1938">
        <f t="shared" si="20"/>
        <v>1.5507123727061469</v>
      </c>
      <c r="H34" s="3014">
        <v>169578.99058979691</v>
      </c>
      <c r="I34" s="3014">
        <v>1.231957788428971</v>
      </c>
      <c r="J34" s="3014">
        <v>2.8924781335083116</v>
      </c>
      <c r="K34" s="3051" t="s">
        <v>199</v>
      </c>
      <c r="L34" s="19"/>
    </row>
    <row r="35" spans="2:12" ht="18" customHeight="1" x14ac:dyDescent="0.2">
      <c r="B35" s="160" t="s">
        <v>246</v>
      </c>
      <c r="C35" s="3014">
        <v>494970.08658852993</v>
      </c>
      <c r="D35" s="3056" t="s">
        <v>97</v>
      </c>
      <c r="E35" s="1938">
        <f t="shared" si="21"/>
        <v>50.933621447241478</v>
      </c>
      <c r="F35" s="1938">
        <f t="shared" si="20"/>
        <v>10.774695608049289</v>
      </c>
      <c r="G35" s="1938">
        <f t="shared" si="20"/>
        <v>1.4511921615368324</v>
      </c>
      <c r="H35" s="3014">
        <v>25210.619018008518</v>
      </c>
      <c r="I35" s="3014">
        <v>5.3331520180812095</v>
      </c>
      <c r="J35" s="3014">
        <v>0.71829670985248184</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25050.058734900002</v>
      </c>
      <c r="D38" s="3056" t="s">
        <v>97</v>
      </c>
      <c r="E38" s="1938">
        <f t="shared" si="21"/>
        <v>72.175219285292769</v>
      </c>
      <c r="F38" s="1938">
        <f t="shared" si="20"/>
        <v>122.19828151465033</v>
      </c>
      <c r="G38" s="1938">
        <f t="shared" si="20"/>
        <v>3.7962164755821242</v>
      </c>
      <c r="H38" s="3014">
        <v>1807.9934823008712</v>
      </c>
      <c r="I38" s="3014">
        <v>3.0610741292458359</v>
      </c>
      <c r="J38" s="3014">
        <v>9.5095445683727284E-2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90161.242430900005</v>
      </c>
      <c r="D53" s="3056" t="s">
        <v>97</v>
      </c>
      <c r="E53" s="615"/>
      <c r="F53" s="615"/>
      <c r="G53" s="615"/>
      <c r="H53" s="3065">
        <f>IF(SUM(H54:H58)=0,"NO",SUM(H54:H58))</f>
        <v>5684.2987272370983</v>
      </c>
      <c r="I53" s="3065">
        <f t="shared" ref="I53:K53" si="28">IF(SUM(I54:I59)=0,"NO",SUM(I54:I59))</f>
        <v>8.7382984376381118E-2</v>
      </c>
      <c r="J53" s="3065">
        <f t="shared" si="28"/>
        <v>1.5758660194952943E-2</v>
      </c>
      <c r="K53" s="3048" t="str">
        <f t="shared" si="28"/>
        <v>NO</v>
      </c>
      <c r="L53" s="19"/>
    </row>
    <row r="54" spans="2:12" ht="18" customHeight="1" x14ac:dyDescent="0.2">
      <c r="B54" s="160" t="s">
        <v>243</v>
      </c>
      <c r="C54" s="3014">
        <v>75641.345581999994</v>
      </c>
      <c r="D54" s="3056" t="s">
        <v>97</v>
      </c>
      <c r="E54" s="1938">
        <f>IFERROR(H54*1000/$C54,"NA")</f>
        <v>65.57413313660507</v>
      </c>
      <c r="F54" s="1938">
        <f t="shared" ref="F54:G59" si="29">IFERROR(I54*1000000/$C54,"NA")</f>
        <v>0.95786094069310379</v>
      </c>
      <c r="G54" s="1938">
        <f t="shared" si="29"/>
        <v>0.1268219638724109</v>
      </c>
      <c r="H54" s="3014">
        <v>4960.1156658260215</v>
      </c>
      <c r="I54" s="3014">
        <v>7.2453890434466664E-2</v>
      </c>
      <c r="J54" s="3014">
        <v>9.5929839966609511E-3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14048.2028489</v>
      </c>
      <c r="D56" s="3056" t="s">
        <v>97</v>
      </c>
      <c r="E56" s="1938">
        <f t="shared" si="30"/>
        <v>51.411918339265014</v>
      </c>
      <c r="F56" s="1938">
        <f t="shared" si="29"/>
        <v>1.0281818181818183</v>
      </c>
      <c r="G56" s="1938">
        <f t="shared" si="29"/>
        <v>0.42463636363636365</v>
      </c>
      <c r="H56" s="3014">
        <v>722.2450576810769</v>
      </c>
      <c r="I56" s="3014">
        <v>1.4444106747369002E-2</v>
      </c>
      <c r="J56" s="3014">
        <v>5.9653777733829003E-3</v>
      </c>
      <c r="K56" s="3051" t="s">
        <v>199</v>
      </c>
    </row>
    <row r="57" spans="2:12" ht="18" customHeight="1" x14ac:dyDescent="0.2">
      <c r="B57" s="282" t="s">
        <v>247</v>
      </c>
      <c r="C57" s="3014">
        <v>471.69400000000002</v>
      </c>
      <c r="D57" s="3056" t="s">
        <v>97</v>
      </c>
      <c r="E57" s="1938">
        <f t="shared" si="30"/>
        <v>4.1086037346245661</v>
      </c>
      <c r="F57" s="1938">
        <f t="shared" si="29"/>
        <v>1.0281818181818181</v>
      </c>
      <c r="G57" s="1938">
        <f t="shared" si="29"/>
        <v>0.42463636363636359</v>
      </c>
      <c r="H57" s="3014">
        <v>1.9380037300000001</v>
      </c>
      <c r="I57" s="3014">
        <v>4.8498719454545449E-4</v>
      </c>
      <c r="J57" s="3014">
        <v>2.0029842490909089E-4</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274313.82909990533</v>
      </c>
      <c r="D60" s="3056" t="s">
        <v>97</v>
      </c>
      <c r="E60" s="615"/>
      <c r="F60" s="615"/>
      <c r="G60" s="615"/>
      <c r="H60" s="3065">
        <f>IF(SUM(H61:H65)=0,"NO",SUM(H61:H65))</f>
        <v>16183.162185877318</v>
      </c>
      <c r="I60" s="3065">
        <f t="shared" ref="I60:K60" si="31">IF(SUM(I61:I66)=0,"NO",SUM(I61:I66))</f>
        <v>8.2523172505154854</v>
      </c>
      <c r="J60" s="3065">
        <f t="shared" si="31"/>
        <v>0.44961262535252505</v>
      </c>
      <c r="K60" s="3048" t="str">
        <f t="shared" si="31"/>
        <v>NO</v>
      </c>
      <c r="L60" s="19"/>
    </row>
    <row r="61" spans="2:12" ht="18" customHeight="1" x14ac:dyDescent="0.2">
      <c r="B61" s="160" t="s">
        <v>243</v>
      </c>
      <c r="C61" s="3053">
        <f>IF(SUM(C69,C76,C83)=0,"NO",SUM(C69,C76,C83))</f>
        <v>80189.595733199996</v>
      </c>
      <c r="D61" s="3056" t="s">
        <v>97</v>
      </c>
      <c r="E61" s="1938">
        <f>IFERROR(H61*1000/$C61,"NA")</f>
        <v>69.613598870768939</v>
      </c>
      <c r="F61" s="1938">
        <f t="shared" ref="F61:G66" si="32">IFERROR(I61*1000000/$C61,"NA")</f>
        <v>3.5272568170433445</v>
      </c>
      <c r="G61" s="1938">
        <f t="shared" si="32"/>
        <v>3.4503668939710281</v>
      </c>
      <c r="H61" s="3053">
        <f>IF(SUM(H69,H76,H83)=0,"NO",SUM(H69,H76,H83))</f>
        <v>5582.2863509801082</v>
      </c>
      <c r="I61" s="3053">
        <f>IF(SUM(I69,I76,I83)=0,"NO",SUM(I69,I76,I83))</f>
        <v>0.28284929820587956</v>
      </c>
      <c r="J61" s="3053">
        <f>IF(SUM(J69,J76,J83)=0,"NO",SUM(J69,J76,J83))</f>
        <v>0.27668352635875365</v>
      </c>
      <c r="K61" s="3067" t="str">
        <f>IF(SUM(K69,K76,K83)=0,"NO",SUM(K69,K76,K83))</f>
        <v>NO</v>
      </c>
    </row>
    <row r="62" spans="2:12" ht="18" customHeight="1" x14ac:dyDescent="0.2">
      <c r="B62" s="160" t="s">
        <v>245</v>
      </c>
      <c r="C62" s="3053">
        <f t="shared" ref="C62:C66" si="33">IF(SUM(C70,C77,C84)=0,"NO",SUM(C70,C77,C84))</f>
        <v>19303.698568105254</v>
      </c>
      <c r="D62" s="3056" t="s">
        <v>97</v>
      </c>
      <c r="E62" s="1938">
        <f t="shared" ref="E62:E66" si="34">IFERROR(H62*1000/$C62,"NA")</f>
        <v>86.112422536140954</v>
      </c>
      <c r="F62" s="1938">
        <f t="shared" si="32"/>
        <v>0.96112570104457318</v>
      </c>
      <c r="G62" s="1938">
        <f t="shared" si="32"/>
        <v>0.79712124548100383</v>
      </c>
      <c r="H62" s="3053">
        <f t="shared" ref="H62:K66" si="35">IF(SUM(H70,H77,H84)=0,"NO",SUM(H70,H77,H84))</f>
        <v>1662.2882476069788</v>
      </c>
      <c r="I62" s="3053">
        <f t="shared" si="35"/>
        <v>1.8553280819023285E-2</v>
      </c>
      <c r="J62" s="3053">
        <f t="shared" si="35"/>
        <v>1.538738824499793E-2</v>
      </c>
      <c r="K62" s="3067" t="str">
        <f t="shared" si="35"/>
        <v>NO</v>
      </c>
    </row>
    <row r="63" spans="2:12" ht="18" customHeight="1" x14ac:dyDescent="0.2">
      <c r="B63" s="160" t="s">
        <v>246</v>
      </c>
      <c r="C63" s="3053">
        <f t="shared" si="33"/>
        <v>173860.48607280006</v>
      </c>
      <c r="D63" s="3056" t="s">
        <v>97</v>
      </c>
      <c r="E63" s="1938">
        <f t="shared" si="34"/>
        <v>51.412415720196506</v>
      </c>
      <c r="F63" s="1938">
        <f t="shared" si="32"/>
        <v>45.711714017987568</v>
      </c>
      <c r="G63" s="1938">
        <f t="shared" si="32"/>
        <v>0.88632483265536122</v>
      </c>
      <c r="H63" s="3053">
        <f t="shared" si="35"/>
        <v>8938.5875872902307</v>
      </c>
      <c r="I63" s="3053">
        <f t="shared" si="35"/>
        <v>7.9474608183881461</v>
      </c>
      <c r="J63" s="3053">
        <f t="shared" si="35"/>
        <v>0.15409686622385427</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960.04872580000006</v>
      </c>
      <c r="D66" s="3056" t="s">
        <v>97</v>
      </c>
      <c r="E66" s="1938">
        <f t="shared" si="34"/>
        <v>68.109668109668092</v>
      </c>
      <c r="F66" s="1938">
        <f t="shared" si="32"/>
        <v>3.5975810493976867</v>
      </c>
      <c r="G66" s="1938">
        <f t="shared" si="32"/>
        <v>3.5881975907510704</v>
      </c>
      <c r="H66" s="3053">
        <f t="shared" si="35"/>
        <v>65.388600083347754</v>
      </c>
      <c r="I66" s="3053">
        <f t="shared" si="35"/>
        <v>3.4538531024364762E-3</v>
      </c>
      <c r="J66" s="3053">
        <f t="shared" si="35"/>
        <v>3.4448445249191952E-3</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19307.261914505256</v>
      </c>
      <c r="D68" s="3056" t="s">
        <v>97</v>
      </c>
      <c r="E68" s="615"/>
      <c r="F68" s="615"/>
      <c r="G68" s="615"/>
      <c r="H68" s="3065">
        <f>IF(SUM(H69:H73)=0,"NO",SUM(H69:H73))</f>
        <v>1662.5381669753028</v>
      </c>
      <c r="I68" s="3065">
        <f t="shared" ref="I68:K68" si="36">IF(SUM(I69:I74)=0,"NO",SUM(I69:I74))</f>
        <v>1.8565370573296599E-2</v>
      </c>
      <c r="J68" s="3065">
        <f t="shared" si="36"/>
        <v>1.5399233676726633E-2</v>
      </c>
      <c r="K68" s="3048" t="str">
        <f t="shared" si="36"/>
        <v>NO</v>
      </c>
    </row>
    <row r="69" spans="2:11" ht="18" customHeight="1" x14ac:dyDescent="0.2">
      <c r="B69" s="282" t="s">
        <v>243</v>
      </c>
      <c r="C69" s="3014">
        <v>3.5593219999999999</v>
      </c>
      <c r="D69" s="3055" t="s">
        <v>97</v>
      </c>
      <c r="E69" s="1938">
        <f>IFERROR(H69*1000/$C69,"NA")</f>
        <v>70.157312600545836</v>
      </c>
      <c r="F69" s="1938">
        <f t="shared" ref="F69:G74" si="37">IFERROR(I69*1000000/$C69,"NA")</f>
        <v>3.3944117037013095</v>
      </c>
      <c r="G69" s="1938">
        <f t="shared" si="37"/>
        <v>3.3270018465349525</v>
      </c>
      <c r="H69" s="3014">
        <v>0.24971246620000001</v>
      </c>
      <c r="I69" s="3014">
        <v>1.2081804254041552E-5</v>
      </c>
      <c r="J69" s="3014">
        <v>1.1841870866412481E-5</v>
      </c>
      <c r="K69" s="3051" t="s">
        <v>199</v>
      </c>
    </row>
    <row r="70" spans="2:11" ht="18" customHeight="1" x14ac:dyDescent="0.2">
      <c r="B70" s="282" t="s">
        <v>245</v>
      </c>
      <c r="C70" s="3014">
        <v>19303.698568105254</v>
      </c>
      <c r="D70" s="3055" t="s">
        <v>97</v>
      </c>
      <c r="E70" s="1938">
        <f t="shared" ref="E70:E74" si="38">IFERROR(H70*1000/$C70,"NA")</f>
        <v>86.112422536140954</v>
      </c>
      <c r="F70" s="1938">
        <f t="shared" si="37"/>
        <v>0.96112570104457318</v>
      </c>
      <c r="G70" s="1938">
        <f t="shared" si="37"/>
        <v>0.79712124548100383</v>
      </c>
      <c r="H70" s="3014">
        <v>1662.2882476069788</v>
      </c>
      <c r="I70" s="3014">
        <v>1.8553280819023285E-2</v>
      </c>
      <c r="J70" s="3014">
        <v>1.538738824499793E-2</v>
      </c>
      <c r="K70" s="3051" t="s">
        <v>199</v>
      </c>
    </row>
    <row r="71" spans="2:11" ht="18" customHeight="1" x14ac:dyDescent="0.2">
      <c r="B71" s="160" t="s">
        <v>246</v>
      </c>
      <c r="C71" s="3014">
        <v>4.0244E-3</v>
      </c>
      <c r="D71" s="3055" t="s">
        <v>97</v>
      </c>
      <c r="E71" s="1938">
        <f t="shared" si="38"/>
        <v>51.411918339265</v>
      </c>
      <c r="F71" s="1938">
        <f t="shared" si="37"/>
        <v>1.9754545454545454</v>
      </c>
      <c r="G71" s="1938">
        <f t="shared" si="37"/>
        <v>0.88481818181818173</v>
      </c>
      <c r="H71" s="3014">
        <v>2.0690212416453807E-4</v>
      </c>
      <c r="I71" s="3014">
        <v>7.9500192727272725E-9</v>
      </c>
      <c r="J71" s="3014">
        <v>3.5608622909090902E-9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167985.74535820005</v>
      </c>
      <c r="D75" s="3056" t="s">
        <v>97</v>
      </c>
      <c r="E75" s="615"/>
      <c r="F75" s="615"/>
      <c r="G75" s="615"/>
      <c r="H75" s="3065">
        <f>IF(SUM(H76:H80)=0,"NO",SUM(H76:H80))</f>
        <v>8707.4385931104207</v>
      </c>
      <c r="I75" s="3065">
        <f t="shared" ref="I75:K75" si="39">IF(SUM(I76:I81)=0,"NO",SUM(I76:I81))</f>
        <v>7.9227767459643745</v>
      </c>
      <c r="J75" s="3065">
        <f t="shared" si="39"/>
        <v>0.15172649532444768</v>
      </c>
      <c r="K75" s="3048" t="str">
        <f t="shared" si="39"/>
        <v>NO</v>
      </c>
    </row>
    <row r="76" spans="2:11" ht="18" customHeight="1" x14ac:dyDescent="0.2">
      <c r="B76" s="282" t="s">
        <v>243</v>
      </c>
      <c r="C76" s="3014">
        <v>4917.1373141000013</v>
      </c>
      <c r="D76" s="3055" t="s">
        <v>97</v>
      </c>
      <c r="E76" s="1938">
        <f>IFERROR(H76*1000/$C76,"NA")</f>
        <v>65.844944317728121</v>
      </c>
      <c r="F76" s="1938">
        <f t="shared" ref="F76:G81" si="40">IFERROR(I76*1000000/$C76,"NA")</f>
        <v>2.4820241644173708</v>
      </c>
      <c r="G76" s="1938">
        <f t="shared" si="40"/>
        <v>1.5131621445489789</v>
      </c>
      <c r="H76" s="3014">
        <v>323.76863264953784</v>
      </c>
      <c r="I76" s="3014">
        <v>1.2204453633354531E-2</v>
      </c>
      <c r="J76" s="3014">
        <v>7.4404260432453639E-3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163068.60804410005</v>
      </c>
      <c r="D78" s="3055" t="s">
        <v>97</v>
      </c>
      <c r="E78" s="1938">
        <f t="shared" si="41"/>
        <v>51.411918339264986</v>
      </c>
      <c r="F78" s="1938">
        <f t="shared" si="40"/>
        <v>48.510699804291555</v>
      </c>
      <c r="G78" s="1938">
        <f t="shared" si="40"/>
        <v>0.88481818181818173</v>
      </c>
      <c r="H78" s="3014">
        <v>8383.6699604608821</v>
      </c>
      <c r="I78" s="3014">
        <v>7.91057229233102</v>
      </c>
      <c r="J78" s="3014">
        <v>0.14428606928120233</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87020.821827199994</v>
      </c>
      <c r="D82" s="3056" t="s">
        <v>97</v>
      </c>
      <c r="E82" s="615"/>
      <c r="F82" s="615"/>
      <c r="G82" s="615"/>
      <c r="H82" s="3065">
        <f>IF(SUM(H83:H87)=0,"NO",SUM(H83:H87))</f>
        <v>5813.1854257915938</v>
      </c>
      <c r="I82" s="3065">
        <f t="shared" ref="I82:K82" si="42">IF(SUM(I83:I88)=0,"NO",SUM(I83:I88))</f>
        <v>0.31097513397781462</v>
      </c>
      <c r="J82" s="3065">
        <f t="shared" si="42"/>
        <v>0.28248689635135071</v>
      </c>
      <c r="K82" s="3048" t="str">
        <f t="shared" si="42"/>
        <v>NO</v>
      </c>
    </row>
    <row r="83" spans="2:11" ht="18" customHeight="1" x14ac:dyDescent="0.2">
      <c r="B83" s="282" t="s">
        <v>243</v>
      </c>
      <c r="C83" s="3014">
        <v>75268.899097099988</v>
      </c>
      <c r="D83" s="3055" t="s">
        <v>97</v>
      </c>
      <c r="E83" s="1938">
        <f>IFERROR(H83*1000/$C83,"NA")</f>
        <v>69.859770355894099</v>
      </c>
      <c r="F83" s="1938">
        <f t="shared" ref="F83:G88" si="43">IFERROR(I83*1000000/$C83,"NA")</f>
        <v>3.5955456505235119</v>
      </c>
      <c r="G83" s="1938">
        <f t="shared" si="43"/>
        <v>3.5769256847681854</v>
      </c>
      <c r="H83" s="3014">
        <v>5258.26800586437</v>
      </c>
      <c r="I83" s="3014">
        <v>0.27063276276827097</v>
      </c>
      <c r="J83" s="3014">
        <v>0.26923125844464185</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10791.874004300002</v>
      </c>
      <c r="D85" s="3055" t="s">
        <v>97</v>
      </c>
      <c r="E85" s="1938">
        <f t="shared" si="44"/>
        <v>51.419931302581745</v>
      </c>
      <c r="F85" s="1938">
        <f t="shared" si="43"/>
        <v>3.418175387556325</v>
      </c>
      <c r="G85" s="1938">
        <f t="shared" si="43"/>
        <v>0.90909080090080185</v>
      </c>
      <c r="H85" s="3014">
        <v>554.91741992722382</v>
      </c>
      <c r="I85" s="3014">
        <v>3.6888518107107186E-2</v>
      </c>
      <c r="J85" s="3014">
        <v>9.8107933817896311E-3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960.04872580000006</v>
      </c>
      <c r="D88" s="3063" t="s">
        <v>97</v>
      </c>
      <c r="E88" s="2891">
        <f t="shared" si="44"/>
        <v>68.109668109668092</v>
      </c>
      <c r="F88" s="2891">
        <f t="shared" si="43"/>
        <v>3.5975810493976867</v>
      </c>
      <c r="G88" s="2891">
        <f t="shared" si="43"/>
        <v>3.5881975907510704</v>
      </c>
      <c r="H88" s="3021">
        <v>65.388600083347754</v>
      </c>
      <c r="I88" s="3021">
        <v>3.4538531024364762E-3</v>
      </c>
      <c r="J88" s="3021">
        <v>3.4448445249191952E-3</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23425077.1414373</v>
      </c>
      <c r="G10" s="4346" t="s">
        <v>205</v>
      </c>
      <c r="H10" s="4347">
        <f t="shared" ref="H10:H13" si="0">IF(SUM($F10)=0,"NA",K10*1000/$F10)</f>
        <v>2.923095004866284E-2</v>
      </c>
      <c r="I10" s="4348">
        <f t="shared" ref="I10:I13" si="1">IF(SUM($F10)=0,"NA",L10*1000/$F10)</f>
        <v>6.5120932452664637E-4</v>
      </c>
      <c r="J10" s="4349" t="str">
        <f>IF(SUM(J11,J25,J36,J48,J59,J70,J76)=0,"IE",SUM(J11,J25,J36,J48,J59,J70,J76))</f>
        <v>IE</v>
      </c>
      <c r="K10" s="4350">
        <f>IF(SUM(K11,K25,K36,K48,K59,K70,K76)=0,"NO",SUM(K11,K25,K36,K48,K59,K70,K76))</f>
        <v>684.73725980742745</v>
      </c>
      <c r="L10" s="4351">
        <f>IF(SUM(L11,L25,L36,L48,L59,L70,L76)=0,"NO",SUM(L11,L25,L36,L48,L59,L70,L76))</f>
        <v>15.254628662259968</v>
      </c>
    </row>
    <row r="11" spans="2:13" ht="18" customHeight="1" x14ac:dyDescent="0.2">
      <c r="B11" s="934" t="s">
        <v>1662</v>
      </c>
      <c r="C11" s="4352"/>
      <c r="D11" s="4353"/>
      <c r="E11" s="2866" t="s">
        <v>1661</v>
      </c>
      <c r="F11" s="4354">
        <f>IF(SUM(F12,F19)=0,"NO",SUM(F12,F19))</f>
        <v>4081102.3990608514</v>
      </c>
      <c r="G11" s="4355" t="s">
        <v>205</v>
      </c>
      <c r="H11" s="4356">
        <f t="shared" si="0"/>
        <v>8.390734989956751E-2</v>
      </c>
      <c r="I11" s="4357">
        <f t="shared" si="1"/>
        <v>1.339213162613082E-3</v>
      </c>
      <c r="J11" s="4358" t="str">
        <f>IF(SUM(J12,J19)=0,"IE",SUM(J12,J19))</f>
        <v>IE</v>
      </c>
      <c r="K11" s="4359">
        <f>IF(SUM(K12,K19)=0,"NO",SUM(K12,K19))</f>
        <v>342.43448697396326</v>
      </c>
      <c r="L11" s="4360">
        <f>IF(SUM(L12,L19)=0,"NO",SUM(L12,L19))</f>
        <v>5.4654660507941193</v>
      </c>
      <c r="M11" s="472"/>
    </row>
    <row r="12" spans="2:13" ht="18" customHeight="1" x14ac:dyDescent="0.2">
      <c r="B12" s="906" t="s">
        <v>1663</v>
      </c>
      <c r="C12" s="4361"/>
      <c r="D12" s="4362"/>
      <c r="E12" s="4363" t="s">
        <v>1661</v>
      </c>
      <c r="F12" s="4364">
        <f>IF(SUM(F13,F17)=0,"NO",SUM(F13,F17))</f>
        <v>4075986.2764804848</v>
      </c>
      <c r="G12" s="4365" t="str">
        <f>IFERROR(IF(SUM($F12)=0,"NA",J12*1000/$F12),"NA")</f>
        <v>NA</v>
      </c>
      <c r="H12" s="4366">
        <f t="shared" si="0"/>
        <v>8.3169172997029639E-2</v>
      </c>
      <c r="I12" s="4367">
        <f t="shared" si="1"/>
        <v>1.3277297680503463E-3</v>
      </c>
      <c r="J12" s="4170" t="str">
        <f>IF(SUM(J13,J17)=0,"IE",SUM(J13,J17))</f>
        <v>IE</v>
      </c>
      <c r="K12" s="3057">
        <f>IF(SUM(K13,K17)=0,"NO",SUM(K13,K17))</f>
        <v>338.99640776212414</v>
      </c>
      <c r="L12" s="3106">
        <f>IF(SUM(L13,L17)=0,"NO",SUM(L13,L17))</f>
        <v>5.4118083134478292</v>
      </c>
    </row>
    <row r="13" spans="2:13" ht="18" customHeight="1" x14ac:dyDescent="0.2">
      <c r="B13" s="926" t="s">
        <v>1664</v>
      </c>
      <c r="C13" s="4361"/>
      <c r="D13" s="4362"/>
      <c r="E13" s="4363" t="s">
        <v>1661</v>
      </c>
      <c r="F13" s="4368">
        <f>IF(SUM(F14:F16)=0,"NO",SUM(F14:F16))</f>
        <v>3972337.3717723517</v>
      </c>
      <c r="G13" s="4369" t="str">
        <f t="shared" ref="G13:G76" si="2">IFERROR(IF(SUM($F13)=0,"NA",J13*1000/$F13),"NA")</f>
        <v>NA</v>
      </c>
      <c r="H13" s="4370">
        <f t="shared" si="0"/>
        <v>5.6769257089958891E-2</v>
      </c>
      <c r="I13" s="4371">
        <f t="shared" si="1"/>
        <v>1.0962989114737362E-3</v>
      </c>
      <c r="J13" s="4170" t="str">
        <f>IF(SUM(J14:J16)=0,"IE",SUM(J14:J16))</f>
        <v>IE</v>
      </c>
      <c r="K13" s="4170">
        <f>IF(SUM(K14:K16)=0,"NO",SUM(K14:K16))</f>
        <v>225.50664150619625</v>
      </c>
      <c r="L13" s="4372">
        <f>IF(SUM(L14:L16)=0,"NO",SUM(L14:L16))</f>
        <v>4.3548691366804713</v>
      </c>
      <c r="M13" s="472"/>
    </row>
    <row r="14" spans="2:13" ht="18" customHeight="1" x14ac:dyDescent="0.2">
      <c r="B14" s="926"/>
      <c r="C14" s="2864" t="s">
        <v>1665</v>
      </c>
      <c r="D14" s="4373" t="s">
        <v>1219</v>
      </c>
      <c r="E14" s="4374" t="s">
        <v>1661</v>
      </c>
      <c r="F14" s="4375">
        <v>339898.0493748117</v>
      </c>
      <c r="G14" s="4369" t="str">
        <f t="shared" si="2"/>
        <v>NA</v>
      </c>
      <c r="H14" s="4370">
        <f>IF(SUM($F14)=0,"NA",K14*1000/$F14)</f>
        <v>0.11845273298510162</v>
      </c>
      <c r="I14" s="4371">
        <f>IF(SUM($F14)=0,"NA",L14*1000/$F14)</f>
        <v>1.2036385562387785E-3</v>
      </c>
      <c r="J14" s="4376" t="s">
        <v>274</v>
      </c>
      <c r="K14" s="4377">
        <v>40.261852884751455</v>
      </c>
      <c r="L14" s="4378">
        <v>0.40911439741787542</v>
      </c>
      <c r="M14" s="472"/>
    </row>
    <row r="15" spans="2:13" ht="18" customHeight="1" x14ac:dyDescent="0.2">
      <c r="B15" s="926"/>
      <c r="C15" s="2864" t="s">
        <v>1666</v>
      </c>
      <c r="D15" s="4373" t="s">
        <v>1219</v>
      </c>
      <c r="E15" s="4379" t="s">
        <v>1661</v>
      </c>
      <c r="F15" s="4380">
        <v>7252.6116568014695</v>
      </c>
      <c r="G15" s="4369" t="str">
        <f t="shared" si="2"/>
        <v>NA</v>
      </c>
      <c r="H15" s="4370">
        <f t="shared" ref="H15:H77" si="3">IF(SUM($F15)=0,"NA",K15*1000/$F15)</f>
        <v>1.4013378908645613</v>
      </c>
      <c r="I15" s="4371">
        <f t="shared" ref="I15:I77" si="4">IF(SUM($F15)=0,"NA",L15*1000/$F15)</f>
        <v>2.5905287954732372E-2</v>
      </c>
      <c r="J15" s="4376" t="s">
        <v>274</v>
      </c>
      <c r="K15" s="4377">
        <v>10.163359522401903</v>
      </c>
      <c r="L15" s="4381">
        <v>0.1878809933932907</v>
      </c>
      <c r="M15" s="472"/>
    </row>
    <row r="16" spans="2:13" ht="18" customHeight="1" x14ac:dyDescent="0.2">
      <c r="B16" s="926"/>
      <c r="C16" s="2864" t="s">
        <v>1342</v>
      </c>
      <c r="D16" s="4373" t="s">
        <v>1219</v>
      </c>
      <c r="E16" s="4379" t="s">
        <v>1661</v>
      </c>
      <c r="F16" s="4380">
        <v>3625186.7107407385</v>
      </c>
      <c r="G16" s="4369" t="str">
        <f t="shared" si="2"/>
        <v>NA</v>
      </c>
      <c r="H16" s="4370">
        <f t="shared" si="3"/>
        <v>4.8295837723422608E-2</v>
      </c>
      <c r="I16" s="4371">
        <f t="shared" si="4"/>
        <v>1.0366014348269126E-3</v>
      </c>
      <c r="J16" s="4376" t="s">
        <v>274</v>
      </c>
      <c r="K16" s="4377">
        <v>175.08142909904288</v>
      </c>
      <c r="L16" s="4381">
        <v>3.7578737458693054</v>
      </c>
      <c r="M16" s="472"/>
    </row>
    <row r="17" spans="2:13" ht="18" customHeight="1" x14ac:dyDescent="0.2">
      <c r="B17" s="926" t="s">
        <v>1667</v>
      </c>
      <c r="C17" s="4361"/>
      <c r="D17" s="4362"/>
      <c r="E17" s="4382" t="s">
        <v>1661</v>
      </c>
      <c r="F17" s="4368">
        <f>F18</f>
        <v>103648.90470813322</v>
      </c>
      <c r="G17" s="4369" t="str">
        <f t="shared" si="2"/>
        <v>NA</v>
      </c>
      <c r="H17" s="4370">
        <f t="shared" si="3"/>
        <v>1.0949441923723719</v>
      </c>
      <c r="I17" s="4371">
        <f t="shared" si="4"/>
        <v>1.0197301937185071E-2</v>
      </c>
      <c r="J17" s="4170" t="str">
        <f>J18</f>
        <v>IE</v>
      </c>
      <c r="K17" s="4170">
        <f>K18</f>
        <v>113.48976625592788</v>
      </c>
      <c r="L17" s="4372">
        <f>L18</f>
        <v>1.0569391767673579</v>
      </c>
      <c r="M17" s="472"/>
    </row>
    <row r="18" spans="2:13" ht="18" customHeight="1" x14ac:dyDescent="0.2">
      <c r="B18" s="926"/>
      <c r="C18" s="2864" t="s">
        <v>1668</v>
      </c>
      <c r="D18" s="4373" t="s">
        <v>1219</v>
      </c>
      <c r="E18" s="4379" t="s">
        <v>1661</v>
      </c>
      <c r="F18" s="4375">
        <v>103648.90470813322</v>
      </c>
      <c r="G18" s="4369" t="str">
        <f t="shared" si="2"/>
        <v>NA</v>
      </c>
      <c r="H18" s="4370">
        <f t="shared" si="3"/>
        <v>1.0949441923723719</v>
      </c>
      <c r="I18" s="4371">
        <f t="shared" si="4"/>
        <v>1.0197301937185071E-2</v>
      </c>
      <c r="J18" s="4376" t="s">
        <v>274</v>
      </c>
      <c r="K18" s="4377">
        <v>113.48976625592788</v>
      </c>
      <c r="L18" s="4378">
        <v>1.0569391767673579</v>
      </c>
      <c r="M18" s="472"/>
    </row>
    <row r="19" spans="2:13" ht="18" customHeight="1" x14ac:dyDescent="0.2">
      <c r="B19" s="906" t="s">
        <v>1669</v>
      </c>
      <c r="C19" s="4361"/>
      <c r="D19" s="4362"/>
      <c r="E19" s="4382" t="s">
        <v>1661</v>
      </c>
      <c r="F19" s="4383">
        <f>IF(SUM(F20,F23)=0,"NO",SUM(F20,F23))</f>
        <v>5116.1225803665102</v>
      </c>
      <c r="G19" s="4365" t="s">
        <v>205</v>
      </c>
      <c r="H19" s="4366">
        <f t="shared" si="3"/>
        <v>0.67200876402629217</v>
      </c>
      <c r="I19" s="4367">
        <f t="shared" si="4"/>
        <v>1.0487969454095081E-2</v>
      </c>
      <c r="J19" s="4170" t="str">
        <f>IF(SUM(J20,J23)=0,"IE",SUM(J20,J23))</f>
        <v>IE</v>
      </c>
      <c r="K19" s="3057">
        <f>IF(SUM(K20,K23)=0,"NO",SUM(K20,K23))</f>
        <v>3.4380792118391033</v>
      </c>
      <c r="L19" s="3106">
        <f>IF(SUM(L20,L23)=0,"NO",SUM(L20,L23))</f>
        <v>5.3657737346290063E-2</v>
      </c>
    </row>
    <row r="20" spans="2:13" ht="18" customHeight="1" x14ac:dyDescent="0.2">
      <c r="B20" s="926" t="s">
        <v>1670</v>
      </c>
      <c r="C20" s="4361"/>
      <c r="D20" s="4362"/>
      <c r="E20" s="4382" t="s">
        <v>1661</v>
      </c>
      <c r="F20" s="4368">
        <f>IF(SUM(F21:F22)=0,"NO",SUM(F21:F22))</f>
        <v>1939.630293229143</v>
      </c>
      <c r="G20" s="4369" t="str">
        <f t="shared" si="2"/>
        <v>NA</v>
      </c>
      <c r="H20" s="4370">
        <f t="shared" si="3"/>
        <v>1.1965090089088131</v>
      </c>
      <c r="I20" s="4371">
        <f t="shared" si="4"/>
        <v>2.2281890767500881E-2</v>
      </c>
      <c r="J20" s="4170" t="str">
        <f>IF(SUM(J21:J22)=0,"IE",SUM(J21:J22))</f>
        <v>IE</v>
      </c>
      <c r="K20" s="4170">
        <f>IF(SUM(K21:K22)=0,"NO",SUM(K21:K22))</f>
        <v>2.3207851198011125</v>
      </c>
      <c r="L20" s="4372">
        <f>IF(SUM(L21:L22)=0,"NO",SUM(L21:L22))</f>
        <v>4.3218630323067463E-2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2.2392444681845816</v>
      </c>
      <c r="L21" s="4378">
        <v>4.1394922043801075E-2</v>
      </c>
      <c r="M21" s="472"/>
    </row>
    <row r="22" spans="2:13" ht="18" customHeight="1" x14ac:dyDescent="0.2">
      <c r="B22" s="926"/>
      <c r="C22" s="2864" t="s">
        <v>1342</v>
      </c>
      <c r="D22" s="4373" t="s">
        <v>1219</v>
      </c>
      <c r="E22" s="4379" t="s">
        <v>1661</v>
      </c>
      <c r="F22" s="4380">
        <v>1939.630293229143</v>
      </c>
      <c r="G22" s="4369" t="str">
        <f t="shared" si="2"/>
        <v>NA</v>
      </c>
      <c r="H22" s="4370">
        <f t="shared" si="3"/>
        <v>4.2039275165567859E-2</v>
      </c>
      <c r="I22" s="4371">
        <f t="shared" si="4"/>
        <v>9.4023499510838965E-4</v>
      </c>
      <c r="J22" s="4376" t="s">
        <v>274</v>
      </c>
      <c r="K22" s="4377">
        <v>8.1540651616531026E-2</v>
      </c>
      <c r="L22" s="4381">
        <v>1.8237082792663876E-3</v>
      </c>
      <c r="M22" s="472"/>
    </row>
    <row r="23" spans="2:13" ht="18" customHeight="1" x14ac:dyDescent="0.2">
      <c r="B23" s="926" t="s">
        <v>1671</v>
      </c>
      <c r="C23" s="4361"/>
      <c r="D23" s="4362"/>
      <c r="E23" s="4382" t="s">
        <v>1661</v>
      </c>
      <c r="F23" s="4368">
        <f>F24</f>
        <v>3176.4922871373674</v>
      </c>
      <c r="G23" s="4369" t="str">
        <f t="shared" si="2"/>
        <v>NA</v>
      </c>
      <c r="H23" s="4370">
        <f t="shared" si="3"/>
        <v>0.35173832990631576</v>
      </c>
      <c r="I23" s="4371">
        <f t="shared" si="4"/>
        <v>3.2863630947551434E-3</v>
      </c>
      <c r="J23" s="4170" t="str">
        <f>J24</f>
        <v>IE</v>
      </c>
      <c r="K23" s="4170">
        <f>K24</f>
        <v>1.1172940920379908</v>
      </c>
      <c r="L23" s="4372">
        <f>L24</f>
        <v>1.0439107023222602E-2</v>
      </c>
      <c r="M23" s="472"/>
    </row>
    <row r="24" spans="2:13" ht="18" customHeight="1" thickBot="1" x14ac:dyDescent="0.25">
      <c r="B24" s="936"/>
      <c r="C24" s="2865" t="s">
        <v>1672</v>
      </c>
      <c r="D24" s="4384" t="s">
        <v>1219</v>
      </c>
      <c r="E24" s="4385" t="s">
        <v>1661</v>
      </c>
      <c r="F24" s="4386">
        <v>3176.4922871373674</v>
      </c>
      <c r="G24" s="4387" t="str">
        <f t="shared" si="2"/>
        <v>NA</v>
      </c>
      <c r="H24" s="4388">
        <f t="shared" si="3"/>
        <v>0.35173832990631576</v>
      </c>
      <c r="I24" s="4389">
        <f t="shared" si="4"/>
        <v>3.2863630947551434E-3</v>
      </c>
      <c r="J24" s="4390" t="s">
        <v>274</v>
      </c>
      <c r="K24" s="4391">
        <v>1.1172940920379908</v>
      </c>
      <c r="L24" s="4392">
        <v>1.0439107023222602E-2</v>
      </c>
      <c r="M24" s="472"/>
    </row>
    <row r="25" spans="2:13" ht="18" customHeight="1" x14ac:dyDescent="0.2">
      <c r="B25" s="934" t="s">
        <v>1673</v>
      </c>
      <c r="C25" s="4352"/>
      <c r="D25" s="4353"/>
      <c r="E25" s="4393" t="s">
        <v>1661</v>
      </c>
      <c r="F25" s="4394">
        <f>IF(SUM(F26,F31)=0,"IE",SUM(F26,F31))</f>
        <v>18893.906026771314</v>
      </c>
      <c r="G25" s="4355" t="str">
        <f t="shared" si="2"/>
        <v>NA</v>
      </c>
      <c r="H25" s="4356">
        <f t="shared" si="3"/>
        <v>8.4179455187967503E-2</v>
      </c>
      <c r="I25" s="4357">
        <f t="shared" si="4"/>
        <v>1.5561507618775661E-3</v>
      </c>
      <c r="J25" s="4358" t="str">
        <f>IF(SUM(J26,J31)=0,"IE",SUM(J26,J31))</f>
        <v>IE</v>
      </c>
      <c r="K25" s="4359">
        <f>IF(SUM(K26,K31)=0,"IE",SUM(K26,K31))</f>
        <v>1.590478715706265</v>
      </c>
      <c r="L25" s="4360">
        <f>IF(SUM(L26,L31)=0,"IE",SUM(L26,L31))</f>
        <v>2.9401766258403315E-2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18893.906026771314</v>
      </c>
      <c r="G31" s="4365" t="str">
        <f t="shared" si="2"/>
        <v>NA</v>
      </c>
      <c r="H31" s="4366">
        <f t="shared" si="3"/>
        <v>8.4179455187967503E-2</v>
      </c>
      <c r="I31" s="4367">
        <f t="shared" si="4"/>
        <v>1.5561507618775661E-3</v>
      </c>
      <c r="J31" s="4170" t="str">
        <f>IF(SUM(J32,J34)=0,"IE",SUM(J32,J34))</f>
        <v>IE</v>
      </c>
      <c r="K31" s="4170">
        <f t="shared" ref="K31:L31" si="6">IF(SUM(K32,K34)=0,"IE",SUM(K32,K34))</f>
        <v>1.590478715706265</v>
      </c>
      <c r="L31" s="4372">
        <f t="shared" si="6"/>
        <v>2.9401766258403315E-2</v>
      </c>
    </row>
    <row r="32" spans="2:13" ht="18" customHeight="1" x14ac:dyDescent="0.2">
      <c r="B32" s="926" t="s">
        <v>1678</v>
      </c>
      <c r="C32" s="4361"/>
      <c r="D32" s="4362"/>
      <c r="E32" s="4382" t="s">
        <v>1661</v>
      </c>
      <c r="F32" s="4368">
        <f>F33</f>
        <v>18893.906026771314</v>
      </c>
      <c r="G32" s="4365" t="str">
        <f t="shared" si="2"/>
        <v>NA</v>
      </c>
      <c r="H32" s="4366">
        <f t="shared" si="3"/>
        <v>8.4179455187967503E-2</v>
      </c>
      <c r="I32" s="4367">
        <f t="shared" si="4"/>
        <v>1.5561507618775661E-3</v>
      </c>
      <c r="J32" s="4170" t="str">
        <f>J33</f>
        <v>IE</v>
      </c>
      <c r="K32" s="4170">
        <f>K33</f>
        <v>1.590478715706265</v>
      </c>
      <c r="L32" s="4372">
        <f>L33</f>
        <v>2.9401766258403315E-2</v>
      </c>
      <c r="M32" s="472"/>
    </row>
    <row r="33" spans="2:13" ht="18" customHeight="1" x14ac:dyDescent="0.2">
      <c r="B33" s="926"/>
      <c r="C33" s="2864" t="s">
        <v>1679</v>
      </c>
      <c r="D33" s="4373" t="s">
        <v>1219</v>
      </c>
      <c r="E33" s="4379" t="s">
        <v>1661</v>
      </c>
      <c r="F33" s="4375">
        <v>18893.906026771314</v>
      </c>
      <c r="G33" s="4369" t="str">
        <f t="shared" si="2"/>
        <v>NA</v>
      </c>
      <c r="H33" s="4370">
        <f t="shared" si="3"/>
        <v>8.4179455187967503E-2</v>
      </c>
      <c r="I33" s="4371">
        <f t="shared" si="4"/>
        <v>1.5561507618775661E-3</v>
      </c>
      <c r="J33" s="4376" t="s">
        <v>274</v>
      </c>
      <c r="K33" s="4377">
        <v>1.590478715706265</v>
      </c>
      <c r="L33" s="4378">
        <v>2.9401766258403315E-2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18703814.957984876</v>
      </c>
      <c r="G36" s="4355" t="str">
        <f t="shared" si="2"/>
        <v>NA</v>
      </c>
      <c r="H36" s="4356">
        <f t="shared" ref="H36" si="7">IF(SUM($F36)=0,"NA",K36*1000/$F36)</f>
        <v>1.6932691904070849E-2</v>
      </c>
      <c r="I36" s="4357">
        <f t="shared" ref="I36" si="8">IF(SUM($F36)=0,"NA",L36*1000/$F36)</f>
        <v>4.9571025315872218E-4</v>
      </c>
      <c r="J36" s="4358" t="str">
        <f>IF(SUM(J37,J42)=0,"IE",SUM(J37,J42))</f>
        <v>IE</v>
      </c>
      <c r="K36" s="4359">
        <f>IF(SUM(K37,K42)=0,"NO",SUM(K37,K42))</f>
        <v>316.70593611430974</v>
      </c>
      <c r="L36" s="4360">
        <f>IF(SUM(L37,L42)=0,"NO",SUM(L37,L42))</f>
        <v>9.2716728478565784</v>
      </c>
      <c r="M36" s="472"/>
    </row>
    <row r="37" spans="2:13" ht="18" customHeight="1" x14ac:dyDescent="0.2">
      <c r="B37" s="906" t="s">
        <v>1682</v>
      </c>
      <c r="C37" s="4361"/>
      <c r="D37" s="4362"/>
      <c r="E37" s="4382" t="s">
        <v>1661</v>
      </c>
      <c r="F37" s="4364">
        <f>IF(SUM(F38,F40)=0,"NO",SUM(F38,F40))</f>
        <v>18332978.237110004</v>
      </c>
      <c r="G37" s="4369" t="str">
        <f t="shared" si="2"/>
        <v>NA</v>
      </c>
      <c r="H37" s="4366">
        <f t="shared" si="3"/>
        <v>1.4569607913864047E-2</v>
      </c>
      <c r="I37" s="4367">
        <f t="shared" si="4"/>
        <v>4.55260446332335E-4</v>
      </c>
      <c r="J37" s="4170" t="str">
        <f>IF(SUM(J38,J40)=0,"IE",SUM(J38,J40))</f>
        <v>IE</v>
      </c>
      <c r="K37" s="3057">
        <f>IF(SUM(K38,K40)=0,"NO",SUM(K38,K40))</f>
        <v>267.10430480809526</v>
      </c>
      <c r="L37" s="3106">
        <f>IF(SUM(L38,L40)=0,"NO",SUM(L38,L40))</f>
        <v>8.3462798548276851</v>
      </c>
    </row>
    <row r="38" spans="2:13" ht="18" customHeight="1" x14ac:dyDescent="0.2">
      <c r="B38" s="926" t="s">
        <v>1683</v>
      </c>
      <c r="C38" s="4361"/>
      <c r="D38" s="4362"/>
      <c r="E38" s="4382" t="s">
        <v>1661</v>
      </c>
      <c r="F38" s="4368">
        <f>F39</f>
        <v>18332978.237110004</v>
      </c>
      <c r="G38" s="4369" t="str">
        <f t="shared" si="2"/>
        <v>NA</v>
      </c>
      <c r="H38" s="4370">
        <f t="shared" si="3"/>
        <v>1.4569607913864047E-2</v>
      </c>
      <c r="I38" s="4371">
        <f t="shared" si="4"/>
        <v>4.55260446332335E-4</v>
      </c>
      <c r="J38" s="4170" t="str">
        <f>J39</f>
        <v>IE</v>
      </c>
      <c r="K38" s="4170">
        <f>K39</f>
        <v>267.10430480809526</v>
      </c>
      <c r="L38" s="4372">
        <f>L39</f>
        <v>8.3462798548276851</v>
      </c>
      <c r="M38" s="472"/>
    </row>
    <row r="39" spans="2:13" ht="18" customHeight="1" x14ac:dyDescent="0.2">
      <c r="B39" s="926"/>
      <c r="C39" s="2864" t="s">
        <v>1342</v>
      </c>
      <c r="D39" s="4373" t="s">
        <v>1219</v>
      </c>
      <c r="E39" s="4379" t="s">
        <v>1661</v>
      </c>
      <c r="F39" s="4380">
        <v>18332978.237110004</v>
      </c>
      <c r="G39" s="4369" t="str">
        <f t="shared" si="2"/>
        <v>NA</v>
      </c>
      <c r="H39" s="4370">
        <f t="shared" ref="H39:H40" si="9">IF(SUM($F39)=0,"NA",K39*1000/$F39)</f>
        <v>1.4569607913864047E-2</v>
      </c>
      <c r="I39" s="4371">
        <f t="shared" ref="I39:I40" si="10">IF(SUM($F39)=0,"NA",L39*1000/$F39)</f>
        <v>4.55260446332335E-4</v>
      </c>
      <c r="J39" s="4376" t="s">
        <v>274</v>
      </c>
      <c r="K39" s="4377">
        <v>267.10430480809526</v>
      </c>
      <c r="L39" s="4381">
        <v>8.3462798548276851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370836.72087487311</v>
      </c>
      <c r="G42" s="4365" t="str">
        <f t="shared" si="2"/>
        <v>NA</v>
      </c>
      <c r="H42" s="4366">
        <f t="shared" si="11"/>
        <v>0.13375598616338463</v>
      </c>
      <c r="I42" s="4367">
        <f t="shared" si="12"/>
        <v>2.4954189834429509E-3</v>
      </c>
      <c r="J42" s="4170" t="str">
        <f>IF(SUM(J43,J46)=0,"IE",SUM(J43,J46))</f>
        <v>IE</v>
      </c>
      <c r="K42" s="3057">
        <f>IF(SUM(K43,K46)=0,"NO",SUM(K43,K46))</f>
        <v>49.601631306214458</v>
      </c>
      <c r="L42" s="3106">
        <f>IF(SUM(L43,L46)=0,"NO",SUM(L43,L46))</f>
        <v>0.92539299302889322</v>
      </c>
    </row>
    <row r="43" spans="2:13" ht="18" customHeight="1" x14ac:dyDescent="0.2">
      <c r="B43" s="926" t="s">
        <v>1686</v>
      </c>
      <c r="C43" s="4361"/>
      <c r="D43" s="4362"/>
      <c r="E43" s="4382" t="s">
        <v>1661</v>
      </c>
      <c r="F43" s="4368">
        <f>IF(SUM(F44:F45)=0,"NO",SUM(F44:F45))</f>
        <v>370836.72087487311</v>
      </c>
      <c r="G43" s="4369" t="str">
        <f t="shared" si="2"/>
        <v>NA</v>
      </c>
      <c r="H43" s="4370">
        <f t="shared" ref="H43" si="13">IF(SUM($F43)=0,"NA",K43*1000/$F43)</f>
        <v>0.13375598616338463</v>
      </c>
      <c r="I43" s="4371">
        <f t="shared" ref="I43" si="14">IF(SUM($F43)=0,"NA",L43*1000/$F43)</f>
        <v>2.4954189834429509E-3</v>
      </c>
      <c r="J43" s="4170" t="str">
        <f>IF(SUM(J44:J45)=0,"IE",SUM(J44:J45))</f>
        <v>IE</v>
      </c>
      <c r="K43" s="4170">
        <f>IF(SUM(K44:K45)=0,"NO",SUM(K44:K45))</f>
        <v>49.601631306214458</v>
      </c>
      <c r="L43" s="4372">
        <f>IF(SUM(L44:L45)=0,"NO",SUM(L44:L45))</f>
        <v>0.92539299302889322</v>
      </c>
      <c r="M43" s="472"/>
    </row>
    <row r="44" spans="2:13" ht="18" customHeight="1" x14ac:dyDescent="0.2">
      <c r="B44" s="926"/>
      <c r="C44" s="2864" t="s">
        <v>1679</v>
      </c>
      <c r="D44" s="4373" t="s">
        <v>1219</v>
      </c>
      <c r="E44" s="4379" t="s">
        <v>1661</v>
      </c>
      <c r="F44" s="4380">
        <v>345663.92802331666</v>
      </c>
      <c r="G44" s="4369" t="str">
        <f t="shared" si="2"/>
        <v>NA</v>
      </c>
      <c r="H44" s="4370">
        <f t="shared" ref="H44:H46" si="15">IF(SUM($F44)=0,"NA",K44*1000/$F44)</f>
        <v>0.13964958622856427</v>
      </c>
      <c r="I44" s="4371">
        <f t="shared" ref="I44:I46" si="16">IF(SUM($F44)=0,"NA",L44*1000/$F44)</f>
        <v>2.5815777676419308E-3</v>
      </c>
      <c r="J44" s="4376" t="s">
        <v>274</v>
      </c>
      <c r="K44" s="4377">
        <v>48.27182452259639</v>
      </c>
      <c r="L44" s="4381">
        <v>0.89235831166077495</v>
      </c>
      <c r="M44" s="472"/>
    </row>
    <row r="45" spans="2:13" ht="18" customHeight="1" x14ac:dyDescent="0.2">
      <c r="B45" s="926"/>
      <c r="C45" s="2864" t="s">
        <v>1342</v>
      </c>
      <c r="D45" s="4373" t="s">
        <v>1219</v>
      </c>
      <c r="E45" s="4379" t="s">
        <v>1661</v>
      </c>
      <c r="F45" s="4380">
        <v>25172.792851556442</v>
      </c>
      <c r="G45" s="4369" t="str">
        <f t="shared" si="2"/>
        <v>NA</v>
      </c>
      <c r="H45" s="4370">
        <f t="shared" si="15"/>
        <v>5.2827145222221254E-2</v>
      </c>
      <c r="I45" s="4371">
        <f t="shared" si="16"/>
        <v>1.3123168955833872E-3</v>
      </c>
      <c r="J45" s="4376" t="s">
        <v>274</v>
      </c>
      <c r="K45" s="4377">
        <v>1.3298067836180654</v>
      </c>
      <c r="L45" s="4381">
        <v>3.3034681368118227E-2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606038.60712481115</v>
      </c>
      <c r="G48" s="4355" t="str">
        <f t="shared" si="2"/>
        <v>NA</v>
      </c>
      <c r="H48" s="4356">
        <f t="shared" si="17"/>
        <v>3.5548278523573222E-2</v>
      </c>
      <c r="I48" s="4357">
        <f t="shared" si="18"/>
        <v>7.3025334341722981E-4</v>
      </c>
      <c r="J48" s="4358" t="str">
        <f>IF(SUM(J49,J54)=0,"IE",SUM(J49,J54))</f>
        <v>IE</v>
      </c>
      <c r="K48" s="4359">
        <f>IF(SUM(K49,K54)=0,"NO",SUM(K49,K54))</f>
        <v>21.543629202111156</v>
      </c>
      <c r="L48" s="4360">
        <f>IF(SUM(L49,L54)=0,"NO",SUM(L49,L54))</f>
        <v>0.44256171909281433</v>
      </c>
      <c r="M48" s="472"/>
    </row>
    <row r="49" spans="2:13" ht="18" customHeight="1" x14ac:dyDescent="0.2">
      <c r="B49" s="906" t="s">
        <v>1689</v>
      </c>
      <c r="C49" s="4361"/>
      <c r="D49" s="4362"/>
      <c r="E49" s="4382" t="s">
        <v>1661</v>
      </c>
      <c r="F49" s="4364">
        <f>IF(SUM(F50,F52)=0,"NO",SUM(F50,F52))</f>
        <v>606038.60712481115</v>
      </c>
      <c r="G49" s="4365" t="str">
        <f t="shared" si="2"/>
        <v>NA</v>
      </c>
      <c r="H49" s="4366">
        <f t="shared" si="17"/>
        <v>3.5548278523573222E-2</v>
      </c>
      <c r="I49" s="4367">
        <f t="shared" si="18"/>
        <v>7.3025334341722981E-4</v>
      </c>
      <c r="J49" s="4170" t="str">
        <f>IF(SUM(J50,J52)=0,"IE",SUM(J50,J52))</f>
        <v>IE</v>
      </c>
      <c r="K49" s="3057">
        <f>IF(SUM(K50,K52)=0,"NO",SUM(K50,K52))</f>
        <v>21.543629202111156</v>
      </c>
      <c r="L49" s="3106">
        <f>IF(SUM(L50,L52)=0,"NO",SUM(L50,L52))</f>
        <v>0.44256171909281433</v>
      </c>
    </row>
    <row r="50" spans="2:13" ht="18" customHeight="1" x14ac:dyDescent="0.2">
      <c r="B50" s="926" t="s">
        <v>1690</v>
      </c>
      <c r="C50" s="4361"/>
      <c r="D50" s="4362"/>
      <c r="E50" s="4382" t="s">
        <v>1661</v>
      </c>
      <c r="F50" s="4368">
        <f>F51</f>
        <v>606038.60712481115</v>
      </c>
      <c r="G50" s="4369" t="str">
        <f t="shared" si="2"/>
        <v>NA</v>
      </c>
      <c r="H50" s="4370">
        <f t="shared" si="17"/>
        <v>3.5548278523573222E-2</v>
      </c>
      <c r="I50" s="4371">
        <f t="shared" si="18"/>
        <v>7.3025334341722981E-4</v>
      </c>
      <c r="J50" s="4170" t="str">
        <f>J51</f>
        <v>IE</v>
      </c>
      <c r="K50" s="4170">
        <f>K51</f>
        <v>21.543629202111156</v>
      </c>
      <c r="L50" s="4372">
        <f>L51</f>
        <v>0.44256171909281433</v>
      </c>
      <c r="M50" s="472"/>
    </row>
    <row r="51" spans="2:13" ht="18" customHeight="1" x14ac:dyDescent="0.2">
      <c r="B51" s="926"/>
      <c r="C51" s="2864" t="s">
        <v>1342</v>
      </c>
      <c r="D51" s="4373" t="s">
        <v>1219</v>
      </c>
      <c r="E51" s="4379" t="s">
        <v>1661</v>
      </c>
      <c r="F51" s="4380">
        <v>606038.60712481115</v>
      </c>
      <c r="G51" s="4369" t="str">
        <f t="shared" si="2"/>
        <v>NA</v>
      </c>
      <c r="H51" s="4370">
        <f t="shared" si="17"/>
        <v>3.5548278523573222E-2</v>
      </c>
      <c r="I51" s="4371">
        <f t="shared" si="18"/>
        <v>7.3025334341722981E-4</v>
      </c>
      <c r="J51" s="4376" t="s">
        <v>274</v>
      </c>
      <c r="K51" s="4377">
        <v>21.543629202111156</v>
      </c>
      <c r="L51" s="4381">
        <v>0.44256171909281433</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15227.271239986794</v>
      </c>
      <c r="G59" s="4355" t="str">
        <f t="shared" si="2"/>
        <v>NA</v>
      </c>
      <c r="H59" s="4356">
        <f t="shared" si="3"/>
        <v>0.16173145946662013</v>
      </c>
      <c r="I59" s="4357">
        <f t="shared" si="4"/>
        <v>2.9897857298621026E-3</v>
      </c>
      <c r="J59" s="4358" t="str">
        <f>IF(SUM(J60,J65)=0,"IE",SUM(J60,J65))</f>
        <v>IE</v>
      </c>
      <c r="K59" s="4359">
        <f>IF(SUM(K60,K65)=0,"NO",SUM(K60,K65))</f>
        <v>2.4627288013371542</v>
      </c>
      <c r="L59" s="4360">
        <f>IF(SUM(L60,L65)=0,"NO",SUM(L60,L65))</f>
        <v>4.5526278258052125E-2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15227.271239986794</v>
      </c>
      <c r="G65" s="4365" t="str">
        <f t="shared" si="2"/>
        <v>NA</v>
      </c>
      <c r="H65" s="4366">
        <f t="shared" si="3"/>
        <v>0.16173145946662013</v>
      </c>
      <c r="I65" s="4367">
        <f t="shared" si="4"/>
        <v>2.9897857298621026E-3</v>
      </c>
      <c r="J65" s="4170" t="str">
        <f>IF(SUM(J66,J68)=0,"IE",SUM(J66,J68))</f>
        <v>IE</v>
      </c>
      <c r="K65" s="3057">
        <f>IF(SUM(K66,K68)=0,"NO",SUM(K66,K68))</f>
        <v>2.4627288013371542</v>
      </c>
      <c r="L65" s="3106">
        <f>IF(SUM(L66,L68)=0,"NO",SUM(L66,L68))</f>
        <v>4.5526278258052125E-2</v>
      </c>
    </row>
    <row r="66" spans="2:13" ht="18" customHeight="1" x14ac:dyDescent="0.2">
      <c r="B66" s="926" t="s">
        <v>1700</v>
      </c>
      <c r="C66" s="4361"/>
      <c r="D66" s="4362"/>
      <c r="E66" s="4382" t="s">
        <v>1661</v>
      </c>
      <c r="F66" s="4368">
        <f>F67</f>
        <v>15227.271239986794</v>
      </c>
      <c r="G66" s="4369" t="str">
        <f t="shared" si="2"/>
        <v>NA</v>
      </c>
      <c r="H66" s="4370">
        <f t="shared" si="3"/>
        <v>0.16173145946662013</v>
      </c>
      <c r="I66" s="4371">
        <f t="shared" si="4"/>
        <v>2.9897857298621026E-3</v>
      </c>
      <c r="J66" s="4170" t="str">
        <f>J67</f>
        <v>IE</v>
      </c>
      <c r="K66" s="4170">
        <f>K67</f>
        <v>2.4627288013371542</v>
      </c>
      <c r="L66" s="4372">
        <f>L67</f>
        <v>4.5526278258052125E-2</v>
      </c>
      <c r="M66" s="472"/>
    </row>
    <row r="67" spans="2:13" ht="18" customHeight="1" x14ac:dyDescent="0.2">
      <c r="B67" s="926"/>
      <c r="C67" s="2864" t="s">
        <v>1679</v>
      </c>
      <c r="D67" s="4373" t="s">
        <v>1219</v>
      </c>
      <c r="E67" s="4379" t="s">
        <v>1661</v>
      </c>
      <c r="F67" s="4380">
        <v>15227.271239986794</v>
      </c>
      <c r="G67" s="4369" t="str">
        <f t="shared" si="2"/>
        <v>NA</v>
      </c>
      <c r="H67" s="4370">
        <f t="shared" ref="H67:H68" si="23">IF(SUM($F67)=0,"NA",K67*1000/$F67)</f>
        <v>0.16173145946662013</v>
      </c>
      <c r="I67" s="4371">
        <f t="shared" ref="I67:I68" si="24">IF(SUM($F67)=0,"NA",L67*1000/$F67)</f>
        <v>2.9897857298621026E-3</v>
      </c>
      <c r="J67" s="4376" t="s">
        <v>274</v>
      </c>
      <c r="K67" s="4377">
        <v>2.4627288013371542</v>
      </c>
      <c r="L67" s="4381">
        <v>4.5526278258052125E-2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9" t="s">
        <v>1707</v>
      </c>
      <c r="C95" s="4510"/>
      <c r="D95" s="4510"/>
      <c r="E95" s="4510"/>
      <c r="F95" s="4510"/>
      <c r="G95" s="4510"/>
      <c r="H95" s="4510"/>
      <c r="I95" s="4510"/>
      <c r="J95" s="4510"/>
      <c r="K95" s="4510"/>
      <c r="L95" s="4511"/>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4520.9931499532704</v>
      </c>
      <c r="D10" s="3463">
        <f>IF(SUM(D11,D16:D17)=0,"NO",SUM(D11,D16:D17))</f>
        <v>-3273.2920968897897</v>
      </c>
      <c r="E10" s="3464"/>
      <c r="F10" s="3465">
        <f>IF(SUM(F11,F16:F17)=0,"NO",SUM(F11,F16:F17))</f>
        <v>1247.7010530634809</v>
      </c>
      <c r="G10" s="3466">
        <f>IF(SUM(G11,G16:G17)=0,"NO",SUM(G11,G16:G17))</f>
        <v>-4574.9038612327631</v>
      </c>
      <c r="H10" s="226"/>
      <c r="I10" s="2"/>
      <c r="J10" s="2"/>
    </row>
    <row r="11" spans="1:10" ht="18" customHeight="1" x14ac:dyDescent="0.2">
      <c r="B11" s="592" t="s">
        <v>1722</v>
      </c>
      <c r="C11" s="3467">
        <f>IF(SUM(C13:C15)=0,"NO",SUM(C13:C15))</f>
        <v>1474.007675602043</v>
      </c>
      <c r="D11" s="3468">
        <f>IF(SUM(D13:D15)=0,"NO",SUM(D13:D15))</f>
        <v>-735.70556877011643</v>
      </c>
      <c r="E11" s="3469"/>
      <c r="F11" s="3470">
        <f>IF(SUM(F13:F15)=0,"NO",SUM(F13:F15))</f>
        <v>738.30210683192672</v>
      </c>
      <c r="G11" s="3471">
        <f>IF(SUM(G13:G15)=0,"NO",SUM(G13:G15))</f>
        <v>-2707.1077250503977</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976.50811599096653</v>
      </c>
      <c r="D13" s="3476">
        <f>F13-C13</f>
        <v>-449.7362284723846</v>
      </c>
      <c r="E13" s="3477" t="s">
        <v>205</v>
      </c>
      <c r="F13" s="3478">
        <f>G13/(-44/12)</f>
        <v>526.77188751858193</v>
      </c>
      <c r="G13" s="3479">
        <v>-1931.4969209014671</v>
      </c>
      <c r="H13" s="226"/>
      <c r="I13" s="2"/>
      <c r="J13" s="2"/>
    </row>
    <row r="14" spans="1:10" ht="18" customHeight="1" x14ac:dyDescent="0.2">
      <c r="B14" s="1192" t="s">
        <v>1724</v>
      </c>
      <c r="C14" s="3480">
        <v>497.49955961107662</v>
      </c>
      <c r="D14" s="3481">
        <f>F14-C14</f>
        <v>-285.96934029773183</v>
      </c>
      <c r="E14" s="3202" t="s">
        <v>205</v>
      </c>
      <c r="F14" s="3482">
        <f>G14/(-44/12)</f>
        <v>211.53021931334479</v>
      </c>
      <c r="G14" s="3479">
        <v>-775.61080414893081</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2005.6787675640599</v>
      </c>
      <c r="D16" s="3481">
        <f>F16-C16</f>
        <v>-1998.5772157047907</v>
      </c>
      <c r="E16" s="3202" t="s">
        <v>205</v>
      </c>
      <c r="F16" s="3482">
        <f>G16/(-44/12)</f>
        <v>7.1015518592691933</v>
      </c>
      <c r="G16" s="3479">
        <v>-26.039023483987041</v>
      </c>
      <c r="H16" s="226"/>
      <c r="I16" s="2"/>
      <c r="J16" s="2"/>
    </row>
    <row r="17" spans="2:10" ht="18" customHeight="1" x14ac:dyDescent="0.2">
      <c r="B17" s="1196" t="s">
        <v>1727</v>
      </c>
      <c r="C17" s="3484">
        <f>C18</f>
        <v>1041.3067067871677</v>
      </c>
      <c r="D17" s="3485">
        <f t="shared" ref="D17:F17" si="0">D18</f>
        <v>-539.00931241488274</v>
      </c>
      <c r="E17" s="3486"/>
      <c r="F17" s="3193">
        <f t="shared" si="0"/>
        <v>502.29739437228505</v>
      </c>
      <c r="G17" s="3479">
        <f>-F17*44/12</f>
        <v>-1841.7571126983785</v>
      </c>
      <c r="H17" s="226"/>
      <c r="I17" s="2"/>
      <c r="J17" s="2"/>
    </row>
    <row r="18" spans="2:10" ht="18" customHeight="1" thickBot="1" x14ac:dyDescent="0.25">
      <c r="B18" s="547" t="s">
        <v>1728</v>
      </c>
      <c r="C18" s="3487">
        <v>1041.3067067871677</v>
      </c>
      <c r="D18" s="3488">
        <f>F18-C18</f>
        <v>-539.00931241488274</v>
      </c>
      <c r="E18" s="3205" t="s">
        <v>205</v>
      </c>
      <c r="F18" s="3489">
        <f>G18/(-44/12)</f>
        <v>502.29739437228505</v>
      </c>
      <c r="G18" s="3490">
        <v>-1841.7571126983785</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4" t="s">
        <v>1764</v>
      </c>
      <c r="C99" s="4535"/>
      <c r="D99" s="4535"/>
      <c r="E99" s="4535"/>
      <c r="F99" s="4535"/>
      <c r="G99" s="4536"/>
      <c r="H99" s="2"/>
      <c r="I99" s="2"/>
    </row>
    <row r="100" spans="2:10" ht="26.25" customHeight="1" thickBot="1" x14ac:dyDescent="0.25">
      <c r="B100" s="4537"/>
      <c r="C100" s="4538"/>
      <c r="D100" s="4538"/>
      <c r="E100" s="4538"/>
      <c r="F100" s="4538"/>
      <c r="G100" s="4539"/>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4" t="s">
        <v>1793</v>
      </c>
      <c r="C85" s="4535"/>
      <c r="D85" s="4535"/>
      <c r="E85" s="4535"/>
      <c r="F85" s="4535"/>
      <c r="G85" s="4535"/>
      <c r="H85" s="4535"/>
      <c r="I85" s="4535"/>
      <c r="J85" s="4535"/>
      <c r="K85" s="4535"/>
      <c r="L85" s="4535"/>
      <c r="M85" s="4535"/>
      <c r="N85" s="4536"/>
    </row>
    <row r="86" spans="2:14" ht="13.5" thickBot="1" x14ac:dyDescent="0.25">
      <c r="B86" s="4537"/>
      <c r="C86" s="4538"/>
      <c r="D86" s="4538"/>
      <c r="E86" s="4538"/>
      <c r="F86" s="4538"/>
      <c r="G86" s="4538"/>
      <c r="H86" s="4538"/>
      <c r="I86" s="4538"/>
      <c r="J86" s="4538"/>
      <c r="K86" s="4538"/>
      <c r="L86" s="4538"/>
      <c r="M86" s="4538"/>
      <c r="N86" s="4539"/>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40"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1"/>
      <c r="C9" s="1879" t="s">
        <v>171</v>
      </c>
      <c r="D9" s="1880"/>
      <c r="E9" s="1880"/>
      <c r="F9" s="1880"/>
      <c r="G9" s="1880"/>
      <c r="H9" s="1880"/>
      <c r="I9" s="1881"/>
      <c r="J9" s="1803" t="s">
        <v>921</v>
      </c>
    </row>
    <row r="10" spans="1:10" ht="18" customHeight="1" thickTop="1" thickBot="1" x14ac:dyDescent="0.25">
      <c r="B10" s="1502" t="s">
        <v>1799</v>
      </c>
      <c r="C10" s="1882">
        <f>IF(SUM(C11,C15,C18,C21)=0,"NO",SUM(C11,C15,C18,C21))</f>
        <v>30.475238146900701</v>
      </c>
      <c r="D10" s="1882">
        <f t="shared" ref="D10:I10" si="0">IF(SUM(D11,D15,D18,D21)=0,"NO",SUM(D11,D15,D18,D21))</f>
        <v>541.61226274555952</v>
      </c>
      <c r="E10" s="1882">
        <f t="shared" si="0"/>
        <v>1.4471069682259725</v>
      </c>
      <c r="F10" s="1882" t="str">
        <f t="shared" si="0"/>
        <v>NO</v>
      </c>
      <c r="G10" s="1882" t="str">
        <f t="shared" si="0"/>
        <v>NO</v>
      </c>
      <c r="H10" s="1882">
        <f t="shared" si="0"/>
        <v>236.19049399142881</v>
      </c>
      <c r="I10" s="1883" t="str">
        <f t="shared" si="0"/>
        <v>NO</v>
      </c>
      <c r="J10" s="4487">
        <f>IF(SUM(C10:E10)=0,"NO",SUM(C10,IFERROR(28*D10,0),IFERROR(265*E10,0)))</f>
        <v>15579.101941602448</v>
      </c>
    </row>
    <row r="11" spans="1:10" ht="18" customHeight="1" x14ac:dyDescent="0.2">
      <c r="B11" s="1503" t="s">
        <v>1800</v>
      </c>
      <c r="C11" s="2893"/>
      <c r="D11" s="2894">
        <f>IF(SUM(D12:D14)=0,"NO",SUM(D12:D14))</f>
        <v>447.31955003343387</v>
      </c>
      <c r="E11" s="2893"/>
      <c r="F11" s="1886" t="str">
        <f>IF(SUM(F12:F14)=0,"NO",SUM(F12:F14))</f>
        <v>NO</v>
      </c>
      <c r="G11" s="1886" t="str">
        <f t="shared" ref="G11:H11" si="1">IF(SUM(G12:G14)=0,"NO",SUM(G12:G14))</f>
        <v>NO</v>
      </c>
      <c r="H11" s="1886">
        <f t="shared" si="1"/>
        <v>2.9708102554080615</v>
      </c>
      <c r="I11" s="2994"/>
      <c r="J11" s="1886">
        <f t="shared" ref="J11:J18" si="2">IF(SUM(C11:E11)=0,"NO",SUM(C11,IFERROR(28*D11,0),IFERROR(265*E11,0)))</f>
        <v>12524.947400936147</v>
      </c>
    </row>
    <row r="12" spans="1:10" ht="18" customHeight="1" x14ac:dyDescent="0.2">
      <c r="B12" s="1269" t="s">
        <v>1801</v>
      </c>
      <c r="C12" s="1885"/>
      <c r="D12" s="1884">
        <f>IF(SUM(Table5.A!F10:H10)=0,"NO",SUM(Table5.A!F10))</f>
        <v>447.31955003343387</v>
      </c>
      <c r="E12" s="1885"/>
      <c r="F12" s="2916" t="s">
        <v>205</v>
      </c>
      <c r="G12" s="2916" t="s">
        <v>205</v>
      </c>
      <c r="H12" s="2916">
        <v>2.9708102554080615</v>
      </c>
      <c r="I12" s="2940"/>
      <c r="J12" s="1887">
        <f t="shared" si="2"/>
        <v>12524.947400936147</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3.9527055075000002</v>
      </c>
      <c r="E15" s="2892">
        <f t="shared" ref="E15" si="3">IF(SUM(E16:E17)=0,"NO",SUM(E16:E17))</f>
        <v>0.50594630496000004</v>
      </c>
      <c r="F15" s="2892" t="s">
        <v>1805</v>
      </c>
      <c r="G15" s="2892" t="s">
        <v>1805</v>
      </c>
      <c r="H15" s="2892" t="s">
        <v>1805</v>
      </c>
      <c r="I15" s="2997"/>
      <c r="J15" s="2884">
        <f t="shared" si="2"/>
        <v>244.75152502440002</v>
      </c>
    </row>
    <row r="16" spans="1:10" ht="18" customHeight="1" x14ac:dyDescent="0.2">
      <c r="B16" s="1891" t="s">
        <v>1806</v>
      </c>
      <c r="C16" s="2998"/>
      <c r="D16" s="1884">
        <f>Table5.B!F10</f>
        <v>3.9527055075000002</v>
      </c>
      <c r="E16" s="1884">
        <f>Table5.B!G10</f>
        <v>0.50594630496000004</v>
      </c>
      <c r="F16" s="699" t="s">
        <v>205</v>
      </c>
      <c r="G16" s="699" t="s">
        <v>205</v>
      </c>
      <c r="H16" s="699" t="s">
        <v>205</v>
      </c>
      <c r="I16" s="2940"/>
      <c r="J16" s="1887">
        <f t="shared" si="2"/>
        <v>244.75152502440002</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30.475238146900701</v>
      </c>
      <c r="D18" s="2883" t="str">
        <f>IF(SUM(D19:D20)=0,"NO,NE",SUM(D19:D20))</f>
        <v>NO,NE</v>
      </c>
      <c r="E18" s="2883" t="str">
        <f>IF(SUM(E19:E20)=0,"NO,NE",SUM(E19:E20))</f>
        <v>NO,NE</v>
      </c>
      <c r="F18" s="2883" t="s">
        <v>205</v>
      </c>
      <c r="G18" s="2883" t="s">
        <v>205</v>
      </c>
      <c r="H18" s="2883" t="s">
        <v>205</v>
      </c>
      <c r="I18" s="2883" t="s">
        <v>205</v>
      </c>
      <c r="J18" s="2885">
        <f t="shared" si="2"/>
        <v>30.475238146900701</v>
      </c>
    </row>
    <row r="19" spans="2:12" ht="18" customHeight="1" x14ac:dyDescent="0.2">
      <c r="B19" s="1269" t="s">
        <v>1809</v>
      </c>
      <c r="C19" s="1884">
        <f>Table5.C!G10</f>
        <v>30.475238146900701</v>
      </c>
      <c r="D19" s="1884" t="str">
        <f>Table5.C!H10</f>
        <v>NO,NE</v>
      </c>
      <c r="E19" s="1884" t="str">
        <f>Table5.C!I10</f>
        <v>NO,NE</v>
      </c>
      <c r="F19" s="700" t="s">
        <v>205</v>
      </c>
      <c r="G19" s="700" t="s">
        <v>205</v>
      </c>
      <c r="H19" s="700" t="s">
        <v>205</v>
      </c>
      <c r="I19" s="700" t="s">
        <v>205</v>
      </c>
      <c r="J19" s="1887">
        <f>IF(SUM(C19:E19)=0,"NO",SUM(C19,IFERROR(28*D19,0),IFERROR(265*E19,0)))</f>
        <v>30.475238146900701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90.340007204625678</v>
      </c>
      <c r="E21" s="2883">
        <f t="shared" ref="E21:H21" si="5">IF(SUM(E22:E24)=0,"NO",SUM(E22:E24))</f>
        <v>0.94116066326597247</v>
      </c>
      <c r="F21" s="2883" t="str">
        <f t="shared" si="5"/>
        <v>NO</v>
      </c>
      <c r="G21" s="2883" t="str">
        <f t="shared" si="5"/>
        <v>NO</v>
      </c>
      <c r="H21" s="2883">
        <f t="shared" si="5"/>
        <v>233.21968373602076</v>
      </c>
      <c r="I21" s="3000"/>
      <c r="J21" s="2885">
        <f t="shared" si="4"/>
        <v>2778.9277774950019</v>
      </c>
    </row>
    <row r="22" spans="2:12" ht="18" customHeight="1" x14ac:dyDescent="0.2">
      <c r="B22" s="1269" t="s">
        <v>1812</v>
      </c>
      <c r="C22" s="1894"/>
      <c r="D22" s="1884">
        <f>IF(SUM(Table5.D!H10)=0,"NO",SUM(Table5.D!H10))</f>
        <v>45.885469238436954</v>
      </c>
      <c r="E22" s="1884">
        <f>IF(SUM(Table5.D!I10:J10)=0,"NO",SUM(Table5.D!I10:J10))</f>
        <v>0.94116066326597247</v>
      </c>
      <c r="F22" s="2916" t="s">
        <v>205</v>
      </c>
      <c r="G22" s="2916" t="s">
        <v>205</v>
      </c>
      <c r="H22" s="2916">
        <v>7.4220491935159556</v>
      </c>
      <c r="I22" s="2940"/>
      <c r="J22" s="1887">
        <f t="shared" si="4"/>
        <v>1534.2007144417175</v>
      </c>
    </row>
    <row r="23" spans="2:12" ht="18" customHeight="1" x14ac:dyDescent="0.2">
      <c r="B23" s="1269" t="s">
        <v>1813</v>
      </c>
      <c r="C23" s="1894"/>
      <c r="D23" s="1884">
        <f>IF(SUM(Table5.D!H11)=0,"NO",SUM(Table5.D!H11))</f>
        <v>44.454537966188724</v>
      </c>
      <c r="E23" s="1884" t="str">
        <f>IF(SUM(Table5.D!I11:J11)=0,"IE",SUM(Table5.D!I11:J11))</f>
        <v>IE</v>
      </c>
      <c r="F23" s="2916" t="s">
        <v>205</v>
      </c>
      <c r="G23" s="2916" t="s">
        <v>205</v>
      </c>
      <c r="H23" s="2916">
        <v>225.7976345425048</v>
      </c>
      <c r="I23" s="2940"/>
      <c r="J23" s="1887">
        <f t="shared" si="4"/>
        <v>1244.7270630532844</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282823.15214588447</v>
      </c>
      <c r="D28" s="1903"/>
      <c r="E28" s="1903"/>
      <c r="F28" s="1903"/>
      <c r="G28" s="1903"/>
      <c r="H28" s="1903"/>
      <c r="I28" s="1904"/>
      <c r="J28" s="1907"/>
      <c r="K28"/>
      <c r="L28"/>
    </row>
    <row r="29" spans="2:12" ht="18" customHeight="1" x14ac:dyDescent="0.2">
      <c r="B29" s="4215" t="s">
        <v>1819</v>
      </c>
      <c r="C29" s="1905">
        <v>4726.9490633791256</v>
      </c>
      <c r="D29" s="1906"/>
      <c r="E29" s="1906"/>
      <c r="F29" s="1906"/>
      <c r="G29" s="1906"/>
      <c r="H29" s="1906"/>
      <c r="I29" s="1907"/>
      <c r="J29" s="1907"/>
      <c r="K29"/>
      <c r="L29"/>
    </row>
    <row r="30" spans="2:12" ht="18" customHeight="1" thickBot="1" x14ac:dyDescent="0.25">
      <c r="B30" s="4216" t="s">
        <v>1820</v>
      </c>
      <c r="C30" s="1899">
        <v>2500.5473060863565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4" sqref="K14"/>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20103.18641631462</v>
      </c>
      <c r="D10" s="3678"/>
      <c r="E10" s="4121">
        <f>IF(SUM(C10)=0,"NA",(F10-G10-H10)/C10)</f>
        <v>3.3250067607409318E-2</v>
      </c>
      <c r="F10" s="3679">
        <f>F11</f>
        <v>447.31955003343387</v>
      </c>
      <c r="G10" s="3679">
        <f>G11</f>
        <v>-12.793550278681598</v>
      </c>
      <c r="H10" s="3680">
        <f>H11</f>
        <v>-208.31920715469832</v>
      </c>
      <c r="I10" s="44"/>
    </row>
    <row r="11" spans="1:13" ht="18" customHeight="1" x14ac:dyDescent="0.2">
      <c r="B11" s="1753" t="s">
        <v>1834</v>
      </c>
      <c r="C11" s="3681">
        <f>IF(SUM(C13:C16)=0,"NO",SUM(C13:C16))</f>
        <v>20103.18641631462</v>
      </c>
      <c r="D11" s="3681">
        <v>1</v>
      </c>
      <c r="E11" s="4121">
        <f>IF(SUM(C11)=0,"NA",(F11-G11-H11)/C11)</f>
        <v>3.3250067607409318E-2</v>
      </c>
      <c r="F11" s="4227">
        <f>IF(SUM(F13:F16)=0,"NO",SUM(F13:F16))</f>
        <v>447.31955003343387</v>
      </c>
      <c r="G11" s="3682">
        <v>-12.793550278681598</v>
      </c>
      <c r="H11" s="3683">
        <v>-208.31920715469832</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11895.26936309721</v>
      </c>
      <c r="D13" s="3688">
        <v>1</v>
      </c>
      <c r="E13" s="4218" t="s">
        <v>274</v>
      </c>
      <c r="F13" s="3688">
        <v>16.996643816706325</v>
      </c>
      <c r="G13" s="3689"/>
      <c r="H13" s="3690"/>
      <c r="I13" s="44"/>
    </row>
    <row r="14" spans="1:13" ht="18" customHeight="1" x14ac:dyDescent="0.2">
      <c r="B14" s="1754" t="s">
        <v>1837</v>
      </c>
      <c r="C14" s="3688">
        <v>2267.1666447460902</v>
      </c>
      <c r="D14" s="3688">
        <v>1</v>
      </c>
      <c r="E14" s="3681" t="s">
        <v>274</v>
      </c>
      <c r="F14" s="3688">
        <v>185.61817417921597</v>
      </c>
      <c r="G14" s="3689"/>
      <c r="H14" s="3690"/>
      <c r="I14" s="44"/>
    </row>
    <row r="15" spans="1:13" ht="18" customHeight="1" x14ac:dyDescent="0.2">
      <c r="B15" s="1754" t="s">
        <v>1838</v>
      </c>
      <c r="C15" s="3688">
        <v>5940.75040847132</v>
      </c>
      <c r="D15" s="3688">
        <v>1</v>
      </c>
      <c r="E15" s="4121" t="s">
        <v>274</v>
      </c>
      <c r="F15" s="3688">
        <v>244.70473203751158</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5270.2740000000003</v>
      </c>
      <c r="D10" s="1938">
        <f>IF(SUM($C10)=0,"NA",F10*1000/$C10)</f>
        <v>0.75000000142307588</v>
      </c>
      <c r="E10" s="1938">
        <f>IF(SUM($C10)=0,"NA",G10*1000/$C10)</f>
        <v>9.6000000182153711E-2</v>
      </c>
      <c r="F10" s="1934">
        <f>IF(SUM(F11:F12)=0,"NO",SUM(F11:F12))</f>
        <v>3.9527055075000002</v>
      </c>
      <c r="G10" s="1934">
        <f>IF(SUM(G11:G12)=0,"NO",SUM(G11:G12))</f>
        <v>0.50594630496000004</v>
      </c>
      <c r="H10" s="1935"/>
      <c r="I10" s="1936"/>
    </row>
    <row r="11" spans="1:9" ht="18" customHeight="1" x14ac:dyDescent="0.2">
      <c r="B11" s="1525" t="s">
        <v>1851</v>
      </c>
      <c r="C11" s="1937">
        <v>5270.2740000000003</v>
      </c>
      <c r="D11" s="1938">
        <f>IF(SUM($C11)=0,"NA",F11*1000/$C11)</f>
        <v>0.75000000142307588</v>
      </c>
      <c r="E11" s="1938">
        <f>IF(SUM($C11)=0,"NA",G11*1000/$C11)</f>
        <v>9.6000000182153711E-2</v>
      </c>
      <c r="F11" s="1937">
        <v>3.9527055075000002</v>
      </c>
      <c r="G11" s="1937">
        <v>0.50594630496000004</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20.679365783435813</v>
      </c>
      <c r="D10" s="2898">
        <f t="shared" ref="D10:D20" si="0">IF(SUM(G10)=0,"NA",G10*1000/$C10)</f>
        <v>1473.7027463052755</v>
      </c>
      <c r="E10" s="2898" t="str">
        <f t="shared" ref="E10:E20" si="1">IF(SUM(H10)=0,"NA",H10*1000/$C10)</f>
        <v>NA</v>
      </c>
      <c r="F10" s="2898" t="str">
        <f t="shared" ref="F10:F20" si="2">IF(SUM(I10)=0,"NA",I10*1000/$C10)</f>
        <v>NA</v>
      </c>
      <c r="G10" s="2898">
        <f>IF(SUM(G11,G21)=0,"NO",SUM(G11,G21))</f>
        <v>30.475238146900701</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20.679365783435813</v>
      </c>
      <c r="D21" s="116">
        <f>IF(SUM(G21)=0,"NA",G21*1000/$C21)</f>
        <v>1473.7027463052755</v>
      </c>
      <c r="E21" s="116" t="str">
        <f t="shared" ref="E21:F21" si="3">IF(SUM(H21)=0,"NA",H21*1000/$C21)</f>
        <v>NA</v>
      </c>
      <c r="F21" s="116" t="str">
        <f t="shared" si="3"/>
        <v>NA</v>
      </c>
      <c r="G21" s="2900">
        <f>IF(SUM(G22:G23)=0,"NO",SUM(G22:G23))</f>
        <v>30.475238146900701</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20.679365783435813</v>
      </c>
      <c r="D23" s="116">
        <f t="shared" si="4"/>
        <v>1473.7027463052755</v>
      </c>
      <c r="E23" s="151" t="str">
        <f t="shared" si="5"/>
        <v>NA</v>
      </c>
      <c r="F23" s="151" t="str">
        <f t="shared" si="6"/>
        <v>NA</v>
      </c>
      <c r="G23" s="151">
        <f>IF(SUM(G25:G30)=0,"NO",SUM(G25:G30))</f>
        <v>30.475238146900701</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15.065045197593665</v>
      </c>
      <c r="D27" s="116">
        <f t="shared" si="4"/>
        <v>880.00000002373542</v>
      </c>
      <c r="E27" s="116" t="str">
        <f t="shared" si="5"/>
        <v>NA</v>
      </c>
      <c r="F27" s="116" t="str">
        <f t="shared" si="6"/>
        <v>NA</v>
      </c>
      <c r="G27" s="2908">
        <v>13.25723977424</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1" sqref="L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22340.023000000001</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31.097576040355023</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2774.0695413446438</v>
      </c>
      <c r="D10" s="3399">
        <v>2316.2583221146519</v>
      </c>
      <c r="E10" s="3399">
        <v>153.15347861425201</v>
      </c>
      <c r="F10" s="3400">
        <f>(SUM(H10)-SUM(K10:L10))/C10</f>
        <v>3.5487728789865905E-2</v>
      </c>
      <c r="G10" s="3400">
        <f>SUM(I10:J10)/E10/(44/28)</f>
        <v>3.9105897397658743E-3</v>
      </c>
      <c r="H10" s="3398">
        <v>45.885469238436954</v>
      </c>
      <c r="I10" s="3190">
        <v>0.94116066326597247</v>
      </c>
      <c r="J10" s="3190" t="s">
        <v>274</v>
      </c>
      <c r="K10" s="3401">
        <v>-10.901357257142855</v>
      </c>
      <c r="L10" s="2921">
        <v>-41.658601031886619</v>
      </c>
      <c r="M10"/>
      <c r="N10" s="1773" t="s">
        <v>1910</v>
      </c>
      <c r="O10" s="3403">
        <v>1</v>
      </c>
    </row>
    <row r="11" spans="1:15" ht="18" customHeight="1" x14ac:dyDescent="0.2">
      <c r="A11"/>
      <c r="B11" s="1752" t="s">
        <v>1813</v>
      </c>
      <c r="C11" s="3399">
        <v>752.65878180834954</v>
      </c>
      <c r="D11" s="3399">
        <v>133.63144578704748</v>
      </c>
      <c r="E11" s="699" t="s">
        <v>274</v>
      </c>
      <c r="F11" s="3134">
        <f>(SUM(H11)-SUM(K11:L11))/C11</f>
        <v>6.8418756804448727E-2</v>
      </c>
      <c r="G11" s="3134" t="s">
        <v>205</v>
      </c>
      <c r="H11" s="699">
        <v>44.454537966188724</v>
      </c>
      <c r="I11" s="699" t="s">
        <v>274</v>
      </c>
      <c r="J11" s="699" t="s">
        <v>274</v>
      </c>
      <c r="K11" s="3125" t="s">
        <v>274</v>
      </c>
      <c r="L11" s="2921">
        <v>-7.0414401830893807</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2"/>
      <c r="C33" s="4543"/>
      <c r="D33" s="4543"/>
      <c r="E33" s="4543"/>
      <c r="F33" s="4543"/>
      <c r="G33" s="4543"/>
      <c r="H33" s="4543"/>
      <c r="I33" s="4543"/>
      <c r="J33" s="4543"/>
      <c r="K33" s="4543"/>
      <c r="L33" s="45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407763.05016614014</v>
      </c>
      <c r="D10" s="3798">
        <f t="shared" si="0"/>
        <v>5016.9389590507017</v>
      </c>
      <c r="E10" s="3798">
        <f t="shared" si="0"/>
        <v>81.316777170440616</v>
      </c>
      <c r="F10" s="3798">
        <f t="shared" si="0"/>
        <v>7409.8286793700499</v>
      </c>
      <c r="G10" s="3798">
        <f t="shared" si="0"/>
        <v>270.90088273132159</v>
      </c>
      <c r="H10" s="3798" t="str">
        <f>IF(SUM(H11,H22,H31,H42,H51)=0,"NO",SUM(H11,H22,H31,H42,H51))</f>
        <v>NO</v>
      </c>
      <c r="I10" s="3798">
        <f t="shared" ref="I10:N10" si="1">IF(SUM(I11,I22,I31,I42,I51)=0,"NO",SUM(I11,I22,I31,I42,I51))</f>
        <v>5.5700505429659786E-3</v>
      </c>
      <c r="J10" s="3826" t="str">
        <f t="shared" si="1"/>
        <v>NO</v>
      </c>
      <c r="K10" s="3798">
        <f t="shared" si="1"/>
        <v>3270.7180274905504</v>
      </c>
      <c r="L10" s="3798">
        <f t="shared" si="1"/>
        <v>28648.273995225543</v>
      </c>
      <c r="M10" s="3798">
        <f t="shared" si="1"/>
        <v>1899.3564956521341</v>
      </c>
      <c r="N10" s="3799">
        <f t="shared" si="1"/>
        <v>2507.0116745804999</v>
      </c>
      <c r="O10" s="3800">
        <f>IF(SUM(C10:J10)=0,"NO",SUM(C10,F10:H10)+28*SUM(D10)+265*SUM(E10)+23500*SUM(I10)+16100*SUM(J10))</f>
        <v>577597.91271958756</v>
      </c>
    </row>
    <row r="11" spans="1:15" ht="18" customHeight="1" x14ac:dyDescent="0.25">
      <c r="B11" s="1116" t="s">
        <v>1921</v>
      </c>
      <c r="C11" s="2572">
        <f>Table1!C10</f>
        <v>377579.38751233678</v>
      </c>
      <c r="D11" s="3766">
        <f>Table1!D10</f>
        <v>1364.1246074741405</v>
      </c>
      <c r="E11" s="3766">
        <f>Table1!E10</f>
        <v>12.432287442531777</v>
      </c>
      <c r="F11" s="1553"/>
      <c r="G11" s="1553"/>
      <c r="H11" s="3714"/>
      <c r="I11" s="1553"/>
      <c r="J11" s="98"/>
      <c r="K11" s="3766">
        <f>Table1!F10</f>
        <v>2225.7298855691633</v>
      </c>
      <c r="L11" s="3713">
        <f>Table1!G10</f>
        <v>2542.3862708553224</v>
      </c>
      <c r="M11" s="3713">
        <f>Table1!H10</f>
        <v>711.94379896423493</v>
      </c>
      <c r="N11" s="960">
        <f>Table1!I10</f>
        <v>733.02745324224395</v>
      </c>
      <c r="O11" s="3715">
        <f t="shared" ref="O11:O58" si="2">IF(SUM(C11:J11)=0,"NO",SUM(C11,F11:H11)+28*SUM(D11)+265*SUM(E11)+23500*SUM(I11)+16100*SUM(J11))</f>
        <v>419069.4326938836</v>
      </c>
    </row>
    <row r="12" spans="1:15" ht="18" customHeight="1" x14ac:dyDescent="0.25">
      <c r="B12" s="1369" t="s">
        <v>1922</v>
      </c>
      <c r="C12" s="3794">
        <f>Table1!C11</f>
        <v>369696.78610851301</v>
      </c>
      <c r="D12" s="617">
        <f>Table1!D11</f>
        <v>76.434882063747565</v>
      </c>
      <c r="E12" s="617">
        <f>Table1!E11</f>
        <v>12.347439697399661</v>
      </c>
      <c r="F12" s="69"/>
      <c r="G12" s="69"/>
      <c r="H12" s="69"/>
      <c r="I12" s="69"/>
      <c r="J12" s="69"/>
      <c r="K12" s="617">
        <f>Table1!F11</f>
        <v>2224.2774561795632</v>
      </c>
      <c r="L12" s="617">
        <f>Table1!G11</f>
        <v>2534.1327536396425</v>
      </c>
      <c r="M12" s="617">
        <f>Table1!H11</f>
        <v>488.90866965891991</v>
      </c>
      <c r="N12" s="619">
        <f>Table1!I11</f>
        <v>733.02745324224395</v>
      </c>
      <c r="O12" s="3716">
        <f t="shared" si="2"/>
        <v>375109.03432610887</v>
      </c>
    </row>
    <row r="13" spans="1:15" ht="18" customHeight="1" x14ac:dyDescent="0.25">
      <c r="B13" s="1370" t="s">
        <v>1923</v>
      </c>
      <c r="C13" s="3794">
        <f>Table1!C12</f>
        <v>219013.47583026011</v>
      </c>
      <c r="D13" s="617">
        <f>Table1!D12</f>
        <v>18.075069639112495</v>
      </c>
      <c r="E13" s="617">
        <f>Table1!E12</f>
        <v>4.1841424421947027</v>
      </c>
      <c r="F13" s="69"/>
      <c r="G13" s="69"/>
      <c r="H13" s="69"/>
      <c r="I13" s="69"/>
      <c r="J13" s="69"/>
      <c r="K13" s="617">
        <f>Table1!F12</f>
        <v>932.42539893805974</v>
      </c>
      <c r="L13" s="617">
        <f>Table1!G12</f>
        <v>180.64725581910642</v>
      </c>
      <c r="M13" s="617">
        <f>Table1!H12</f>
        <v>47.266617904444217</v>
      </c>
      <c r="N13" s="619">
        <f>Table1!I12</f>
        <v>608.63303949936358</v>
      </c>
      <c r="O13" s="3717">
        <f t="shared" si="2"/>
        <v>220628.37552733684</v>
      </c>
    </row>
    <row r="14" spans="1:15" ht="18" customHeight="1" x14ac:dyDescent="0.25">
      <c r="B14" s="1370" t="s">
        <v>1924</v>
      </c>
      <c r="C14" s="3794">
        <f>Table1!C16</f>
        <v>40476.85970953395</v>
      </c>
      <c r="D14" s="3718">
        <f>Table1!D16</f>
        <v>2.2771555451650731</v>
      </c>
      <c r="E14" s="3718">
        <f>Table1!E16</f>
        <v>1.2938737542015724</v>
      </c>
      <c r="F14" s="3719"/>
      <c r="G14" s="3719"/>
      <c r="H14" s="3719"/>
      <c r="I14" s="3719"/>
      <c r="J14" s="69"/>
      <c r="K14" s="3718">
        <f>Table1!F16</f>
        <v>623.4395287353085</v>
      </c>
      <c r="L14" s="3718">
        <f>Table1!G16</f>
        <v>197.90431592713401</v>
      </c>
      <c r="M14" s="3718">
        <f>Table1!H16</f>
        <v>84.456251355275924</v>
      </c>
      <c r="N14" s="3720">
        <f>Table1!I16</f>
        <v>89.239968825847583</v>
      </c>
      <c r="O14" s="3721">
        <f t="shared" si="2"/>
        <v>40883.49660966199</v>
      </c>
    </row>
    <row r="15" spans="1:15" ht="18" customHeight="1" x14ac:dyDescent="0.25">
      <c r="B15" s="1370" t="s">
        <v>1925</v>
      </c>
      <c r="C15" s="3794">
        <f>Table1!C24</f>
        <v>89136.106454077162</v>
      </c>
      <c r="D15" s="617">
        <f>Table1!D24</f>
        <v>16.791080754835811</v>
      </c>
      <c r="E15" s="617">
        <f>Table1!E24</f>
        <v>6.1902682966705616</v>
      </c>
      <c r="F15" s="69"/>
      <c r="G15" s="69"/>
      <c r="H15" s="69"/>
      <c r="I15" s="69"/>
      <c r="J15" s="69"/>
      <c r="K15" s="617">
        <f>Table1!F24</f>
        <v>311.56017771247241</v>
      </c>
      <c r="L15" s="617">
        <f>Table1!G24</f>
        <v>1478.3295547893301</v>
      </c>
      <c r="M15" s="617">
        <f>Table1!H24</f>
        <v>242.32573384066592</v>
      </c>
      <c r="N15" s="619">
        <f>Table1!I24</f>
        <v>27.434415257040186</v>
      </c>
      <c r="O15" s="3717">
        <f t="shared" si="2"/>
        <v>91246.677813830276</v>
      </c>
    </row>
    <row r="16" spans="1:15" ht="18" customHeight="1" x14ac:dyDescent="0.25">
      <c r="B16" s="1370" t="s">
        <v>1926</v>
      </c>
      <c r="C16" s="3794">
        <f>Table1!C30</f>
        <v>20179.952444306131</v>
      </c>
      <c r="D16" s="617">
        <f>Table1!D30</f>
        <v>39.260078545939663</v>
      </c>
      <c r="E16" s="617">
        <f>Table1!E30</f>
        <v>0.65387800224160142</v>
      </c>
      <c r="F16" s="69"/>
      <c r="G16" s="69"/>
      <c r="H16" s="69"/>
      <c r="I16" s="69"/>
      <c r="J16" s="69"/>
      <c r="K16" s="617">
        <f>Table1!F30</f>
        <v>348.64796189535747</v>
      </c>
      <c r="L16" s="617">
        <f>Table1!G30</f>
        <v>674.64873464545371</v>
      </c>
      <c r="M16" s="617">
        <f>Table1!H30</f>
        <v>114.45608047405946</v>
      </c>
      <c r="N16" s="619">
        <f>Table1!I30</f>
        <v>7.4140890938414916</v>
      </c>
      <c r="O16" s="3717">
        <f t="shared" si="2"/>
        <v>21452.512314186464</v>
      </c>
    </row>
    <row r="17" spans="2:15" ht="18" customHeight="1" x14ac:dyDescent="0.25">
      <c r="B17" s="1370" t="s">
        <v>1927</v>
      </c>
      <c r="C17" s="3794">
        <f>Table1!C34</f>
        <v>890.39167033567935</v>
      </c>
      <c r="D17" s="617">
        <f>Table1!D34</f>
        <v>3.1497578694525415E-2</v>
      </c>
      <c r="E17" s="617">
        <f>Table1!E34</f>
        <v>2.5277202091223118E-2</v>
      </c>
      <c r="F17" s="69"/>
      <c r="G17" s="69"/>
      <c r="H17" s="69"/>
      <c r="I17" s="69"/>
      <c r="J17" s="69"/>
      <c r="K17" s="617">
        <f>Table1!F34</f>
        <v>8.2043888983647033</v>
      </c>
      <c r="L17" s="617">
        <f>Table1!G34</f>
        <v>2.6028924586185904</v>
      </c>
      <c r="M17" s="617">
        <f>Table1!H34</f>
        <v>0.40398608447438594</v>
      </c>
      <c r="N17" s="619">
        <f>Table1!I34</f>
        <v>0.30594056615103782</v>
      </c>
      <c r="O17" s="3717">
        <f t="shared" si="2"/>
        <v>897.97206109330023</v>
      </c>
    </row>
    <row r="18" spans="2:15" ht="18" customHeight="1" x14ac:dyDescent="0.25">
      <c r="B18" s="1369" t="s">
        <v>201</v>
      </c>
      <c r="C18" s="3711">
        <f>Table1!C37</f>
        <v>7882.6014038237718</v>
      </c>
      <c r="D18" s="3795">
        <f>Table1!D37</f>
        <v>1287.6897254103928</v>
      </c>
      <c r="E18" s="3795">
        <f>Table1!E37</f>
        <v>8.4847745132115335E-2</v>
      </c>
      <c r="F18" s="69"/>
      <c r="G18" s="69"/>
      <c r="H18" s="69"/>
      <c r="I18" s="69"/>
      <c r="J18" s="69"/>
      <c r="K18" s="3795">
        <f>Table1!F37</f>
        <v>1.4524293896</v>
      </c>
      <c r="L18" s="617">
        <f>Table1!G37</f>
        <v>8.2535172156800005</v>
      </c>
      <c r="M18" s="617">
        <f>Table1!H37</f>
        <v>223.03512930531497</v>
      </c>
      <c r="N18" s="619" t="str">
        <f>Table1!I37</f>
        <v>NO</v>
      </c>
      <c r="O18" s="3717">
        <f t="shared" si="2"/>
        <v>43960.398367774775</v>
      </c>
    </row>
    <row r="19" spans="2:15" ht="18" customHeight="1" x14ac:dyDescent="0.25">
      <c r="B19" s="1370" t="s">
        <v>1928</v>
      </c>
      <c r="C19" s="3712">
        <f>Table1!C38</f>
        <v>1545.9622565642071</v>
      </c>
      <c r="D19" s="3722">
        <f>Table1!D38</f>
        <v>1070.369537034255</v>
      </c>
      <c r="E19" s="3795">
        <f>Table1!E38</f>
        <v>3.1277662797985807E-4</v>
      </c>
      <c r="F19" s="69"/>
      <c r="G19" s="69"/>
      <c r="H19" s="69"/>
      <c r="I19" s="69"/>
      <c r="J19" s="69"/>
      <c r="K19" s="3795" t="str">
        <f>Table1!F38</f>
        <v>NO</v>
      </c>
      <c r="L19" s="617" t="str">
        <f>Table1!G38</f>
        <v>NO</v>
      </c>
      <c r="M19" s="617" t="str">
        <f>Table1!H38</f>
        <v>NO</v>
      </c>
      <c r="N19" s="619" t="str">
        <f>Table1!I38</f>
        <v>NO</v>
      </c>
      <c r="O19" s="3717">
        <f t="shared" si="2"/>
        <v>31516.392179329763</v>
      </c>
    </row>
    <row r="20" spans="2:15" ht="18" customHeight="1" x14ac:dyDescent="0.25">
      <c r="B20" s="1371" t="s">
        <v>1929</v>
      </c>
      <c r="C20" s="3712">
        <f>Table1!C42</f>
        <v>6336.6391472595651</v>
      </c>
      <c r="D20" s="3796">
        <f>Table1!D42</f>
        <v>217.32018837613776</v>
      </c>
      <c r="E20" s="3795">
        <f>Table1!E42</f>
        <v>8.4534968504135471E-2</v>
      </c>
      <c r="F20" s="3719"/>
      <c r="G20" s="3719"/>
      <c r="H20" s="3719"/>
      <c r="I20" s="3719"/>
      <c r="J20" s="69"/>
      <c r="K20" s="3795">
        <f>Table1!F42</f>
        <v>1.4524293896</v>
      </c>
      <c r="L20" s="3718">
        <f>Table1!G42</f>
        <v>8.2535172156800005</v>
      </c>
      <c r="M20" s="3718">
        <f>Table1!H42</f>
        <v>223.03512930531497</v>
      </c>
      <c r="N20" s="3720" t="str">
        <f>Table1!I42</f>
        <v>NO</v>
      </c>
      <c r="O20" s="3721">
        <f t="shared" si="2"/>
        <v>12444.006188445019</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24047.683142812897</v>
      </c>
      <c r="D22" s="3727">
        <f>'Table2(I)'!D10</f>
        <v>3.9036652335588573</v>
      </c>
      <c r="E22" s="3728">
        <f>'Table2(I)'!E10</f>
        <v>8.6400040049653821</v>
      </c>
      <c r="F22" s="3713">
        <f>'Table2(I)'!F10</f>
        <v>7409.8286793700499</v>
      </c>
      <c r="G22" s="3713">
        <f>'Table2(I)'!G10</f>
        <v>270.90088273132159</v>
      </c>
      <c r="H22" s="3713" t="str">
        <f>'Table2(I)'!H10</f>
        <v>NO</v>
      </c>
      <c r="I22" s="3713">
        <f>'Table2(I)'!I10</f>
        <v>5.5700505429659786E-3</v>
      </c>
      <c r="J22" s="3713" t="str">
        <f>'Table2(I)'!J10</f>
        <v>NO</v>
      </c>
      <c r="K22" s="3713">
        <f>'Table2(I)'!K10</f>
        <v>42.079593032782505</v>
      </c>
      <c r="L22" s="3713">
        <f>'Table2(I)'!L10</f>
        <v>11.300824984661709</v>
      </c>
      <c r="M22" s="3713">
        <f>'Table2(I)'!M10</f>
        <v>236.51410994098367</v>
      </c>
      <c r="N22" s="960">
        <f>'Table2(I)'!N10</f>
        <v>1773.9842213382558</v>
      </c>
      <c r="O22" s="3715">
        <f t="shared" si="2"/>
        <v>34258.212580529449</v>
      </c>
    </row>
    <row r="23" spans="2:15" ht="18" customHeight="1" x14ac:dyDescent="0.25">
      <c r="B23" s="1129" t="s">
        <v>1932</v>
      </c>
      <c r="C23" s="3729">
        <f>'Table2(I)'!C11</f>
        <v>6453.9523771024305</v>
      </c>
      <c r="D23" s="3730"/>
      <c r="E23" s="98"/>
      <c r="F23" s="98"/>
      <c r="G23" s="98"/>
      <c r="H23" s="98"/>
      <c r="I23" s="98"/>
      <c r="J23" s="69"/>
      <c r="K23" s="620" t="str">
        <f>'Table2(I)'!K11</f>
        <v>NO</v>
      </c>
      <c r="L23" s="620" t="str">
        <f>'Table2(I)'!L11</f>
        <v>NO</v>
      </c>
      <c r="M23" s="620" t="str">
        <f>'Table2(I)'!M11</f>
        <v>NO</v>
      </c>
      <c r="N23" s="622" t="str">
        <f>'Table2(I)'!N11</f>
        <v>NO</v>
      </c>
      <c r="O23" s="3716">
        <f t="shared" si="2"/>
        <v>6453.9523771024305</v>
      </c>
    </row>
    <row r="24" spans="2:15" ht="18" customHeight="1" x14ac:dyDescent="0.25">
      <c r="B24" s="1129" t="s">
        <v>846</v>
      </c>
      <c r="C24" s="3729">
        <f>'Table2(I)'!C16</f>
        <v>3536.8966812225599</v>
      </c>
      <c r="D24" s="3731">
        <f>'Table2(I)'!D16</f>
        <v>0.57776359999999993</v>
      </c>
      <c r="E24" s="3732">
        <f>'Table2(I)'!E16</f>
        <v>8.5573786003910044</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5820.7793911261761</v>
      </c>
    </row>
    <row r="25" spans="2:15" ht="18" customHeight="1" x14ac:dyDescent="0.25">
      <c r="B25" s="1129" t="s">
        <v>637</v>
      </c>
      <c r="C25" s="3729">
        <f>'Table2(I)'!C27</f>
        <v>13563.090273006292</v>
      </c>
      <c r="D25" s="3731">
        <f>'Table2(I)'!D27</f>
        <v>3.3259016335588574</v>
      </c>
      <c r="E25" s="3732">
        <f>'Table2(I)'!E27</f>
        <v>8.2625404574377156E-2</v>
      </c>
      <c r="F25" s="617" t="str">
        <f>'Table2(I)'!F27</f>
        <v>NO</v>
      </c>
      <c r="G25" s="617">
        <f>'Table2(I)'!G27</f>
        <v>270.90088273132159</v>
      </c>
      <c r="H25" s="617" t="str">
        <f>'Table2(I)'!H27</f>
        <v>NO</v>
      </c>
      <c r="I25" s="617" t="str">
        <f>'Table2(I)'!I27</f>
        <v>NO</v>
      </c>
      <c r="J25" s="617" t="str">
        <f>'Table2(I)'!J27</f>
        <v>NO</v>
      </c>
      <c r="K25" s="617">
        <f>'Table2(I)'!K27</f>
        <v>42.079593032782505</v>
      </c>
      <c r="L25" s="617">
        <f>'Table2(I)'!L27</f>
        <v>11.300824984661709</v>
      </c>
      <c r="M25" s="617">
        <f>'Table2(I)'!M27</f>
        <v>0.10283227320622859</v>
      </c>
      <c r="N25" s="619">
        <f>'Table2(I)'!N27</f>
        <v>1773.9842213382558</v>
      </c>
      <c r="O25" s="3717">
        <f t="shared" si="2"/>
        <v>13949.01213368947</v>
      </c>
    </row>
    <row r="26" spans="2:15" ht="18" customHeight="1" x14ac:dyDescent="0.25">
      <c r="B26" s="1129" t="s">
        <v>1933</v>
      </c>
      <c r="C26" s="3729">
        <f>'Table2(I)'!C35</f>
        <v>232.16629320999996</v>
      </c>
      <c r="D26" s="3733" t="str">
        <f>'Table2(I)'!D35</f>
        <v>NO</v>
      </c>
      <c r="E26" s="602" t="str">
        <f>'Table2(I)'!E35</f>
        <v>NO</v>
      </c>
      <c r="F26" s="69"/>
      <c r="G26" s="69"/>
      <c r="H26" s="69"/>
      <c r="I26" s="69"/>
      <c r="J26" s="69"/>
      <c r="K26" s="602" t="str">
        <f>'Table2(I)'!K35</f>
        <v>NO</v>
      </c>
      <c r="L26" s="3732" t="str">
        <f>'Table2(I)'!L35</f>
        <v>NO</v>
      </c>
      <c r="M26" s="3732">
        <f>'Table2(I)'!M35</f>
        <v>184.0455219252193</v>
      </c>
      <c r="N26" s="3734" t="str">
        <f>'Table2(I)'!N35</f>
        <v>NO</v>
      </c>
      <c r="O26" s="3717">
        <f t="shared" si="2"/>
        <v>232.16629320999996</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7409.8286793700499</v>
      </c>
      <c r="G28" s="3718" t="str">
        <f>'Table2(I)'!G45</f>
        <v>NO</v>
      </c>
      <c r="H28" s="3718" t="str">
        <f>'Table2(I)'!H45</f>
        <v>NO</v>
      </c>
      <c r="I28" s="3718" t="str">
        <f>'Table2(I)'!I45</f>
        <v>NO</v>
      </c>
      <c r="J28" s="3718" t="str">
        <f>'Table2(I)'!J45</f>
        <v>NO</v>
      </c>
      <c r="K28" s="3719"/>
      <c r="L28" s="3719"/>
      <c r="M28" s="3719"/>
      <c r="N28" s="3738"/>
      <c r="O28" s="3721">
        <f t="shared" si="2"/>
        <v>7409.8286793700499</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5.5700505429659786E-3</v>
      </c>
      <c r="J29" s="602" t="str">
        <f>'Table2(I)'!J52</f>
        <v>NO</v>
      </c>
      <c r="K29" s="3741" t="str">
        <f>'Table2(I)'!K52</f>
        <v>NO</v>
      </c>
      <c r="L29" s="3741" t="str">
        <f>'Table2(I)'!L52</f>
        <v>NO</v>
      </c>
      <c r="M29" s="3741" t="str">
        <f>'Table2(I)'!M52</f>
        <v>NO</v>
      </c>
      <c r="N29" s="3742" t="str">
        <f>'Table2(I)'!N52</f>
        <v>NO</v>
      </c>
      <c r="O29" s="3721">
        <f t="shared" si="2"/>
        <v>130.8961877597005</v>
      </c>
    </row>
    <row r="30" spans="2:15" ht="18" customHeight="1" thickBot="1" x14ac:dyDescent="0.3">
      <c r="B30" s="1374" t="s">
        <v>1936</v>
      </c>
      <c r="C30" s="3743">
        <f>'Table2(I)'!C57</f>
        <v>261.5775182716128</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49.523195061858132</v>
      </c>
      <c r="N30" s="3746" t="str">
        <f>'Table2(I)'!N57</f>
        <v>NA</v>
      </c>
      <c r="O30" s="3747">
        <f t="shared" si="2"/>
        <v>261.5775182716128</v>
      </c>
    </row>
    <row r="31" spans="2:15" ht="18" customHeight="1" x14ac:dyDescent="0.25">
      <c r="B31" s="1130" t="s">
        <v>1937</v>
      </c>
      <c r="C31" s="3789">
        <f>Table3!C10</f>
        <v>2200.5507644848653</v>
      </c>
      <c r="D31" s="3748">
        <f>Table3!D10</f>
        <v>2351.6715296492102</v>
      </c>
      <c r="E31" s="3749">
        <f>Table3!E10</f>
        <v>39.943076959697891</v>
      </c>
      <c r="F31" s="3750"/>
      <c r="G31" s="3750"/>
      <c r="H31" s="3750"/>
      <c r="I31" s="3750"/>
      <c r="J31" s="3750"/>
      <c r="K31" s="3751">
        <f>Table3!F10</f>
        <v>24.037059325827276</v>
      </c>
      <c r="L31" s="3751">
        <f>Table3!G10</f>
        <v>392.79246919199073</v>
      </c>
      <c r="M31" s="3751">
        <f>Table3!H10</f>
        <v>22.912894036199468</v>
      </c>
      <c r="N31" s="3752" t="str">
        <f>Table3!I10</f>
        <v>NO</v>
      </c>
      <c r="O31" s="3716">
        <f t="shared" si="2"/>
        <v>78632.268988982687</v>
      </c>
    </row>
    <row r="32" spans="2:15" ht="18" customHeight="1" x14ac:dyDescent="0.25">
      <c r="B32" s="1131" t="s">
        <v>1938</v>
      </c>
      <c r="C32" s="3735"/>
      <c r="D32" s="3753">
        <f>Table3!D11</f>
        <v>2090.8195856383677</v>
      </c>
      <c r="E32" s="98"/>
      <c r="F32" s="3754"/>
      <c r="G32" s="3754"/>
      <c r="H32" s="3730"/>
      <c r="I32" s="3754"/>
      <c r="J32" s="3730"/>
      <c r="K32" s="98"/>
      <c r="L32" s="98"/>
      <c r="M32" s="98"/>
      <c r="N32" s="3755"/>
      <c r="O32" s="3716">
        <f t="shared" si="2"/>
        <v>58542.948397874294</v>
      </c>
    </row>
    <row r="33" spans="2:15" ht="18" customHeight="1" x14ac:dyDescent="0.25">
      <c r="B33" s="1131" t="s">
        <v>1939</v>
      </c>
      <c r="C33" s="3735"/>
      <c r="D33" s="3722">
        <f>Table3!D21</f>
        <v>238.73826463668865</v>
      </c>
      <c r="E33" s="3722">
        <f>Table3!E21</f>
        <v>1.8551630777807968</v>
      </c>
      <c r="F33" s="3754"/>
      <c r="G33" s="3754"/>
      <c r="H33" s="3754"/>
      <c r="I33" s="3754"/>
      <c r="J33" s="3754"/>
      <c r="K33" s="69"/>
      <c r="L33" s="69"/>
      <c r="M33" s="3756" t="str">
        <f>Table3!H21</f>
        <v>NE</v>
      </c>
      <c r="N33" s="3757"/>
      <c r="O33" s="3717">
        <f t="shared" si="2"/>
        <v>7176.2896254391935</v>
      </c>
    </row>
    <row r="34" spans="2:15" ht="18" customHeight="1" x14ac:dyDescent="0.25">
      <c r="B34" s="1131" t="s">
        <v>1940</v>
      </c>
      <c r="C34" s="3735"/>
      <c r="D34" s="3722">
        <f>Table3!D32</f>
        <v>12.042077600000001</v>
      </c>
      <c r="E34" s="69"/>
      <c r="F34" s="3754"/>
      <c r="G34" s="3754"/>
      <c r="H34" s="3754"/>
      <c r="I34" s="3754"/>
      <c r="J34" s="3754"/>
      <c r="K34" s="69"/>
      <c r="L34" s="69"/>
      <c r="M34" s="3756" t="str">
        <f>Table3!H32</f>
        <v>NE</v>
      </c>
      <c r="N34" s="3757"/>
      <c r="O34" s="3717">
        <f t="shared" si="2"/>
        <v>337.17817280000003</v>
      </c>
    </row>
    <row r="35" spans="2:15" ht="18" customHeight="1" x14ac:dyDescent="0.25">
      <c r="B35" s="1131" t="s">
        <v>1941</v>
      </c>
      <c r="C35" s="3758"/>
      <c r="D35" s="3722" t="str">
        <f>Table3!D33</f>
        <v>NE</v>
      </c>
      <c r="E35" s="3722">
        <f>Table3!E33</f>
        <v>37.671868714289943</v>
      </c>
      <c r="F35" s="3754"/>
      <c r="G35" s="3754"/>
      <c r="H35" s="3754"/>
      <c r="I35" s="3754"/>
      <c r="J35" s="3754"/>
      <c r="K35" s="3756" t="str">
        <f>Table3!F33</f>
        <v>NO</v>
      </c>
      <c r="L35" s="3756" t="str">
        <f>Table3!G33</f>
        <v>NO</v>
      </c>
      <c r="M35" s="3756" t="str">
        <f>Table3!H33</f>
        <v>NO</v>
      </c>
      <c r="N35" s="3757"/>
      <c r="O35" s="3717">
        <f t="shared" si="2"/>
        <v>9983.0452092868345</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10.07160177415361</v>
      </c>
      <c r="E37" s="3722">
        <f>Table3!E44</f>
        <v>0.41604516762715538</v>
      </c>
      <c r="F37" s="3754"/>
      <c r="G37" s="3754"/>
      <c r="H37" s="3754"/>
      <c r="I37" s="3754"/>
      <c r="J37" s="3754"/>
      <c r="K37" s="3756">
        <f>Table3!F44</f>
        <v>24.037059325827276</v>
      </c>
      <c r="L37" s="3756">
        <f>Table3!G44</f>
        <v>392.79246919199073</v>
      </c>
      <c r="M37" s="3756">
        <f>Table3!H44</f>
        <v>22.912894036199468</v>
      </c>
      <c r="N37" s="3756" t="str">
        <f>Table3!I44</f>
        <v>NO</v>
      </c>
      <c r="O37" s="3717">
        <f t="shared" si="2"/>
        <v>392.25681909749727</v>
      </c>
    </row>
    <row r="38" spans="2:15" ht="18" customHeight="1" x14ac:dyDescent="0.25">
      <c r="B38" s="1132" t="s">
        <v>955</v>
      </c>
      <c r="C38" s="3739">
        <f>Table3!C45</f>
        <v>1088.302771159184</v>
      </c>
      <c r="D38" s="3759"/>
      <c r="E38" s="3759"/>
      <c r="F38" s="3736"/>
      <c r="G38" s="3736"/>
      <c r="H38" s="3736"/>
      <c r="I38" s="3736"/>
      <c r="J38" s="3736"/>
      <c r="K38" s="3760"/>
      <c r="L38" s="3760"/>
      <c r="M38" s="3760"/>
      <c r="N38" s="3738"/>
      <c r="O38" s="3721">
        <f t="shared" si="2"/>
        <v>1088.302771159184</v>
      </c>
    </row>
    <row r="39" spans="2:15" ht="18" customHeight="1" x14ac:dyDescent="0.25">
      <c r="B39" s="1132" t="s">
        <v>956</v>
      </c>
      <c r="C39" s="3761">
        <f>Table3!C46</f>
        <v>1112.2479933256814</v>
      </c>
      <c r="D39" s="3759"/>
      <c r="E39" s="3759"/>
      <c r="F39" s="3736"/>
      <c r="G39" s="3736"/>
      <c r="H39" s="3736"/>
      <c r="I39" s="3736"/>
      <c r="J39" s="3736"/>
      <c r="K39" s="3760"/>
      <c r="L39" s="3760"/>
      <c r="M39" s="3760"/>
      <c r="N39" s="3738"/>
      <c r="O39" s="3721">
        <f t="shared" si="2"/>
        <v>1112.2479933256814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3904.9535083586843</v>
      </c>
      <c r="D42" s="3765">
        <f>Table4!D10</f>
        <v>755.62689394823224</v>
      </c>
      <c r="E42" s="3766">
        <f>Table4!E10</f>
        <v>18.854301795019605</v>
      </c>
      <c r="F42" s="3750"/>
      <c r="G42" s="3750"/>
      <c r="H42" s="3750"/>
      <c r="I42" s="3750"/>
      <c r="J42" s="3750"/>
      <c r="K42" s="3767">
        <f>Table4!F10</f>
        <v>978.87148956277713</v>
      </c>
      <c r="L42" s="3767">
        <f>Table4!G10</f>
        <v>25701.794430193568</v>
      </c>
      <c r="M42" s="3767">
        <f>Table4!H10</f>
        <v>691.7951987192871</v>
      </c>
      <c r="N42" s="3768" t="str">
        <f>N50</f>
        <v>NO</v>
      </c>
      <c r="O42" s="3715">
        <f t="shared" si="2"/>
        <v>30058.896514589382</v>
      </c>
    </row>
    <row r="43" spans="2:15" ht="18" customHeight="1" x14ac:dyDescent="0.25">
      <c r="B43" s="1131" t="s">
        <v>1947</v>
      </c>
      <c r="C43" s="3769">
        <f>Table4!C11</f>
        <v>-33167.597755041097</v>
      </c>
      <c r="D43" s="3770">
        <f>Table4!D11</f>
        <v>342.43448697396326</v>
      </c>
      <c r="E43" s="3771">
        <f>Table4!E11</f>
        <v>7.6715342526016883</v>
      </c>
      <c r="F43" s="3736"/>
      <c r="G43" s="3736"/>
      <c r="H43" s="3736"/>
      <c r="I43" s="3736"/>
      <c r="J43" s="3736"/>
      <c r="K43" s="3756">
        <f>Table4!F11</f>
        <v>342.55405402306178</v>
      </c>
      <c r="L43" s="3756">
        <f>Table4!G11</f>
        <v>9274.6558157112086</v>
      </c>
      <c r="M43" s="3756">
        <f>Table4!H11</f>
        <v>334.82221981340558</v>
      </c>
      <c r="N43" s="3772"/>
      <c r="O43" s="3773">
        <f t="shared" si="2"/>
        <v>-21546.475542830682</v>
      </c>
    </row>
    <row r="44" spans="2:15" ht="18" customHeight="1" x14ac:dyDescent="0.25">
      <c r="B44" s="1131" t="s">
        <v>1948</v>
      </c>
      <c r="C44" s="3769">
        <f>Table4!C14</f>
        <v>6725.8403179998804</v>
      </c>
      <c r="D44" s="3774">
        <f>Table4!D14</f>
        <v>1.590478715706265</v>
      </c>
      <c r="E44" s="3774">
        <f>Table4!E14</f>
        <v>0.15362575864558597</v>
      </c>
      <c r="F44" s="3754"/>
      <c r="G44" s="3754"/>
      <c r="H44" s="3754"/>
      <c r="I44" s="3754"/>
      <c r="J44" s="3754"/>
      <c r="K44" s="3756">
        <f>Table4!F14</f>
        <v>1.1975926043859673</v>
      </c>
      <c r="L44" s="3756">
        <f>Table4!G14</f>
        <v>46.904395458559762</v>
      </c>
      <c r="M44" s="3756">
        <f>Table4!H14</f>
        <v>5.6697620883973325</v>
      </c>
      <c r="N44" s="3775"/>
      <c r="O44" s="3717">
        <f t="shared" si="2"/>
        <v>6811.0845480807366</v>
      </c>
    </row>
    <row r="45" spans="2:15" ht="18" customHeight="1" x14ac:dyDescent="0.25">
      <c r="B45" s="1131" t="s">
        <v>1949</v>
      </c>
      <c r="C45" s="3769">
        <f>Table4!C17</f>
        <v>28925.999791672632</v>
      </c>
      <c r="D45" s="3774">
        <f>Table4!D17</f>
        <v>316.70593611430974</v>
      </c>
      <c r="E45" s="3774">
        <f>Table4!E17</f>
        <v>10.364689791088185</v>
      </c>
      <c r="F45" s="3754"/>
      <c r="G45" s="3754"/>
      <c r="H45" s="3754"/>
      <c r="I45" s="3754"/>
      <c r="J45" s="3754"/>
      <c r="K45" s="3756">
        <f>Table4!F17</f>
        <v>600.91539631134322</v>
      </c>
      <c r="L45" s="3756">
        <f>Table4!G17</f>
        <v>15531.886782497024</v>
      </c>
      <c r="M45" s="3756">
        <f>Table4!H17</f>
        <v>342.02629120181678</v>
      </c>
      <c r="N45" s="3775"/>
      <c r="O45" s="3717">
        <f t="shared" si="2"/>
        <v>40540.408797511678</v>
      </c>
    </row>
    <row r="46" spans="2:15" ht="18" customHeight="1" x14ac:dyDescent="0.25">
      <c r="B46" s="1131" t="s">
        <v>1950</v>
      </c>
      <c r="C46" s="3769">
        <f>Table4!C20</f>
        <v>2131.4194210147712</v>
      </c>
      <c r="D46" s="3774">
        <f>Table4!D20</f>
        <v>92.433263342915936</v>
      </c>
      <c r="E46" s="3774">
        <f>Table4!E20</f>
        <v>0.44256171909281433</v>
      </c>
      <c r="F46" s="3754"/>
      <c r="G46" s="3754"/>
      <c r="H46" s="3754"/>
      <c r="I46" s="3754"/>
      <c r="J46" s="3754"/>
      <c r="K46" s="3756">
        <f>Table4!F20</f>
        <v>32.350070472979333</v>
      </c>
      <c r="L46" s="3756">
        <f>Table4!G20</f>
        <v>775.71973993178392</v>
      </c>
      <c r="M46" s="3756">
        <f>Table4!H20</f>
        <v>0.49775349978956129</v>
      </c>
      <c r="N46" s="3775"/>
      <c r="O46" s="3717">
        <f t="shared" si="2"/>
        <v>4836.8296501760142</v>
      </c>
    </row>
    <row r="47" spans="2:15" ht="18" customHeight="1" x14ac:dyDescent="0.25">
      <c r="B47" s="1131" t="s">
        <v>1951</v>
      </c>
      <c r="C47" s="3769">
        <f>Table4!C23</f>
        <v>3864.1955939452637</v>
      </c>
      <c r="D47" s="3774">
        <f>Table4!D23</f>
        <v>2.4627288013371542</v>
      </c>
      <c r="E47" s="3776">
        <f>Table4!E23</f>
        <v>8.6545681492043045E-2</v>
      </c>
      <c r="F47" s="3754"/>
      <c r="G47" s="3754"/>
      <c r="H47" s="3754"/>
      <c r="I47" s="3754"/>
      <c r="J47" s="3754"/>
      <c r="K47" s="3756">
        <f>Table4!F23</f>
        <v>1.8543761510068453</v>
      </c>
      <c r="L47" s="3756">
        <f>Table4!G23</f>
        <v>72.627696594989231</v>
      </c>
      <c r="M47" s="3756">
        <f>Table4!H23</f>
        <v>8.7791721158778167</v>
      </c>
      <c r="N47" s="1842"/>
      <c r="O47" s="3717">
        <f t="shared" si="2"/>
        <v>3956.0866059780956</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-4574.9038612327631</v>
      </c>
      <c r="D49" s="3736"/>
      <c r="E49" s="3736"/>
      <c r="F49" s="3736"/>
      <c r="G49" s="3736"/>
      <c r="H49" s="3736"/>
      <c r="I49" s="3736"/>
      <c r="J49" s="3736"/>
      <c r="K49" s="3736"/>
      <c r="L49" s="3736"/>
      <c r="M49" s="3736"/>
      <c r="N49" s="3781"/>
      <c r="O49" s="3721">
        <f t="shared" si="2"/>
        <v>-4574.9038612327631</v>
      </c>
    </row>
    <row r="50" spans="2:15" ht="18" customHeight="1" thickBot="1" x14ac:dyDescent="0.3">
      <c r="B50" s="1375" t="s">
        <v>1954</v>
      </c>
      <c r="C50" s="3782" t="str">
        <f>Table4!C30</f>
        <v>NO</v>
      </c>
      <c r="D50" s="3783" t="str">
        <f>Table4!D30</f>
        <v>NO</v>
      </c>
      <c r="E50" s="3783">
        <f>Table4!E30</f>
        <v>0.13534459209928801</v>
      </c>
      <c r="F50" s="3762"/>
      <c r="G50" s="3762"/>
      <c r="H50" s="3762"/>
      <c r="I50" s="3762"/>
      <c r="J50" s="3762"/>
      <c r="K50" s="3784" t="str">
        <f>Table4!F30</f>
        <v>NO</v>
      </c>
      <c r="L50" s="3784" t="str">
        <f>Table4!G30</f>
        <v>NO</v>
      </c>
      <c r="M50" s="3784" t="str">
        <f>Table4!H30</f>
        <v>NO</v>
      </c>
      <c r="N50" s="3785" t="s">
        <v>199</v>
      </c>
      <c r="O50" s="3747">
        <f t="shared" si="2"/>
        <v>35.866316906311319</v>
      </c>
    </row>
    <row r="51" spans="2:15" ht="18" customHeight="1" x14ac:dyDescent="0.25">
      <c r="B51" s="1376" t="s">
        <v>1955</v>
      </c>
      <c r="C51" s="3786">
        <f>Table5!C10</f>
        <v>30.475238146900701</v>
      </c>
      <c r="D51" s="3748">
        <f>Table5!D10</f>
        <v>541.61226274555952</v>
      </c>
      <c r="E51" s="3749">
        <f>Table5!E10</f>
        <v>1.4471069682259725</v>
      </c>
      <c r="F51" s="3750"/>
      <c r="G51" s="3750"/>
      <c r="H51" s="3750"/>
      <c r="I51" s="3750"/>
      <c r="J51" s="3750"/>
      <c r="K51" s="3751" t="str">
        <f>Table5!F10</f>
        <v>NO</v>
      </c>
      <c r="L51" s="3751" t="str">
        <f>Table5!G10</f>
        <v>NO</v>
      </c>
      <c r="M51" s="3751">
        <f>Table5!H10</f>
        <v>236.19049399142881</v>
      </c>
      <c r="N51" s="3752" t="str">
        <f>Table5!I10</f>
        <v>NO</v>
      </c>
      <c r="O51" s="3787">
        <f t="shared" si="2"/>
        <v>15579.101941602448</v>
      </c>
    </row>
    <row r="52" spans="2:15" ht="18" customHeight="1" x14ac:dyDescent="0.25">
      <c r="B52" s="1131" t="s">
        <v>1956</v>
      </c>
      <c r="C52" s="3758"/>
      <c r="D52" s="3753">
        <f>Table5!D11</f>
        <v>447.31955003343387</v>
      </c>
      <c r="E52" s="3788"/>
      <c r="F52" s="3750"/>
      <c r="G52" s="3750"/>
      <c r="H52" s="3750"/>
      <c r="I52" s="3750"/>
      <c r="J52" s="3750"/>
      <c r="K52" s="3756" t="str">
        <f>Table5!F11</f>
        <v>NO</v>
      </c>
      <c r="L52" s="3756" t="str">
        <f>Table5!G11</f>
        <v>NO</v>
      </c>
      <c r="M52" s="3756">
        <f>Table5!H11</f>
        <v>2.9708102554080615</v>
      </c>
      <c r="N52" s="3755"/>
      <c r="O52" s="3787">
        <f t="shared" si="2"/>
        <v>12524.947400936147</v>
      </c>
    </row>
    <row r="53" spans="2:15" ht="18" customHeight="1" x14ac:dyDescent="0.25">
      <c r="B53" s="1131" t="s">
        <v>1957</v>
      </c>
      <c r="C53" s="3758"/>
      <c r="D53" s="3753">
        <f>Table5!D15</f>
        <v>3.9527055075000002</v>
      </c>
      <c r="E53" s="3753">
        <f>Table5!E15</f>
        <v>0.50594630496000004</v>
      </c>
      <c r="F53" s="3754"/>
      <c r="G53" s="3754"/>
      <c r="H53" s="3754"/>
      <c r="I53" s="3754"/>
      <c r="J53" s="3754"/>
      <c r="K53" s="3756" t="str">
        <f>Table5!F15</f>
        <v>NA,NE</v>
      </c>
      <c r="L53" s="3756" t="str">
        <f>Table5!G15</f>
        <v>NA,NE</v>
      </c>
      <c r="M53" s="3756" t="str">
        <f>Table5!H15</f>
        <v>NA,NE</v>
      </c>
      <c r="N53" s="3755"/>
      <c r="O53" s="3716">
        <f t="shared" si="2"/>
        <v>244.75152502440002</v>
      </c>
    </row>
    <row r="54" spans="2:15" ht="18" customHeight="1" x14ac:dyDescent="0.25">
      <c r="B54" s="1131" t="s">
        <v>1958</v>
      </c>
      <c r="C54" s="3817">
        <f>Table5!C18</f>
        <v>30.475238146900701</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30.475238146900701</v>
      </c>
    </row>
    <row r="55" spans="2:15" ht="18" customHeight="1" x14ac:dyDescent="0.25">
      <c r="B55" s="1131" t="s">
        <v>1959</v>
      </c>
      <c r="C55" s="3735"/>
      <c r="D55" s="3722">
        <f>Table5!D21</f>
        <v>90.340007204625678</v>
      </c>
      <c r="E55" s="3722">
        <f>Table5!E21</f>
        <v>0.94116066326597247</v>
      </c>
      <c r="F55" s="3754"/>
      <c r="G55" s="3754"/>
      <c r="H55" s="3754"/>
      <c r="I55" s="3754"/>
      <c r="J55" s="3754"/>
      <c r="K55" s="3756" t="str">
        <f>Table5!F21</f>
        <v>NO</v>
      </c>
      <c r="L55" s="3756" t="str">
        <f>Table5!G21</f>
        <v>NO</v>
      </c>
      <c r="M55" s="3756">
        <f>Table5!H21</f>
        <v>233.21968373602076</v>
      </c>
      <c r="N55" s="3755"/>
      <c r="O55" s="3791">
        <f t="shared" si="2"/>
        <v>2778.9277774950019</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11958.095999999998</v>
      </c>
      <c r="D61" s="3802">
        <f>Table1!D52</f>
        <v>0.19735271499999998</v>
      </c>
      <c r="E61" s="3802">
        <f>Table1!E52</f>
        <v>0.10260023191578947</v>
      </c>
      <c r="F61" s="615"/>
      <c r="G61" s="615"/>
      <c r="H61" s="615"/>
      <c r="I61" s="615"/>
      <c r="J61" s="615"/>
      <c r="K61" s="3802">
        <f>Table1!F52</f>
        <v>101.63990574184209</v>
      </c>
      <c r="L61" s="3802">
        <f>Table1!G52</f>
        <v>17.230720164561404</v>
      </c>
      <c r="M61" s="3802">
        <f>Table1!H52</f>
        <v>9.2477595655964908</v>
      </c>
      <c r="N61" s="3803">
        <f>Table1!I52</f>
        <v>32.185223379217277</v>
      </c>
      <c r="O61" s="3787">
        <f t="shared" ref="O61:O67" si="4">IF(SUM(C61:J61)=0,"NO",SUM(C61,F61:H61)+28*SUM(D61)+265*SUM(E61)+23500*SUM(I61)+16100*SUM(J61))</f>
        <v>11990.810937477681</v>
      </c>
    </row>
    <row r="62" spans="2:15" ht="18" customHeight="1" x14ac:dyDescent="0.25">
      <c r="B62" s="1370" t="s">
        <v>218</v>
      </c>
      <c r="C62" s="3804">
        <f>Table1!C53</f>
        <v>10093.391999999998</v>
      </c>
      <c r="D62" s="620">
        <f>Table1!D53</f>
        <v>1.9552715000000005E-2</v>
      </c>
      <c r="E62" s="620">
        <f>Table1!E53</f>
        <v>5.1800231915789467E-2</v>
      </c>
      <c r="F62" s="615"/>
      <c r="G62" s="615"/>
      <c r="H62" s="615"/>
      <c r="I62" s="615"/>
      <c r="J62" s="2161"/>
      <c r="K62" s="620">
        <f>Table1!F53</f>
        <v>51.377505741842093</v>
      </c>
      <c r="L62" s="620">
        <f>Table1!G53</f>
        <v>15.960800164561403</v>
      </c>
      <c r="M62" s="620">
        <f>Table1!H53</f>
        <v>7.6693195655964903</v>
      </c>
      <c r="N62" s="622">
        <f>Table1!I53</f>
        <v>1.1891639999999999</v>
      </c>
      <c r="O62" s="3716">
        <f t="shared" si="4"/>
        <v>10107.666537477682</v>
      </c>
    </row>
    <row r="63" spans="2:15" ht="18" customHeight="1" x14ac:dyDescent="0.25">
      <c r="B63" s="1379" t="s">
        <v>1963</v>
      </c>
      <c r="C63" s="3804">
        <f>Table1!C54</f>
        <v>1864.704</v>
      </c>
      <c r="D63" s="617">
        <f>Table1!D54</f>
        <v>0.17779999999999999</v>
      </c>
      <c r="E63" s="617">
        <f>Table1!E54</f>
        <v>5.0800000000000005E-2</v>
      </c>
      <c r="F63" s="615"/>
      <c r="G63" s="615"/>
      <c r="H63" s="615"/>
      <c r="I63" s="615"/>
      <c r="J63" s="615"/>
      <c r="K63" s="617">
        <f>Table1!F54</f>
        <v>50.262399999999992</v>
      </c>
      <c r="L63" s="617">
        <f>Table1!G54</f>
        <v>1.2699199999999997</v>
      </c>
      <c r="M63" s="617">
        <f>Table1!H54</f>
        <v>1.5784400000000001</v>
      </c>
      <c r="N63" s="619">
        <f>Table1!I54</f>
        <v>30.996059379217275</v>
      </c>
      <c r="O63" s="3717">
        <f t="shared" si="4"/>
        <v>1883.1443999999999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16455.288575753697</v>
      </c>
      <c r="D65" s="3806"/>
      <c r="E65" s="3806"/>
      <c r="F65" s="3807"/>
      <c r="G65" s="3807"/>
      <c r="H65" s="3807"/>
      <c r="I65" s="3807"/>
      <c r="J65" s="3806"/>
      <c r="K65" s="3806"/>
      <c r="L65" s="3806"/>
      <c r="M65" s="3806"/>
      <c r="N65" s="3808"/>
      <c r="O65" s="3773">
        <f t="shared" si="4"/>
        <v>16455.288575753697</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282823.15214588447</v>
      </c>
      <c r="D67" s="3807"/>
      <c r="E67" s="3807"/>
      <c r="F67" s="3811"/>
      <c r="G67" s="3807"/>
      <c r="H67" s="3807"/>
      <c r="I67" s="3807"/>
      <c r="J67" s="3807"/>
      <c r="K67" s="3807"/>
      <c r="L67" s="3807"/>
      <c r="M67" s="3807"/>
      <c r="N67" s="3812"/>
      <c r="O67" s="3721">
        <f t="shared" si="4"/>
        <v>282823.15214588447</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407763.05016614014</v>
      </c>
      <c r="D10" s="3798">
        <f>IFERROR(Summary1!D10*28,Summary1!D10)</f>
        <v>140474.29085341963</v>
      </c>
      <c r="E10" s="3798">
        <f>IFERROR(Summary1!E10*265,Summary1!E10)</f>
        <v>21548.945950166762</v>
      </c>
      <c r="F10" s="3798">
        <f>Summary1!F10</f>
        <v>7409.8286793700499</v>
      </c>
      <c r="G10" s="3798">
        <f>Summary1!G10</f>
        <v>270.90088273132159</v>
      </c>
      <c r="H10" s="3798" t="str">
        <f>Summary1!H10</f>
        <v>NO</v>
      </c>
      <c r="I10" s="3827">
        <f>IFERROR(Summary1!I10*23500,Summary1!I10)</f>
        <v>130.8961877597005</v>
      </c>
      <c r="J10" s="4181" t="str">
        <f>IFERROR(Summary1!J10*16100,Summary1!J10)</f>
        <v>NO</v>
      </c>
      <c r="K10" s="3799">
        <f>IF(SUM(C10:J10)=0,"NO",SUM(C10:J10))</f>
        <v>577597.91271958756</v>
      </c>
    </row>
    <row r="11" spans="2:12" ht="18" customHeight="1" x14ac:dyDescent="0.2">
      <c r="B11" s="1549" t="s">
        <v>1921</v>
      </c>
      <c r="C11" s="3767">
        <f>Summary1!C11</f>
        <v>377579.38751233678</v>
      </c>
      <c r="D11" s="3767">
        <f>IFERROR(Summary1!D11*28,Summary1!D11)</f>
        <v>38195.489009275931</v>
      </c>
      <c r="E11" s="3767">
        <f>IFERROR(Summary1!E11*265,Summary1!E11)</f>
        <v>3294.5561722709208</v>
      </c>
      <c r="F11" s="1550"/>
      <c r="G11" s="1550"/>
      <c r="H11" s="1551"/>
      <c r="I11" s="1551"/>
      <c r="J11" s="613"/>
      <c r="K11" s="3828">
        <f t="shared" ref="K11:K55" si="0">IF(SUM(C11:J11)=0,"NO",SUM(C11:J11))</f>
        <v>419069.4326938836</v>
      </c>
      <c r="L11" s="19"/>
    </row>
    <row r="12" spans="2:12" ht="18" customHeight="1" x14ac:dyDescent="0.2">
      <c r="B12" s="606" t="s">
        <v>242</v>
      </c>
      <c r="C12" s="3756">
        <f>Summary1!C12</f>
        <v>369696.78610851301</v>
      </c>
      <c r="D12" s="3756">
        <f>IFERROR(Summary1!D12*28,Summary1!D12)</f>
        <v>2140.176697784932</v>
      </c>
      <c r="E12" s="3756">
        <f>IFERROR(Summary1!E12*265,Summary1!E12)</f>
        <v>3272.0715198109101</v>
      </c>
      <c r="F12" s="615"/>
      <c r="G12" s="615"/>
      <c r="H12" s="615"/>
      <c r="I12" s="69"/>
      <c r="J12" s="69"/>
      <c r="K12" s="3829">
        <f t="shared" si="0"/>
        <v>375109.03432610887</v>
      </c>
      <c r="L12" s="19"/>
    </row>
    <row r="13" spans="2:12" ht="18" customHeight="1" x14ac:dyDescent="0.2">
      <c r="B13" s="1391" t="s">
        <v>1923</v>
      </c>
      <c r="C13" s="3756">
        <f>Summary1!C13</f>
        <v>219013.47583026011</v>
      </c>
      <c r="D13" s="3756">
        <f>IFERROR(Summary1!D13*28,Summary1!D13)</f>
        <v>506.10194989514986</v>
      </c>
      <c r="E13" s="3756">
        <f>IFERROR(Summary1!E13*265,Summary1!E13)</f>
        <v>1108.7977471815962</v>
      </c>
      <c r="F13" s="615"/>
      <c r="G13" s="615"/>
      <c r="H13" s="615"/>
      <c r="I13" s="69"/>
      <c r="J13" s="69"/>
      <c r="K13" s="3829">
        <f t="shared" si="0"/>
        <v>220628.37552733684</v>
      </c>
      <c r="L13" s="19"/>
    </row>
    <row r="14" spans="2:12" ht="18" customHeight="1" x14ac:dyDescent="0.2">
      <c r="B14" s="1391" t="s">
        <v>1976</v>
      </c>
      <c r="C14" s="3756">
        <f>Summary1!C14</f>
        <v>40476.85970953395</v>
      </c>
      <c r="D14" s="3756">
        <f>IFERROR(Summary1!D14*28,Summary1!D14)</f>
        <v>63.760355264622049</v>
      </c>
      <c r="E14" s="3756">
        <f>IFERROR(Summary1!E14*265,Summary1!E14)</f>
        <v>342.87654486341665</v>
      </c>
      <c r="F14" s="615"/>
      <c r="G14" s="615"/>
      <c r="H14" s="615"/>
      <c r="I14" s="69"/>
      <c r="J14" s="69"/>
      <c r="K14" s="3829">
        <f t="shared" si="0"/>
        <v>40883.49660966199</v>
      </c>
      <c r="L14" s="19"/>
    </row>
    <row r="15" spans="2:12" ht="18" customHeight="1" x14ac:dyDescent="0.2">
      <c r="B15" s="1391" t="s">
        <v>1925</v>
      </c>
      <c r="C15" s="3756">
        <f>Summary1!C15</f>
        <v>89136.106454077162</v>
      </c>
      <c r="D15" s="3756">
        <f>IFERROR(Summary1!D15*28,Summary1!D15)</f>
        <v>470.15026113540273</v>
      </c>
      <c r="E15" s="3756">
        <f>IFERROR(Summary1!E15*265,Summary1!E15)</f>
        <v>1640.4210986176988</v>
      </c>
      <c r="F15" s="615"/>
      <c r="G15" s="615"/>
      <c r="H15" s="615"/>
      <c r="I15" s="69"/>
      <c r="J15" s="69"/>
      <c r="K15" s="3829">
        <f t="shared" si="0"/>
        <v>91246.677813830276</v>
      </c>
      <c r="L15" s="19"/>
    </row>
    <row r="16" spans="2:12" ht="18" customHeight="1" x14ac:dyDescent="0.2">
      <c r="B16" s="1391" t="s">
        <v>1926</v>
      </c>
      <c r="C16" s="3756">
        <f>Summary1!C16</f>
        <v>20179.952444306131</v>
      </c>
      <c r="D16" s="3756">
        <f>IFERROR(Summary1!D16*28,Summary1!D16)</f>
        <v>1099.2821992863105</v>
      </c>
      <c r="E16" s="3756">
        <f>IFERROR(Summary1!E16*265,Summary1!E16)</f>
        <v>173.27767059402439</v>
      </c>
      <c r="F16" s="615"/>
      <c r="G16" s="615"/>
      <c r="H16" s="615"/>
      <c r="I16" s="69"/>
      <c r="J16" s="69"/>
      <c r="K16" s="3829">
        <f t="shared" si="0"/>
        <v>21452.512314186464</v>
      </c>
      <c r="L16" s="19"/>
    </row>
    <row r="17" spans="2:12" ht="18" customHeight="1" x14ac:dyDescent="0.2">
      <c r="B17" s="1391" t="s">
        <v>1927</v>
      </c>
      <c r="C17" s="3756">
        <f>Summary1!C17</f>
        <v>890.39167033567935</v>
      </c>
      <c r="D17" s="3756">
        <f>IFERROR(Summary1!D17*28,Summary1!D17)</f>
        <v>0.88193220344671164</v>
      </c>
      <c r="E17" s="3756">
        <f>IFERROR(Summary1!E17*265,Summary1!E17)</f>
        <v>6.6984585541741266</v>
      </c>
      <c r="F17" s="615"/>
      <c r="G17" s="615"/>
      <c r="H17" s="615"/>
      <c r="I17" s="69"/>
      <c r="J17" s="69"/>
      <c r="K17" s="3829">
        <f t="shared" si="0"/>
        <v>897.97206109330023</v>
      </c>
      <c r="L17" s="19"/>
    </row>
    <row r="18" spans="2:12" ht="18" customHeight="1" x14ac:dyDescent="0.2">
      <c r="B18" s="606" t="s">
        <v>201</v>
      </c>
      <c r="C18" s="3756">
        <f>Summary1!C18</f>
        <v>7882.6014038237718</v>
      </c>
      <c r="D18" s="3756">
        <f>IFERROR(Summary1!D18*28,Summary1!D18)</f>
        <v>36055.312311490998</v>
      </c>
      <c r="E18" s="3756">
        <f>IFERROR(Summary1!E18*265,Summary1!E18)</f>
        <v>22.484652460010565</v>
      </c>
      <c r="F18" s="615"/>
      <c r="G18" s="615"/>
      <c r="H18" s="615"/>
      <c r="I18" s="69"/>
      <c r="J18" s="69"/>
      <c r="K18" s="3829">
        <f t="shared" si="0"/>
        <v>43960.398367774775</v>
      </c>
      <c r="L18" s="19"/>
    </row>
    <row r="19" spans="2:12" ht="18" customHeight="1" x14ac:dyDescent="0.2">
      <c r="B19" s="1391" t="s">
        <v>1928</v>
      </c>
      <c r="C19" s="3756">
        <f>Summary1!C19</f>
        <v>1545.9622565642071</v>
      </c>
      <c r="D19" s="3756">
        <f>IFERROR(Summary1!D19*28,Summary1!D19)</f>
        <v>29970.347036959141</v>
      </c>
      <c r="E19" s="3756">
        <f>IFERROR(Summary1!E19*265,Summary1!E19)</f>
        <v>8.2885806414662394E-2</v>
      </c>
      <c r="F19" s="615"/>
      <c r="G19" s="615"/>
      <c r="H19" s="615"/>
      <c r="I19" s="69"/>
      <c r="J19" s="69"/>
      <c r="K19" s="3829">
        <f t="shared" si="0"/>
        <v>31516.392179329763</v>
      </c>
      <c r="L19" s="19"/>
    </row>
    <row r="20" spans="2:12" ht="18" customHeight="1" x14ac:dyDescent="0.2">
      <c r="B20" s="1392" t="s">
        <v>1929</v>
      </c>
      <c r="C20" s="3756">
        <f>Summary1!C20</f>
        <v>6336.6391472595651</v>
      </c>
      <c r="D20" s="3756">
        <f>IFERROR(Summary1!D20*28,Summary1!D20)</f>
        <v>6084.9652745318572</v>
      </c>
      <c r="E20" s="3756">
        <f>IFERROR(Summary1!E20*265,Summary1!E20)</f>
        <v>22.401766653595899</v>
      </c>
      <c r="F20" s="615"/>
      <c r="G20" s="615"/>
      <c r="H20" s="615"/>
      <c r="I20" s="69"/>
      <c r="J20" s="69"/>
      <c r="K20" s="3829">
        <f t="shared" si="0"/>
        <v>12444.006188445019</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24047.683142812897</v>
      </c>
      <c r="D22" s="3767">
        <f>IFERROR(Summary1!D22*28,Summary1!D22)</f>
        <v>109.302626539648</v>
      </c>
      <c r="E22" s="3767">
        <f>IFERROR(Summary1!E22*265,Summary1!E22)</f>
        <v>2289.6010613158264</v>
      </c>
      <c r="F22" s="3767">
        <f>Summary1!F22</f>
        <v>7409.8286793700499</v>
      </c>
      <c r="G22" s="3767">
        <f>Summary1!G22</f>
        <v>270.90088273132159</v>
      </c>
      <c r="H22" s="3767" t="str">
        <f>Summary1!H22</f>
        <v>NO</v>
      </c>
      <c r="I22" s="3767">
        <f>IFERROR(Summary1!I22*23500,Summary1!I22)</f>
        <v>130.8961877597005</v>
      </c>
      <c r="J22" s="3831" t="str">
        <f>IFERROR(Summary1!J22*16100,Summary1!J22)</f>
        <v>NO</v>
      </c>
      <c r="K22" s="3828">
        <f t="shared" si="0"/>
        <v>34258.212580529449</v>
      </c>
      <c r="L22" s="19"/>
    </row>
    <row r="23" spans="2:12" ht="18" customHeight="1" x14ac:dyDescent="0.2">
      <c r="B23" s="1393" t="s">
        <v>1932</v>
      </c>
      <c r="C23" s="3756">
        <f>Summary1!C23</f>
        <v>6453.9523771024305</v>
      </c>
      <c r="D23" s="615"/>
      <c r="E23" s="615"/>
      <c r="F23" s="615"/>
      <c r="G23" s="615"/>
      <c r="H23" s="615"/>
      <c r="I23" s="69"/>
      <c r="J23" s="69"/>
      <c r="K23" s="3829">
        <f t="shared" si="0"/>
        <v>6453.9523771024305</v>
      </c>
      <c r="L23" s="19"/>
    </row>
    <row r="24" spans="2:12" ht="18" customHeight="1" x14ac:dyDescent="0.2">
      <c r="B24" s="1393" t="s">
        <v>846</v>
      </c>
      <c r="C24" s="3756">
        <f>Summary1!C24</f>
        <v>3536.8966812225599</v>
      </c>
      <c r="D24" s="3756">
        <f>IFERROR(Summary1!D24*28,Summary1!D24)</f>
        <v>16.177380799999998</v>
      </c>
      <c r="E24" s="3756">
        <f>IFERROR(Summary1!E24*265,Summary1!E24)</f>
        <v>2267.7053291036164</v>
      </c>
      <c r="F24" s="1949" t="str">
        <f>Summary1!F24</f>
        <v>NO</v>
      </c>
      <c r="G24" s="1949" t="str">
        <f>Summary1!G24</f>
        <v>NO</v>
      </c>
      <c r="H24" s="1949" t="str">
        <f>Summary1!H24</f>
        <v>NO</v>
      </c>
      <c r="I24" s="602" t="str">
        <f>IFERROR(Summary1!I24*23500,Summary1!I24)</f>
        <v>NO</v>
      </c>
      <c r="J24" s="602" t="str">
        <f>IFERROR(Summary1!J24*16100,Summary1!J24)</f>
        <v>NO</v>
      </c>
      <c r="K24" s="3829">
        <f t="shared" si="0"/>
        <v>5820.7793911261761</v>
      </c>
      <c r="L24" s="19"/>
    </row>
    <row r="25" spans="2:12" ht="18" customHeight="1" x14ac:dyDescent="0.2">
      <c r="B25" s="1393" t="s">
        <v>637</v>
      </c>
      <c r="C25" s="3756">
        <f>Summary1!C25</f>
        <v>13563.090273006292</v>
      </c>
      <c r="D25" s="3756">
        <f>IFERROR(Summary1!D25*28,Summary1!D25)</f>
        <v>93.125245739648008</v>
      </c>
      <c r="E25" s="3756">
        <f>IFERROR(Summary1!E25*265,Summary1!E25)</f>
        <v>21.895732212209946</v>
      </c>
      <c r="F25" s="1949" t="str">
        <f>Summary1!F25</f>
        <v>NO</v>
      </c>
      <c r="G25" s="3756">
        <f>Summary1!G25</f>
        <v>270.90088273132159</v>
      </c>
      <c r="H25" s="3756" t="str">
        <f>Summary1!H25</f>
        <v>NO</v>
      </c>
      <c r="I25" s="3756" t="str">
        <f>IFERROR(Summary1!I25*23500,Summary1!I25)</f>
        <v>NO</v>
      </c>
      <c r="J25" s="3756" t="str">
        <f>IFERROR(Summary1!J25*16100,Summary1!J25)</f>
        <v>NO</v>
      </c>
      <c r="K25" s="3829">
        <f t="shared" si="0"/>
        <v>13949.01213368947</v>
      </c>
      <c r="L25" s="19"/>
    </row>
    <row r="26" spans="2:12" ht="18" customHeight="1" x14ac:dyDescent="0.2">
      <c r="B26" s="1394" t="s">
        <v>1978</v>
      </c>
      <c r="C26" s="3756">
        <f>Summary1!C26</f>
        <v>232.16629320999996</v>
      </c>
      <c r="D26" s="3756" t="str">
        <f>IFERROR(Summary1!D26*28,Summary1!D26)</f>
        <v>NO</v>
      </c>
      <c r="E26" s="3756" t="str">
        <f>IFERROR(Summary1!E26*265,Summary1!E26)</f>
        <v>NO</v>
      </c>
      <c r="F26" s="615"/>
      <c r="G26" s="615"/>
      <c r="H26" s="615"/>
      <c r="I26" s="69"/>
      <c r="J26" s="69"/>
      <c r="K26" s="3829">
        <f t="shared" si="0"/>
        <v>232.16629320999996</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7409.8286793700499</v>
      </c>
      <c r="G28" s="3756" t="str">
        <f>Summary1!G28</f>
        <v>NO</v>
      </c>
      <c r="H28" s="3756" t="str">
        <f>Summary1!H28</f>
        <v>NO</v>
      </c>
      <c r="I28" s="3756" t="str">
        <f>IFERROR(Summary1!I28*23500,Summary1!I28)</f>
        <v>NO</v>
      </c>
      <c r="J28" s="3756" t="str">
        <f>IFERROR(Summary1!J28*16100,Summary1!J28)</f>
        <v>NO</v>
      </c>
      <c r="K28" s="3829">
        <f t="shared" si="0"/>
        <v>7409.8286793700499</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130.8961877597005</v>
      </c>
      <c r="J29" s="3756" t="str">
        <f>IFERROR(Summary1!J29*16100,Summary1!J29)</f>
        <v>NO</v>
      </c>
      <c r="K29" s="3829">
        <f t="shared" si="0"/>
        <v>130.8961877597005</v>
      </c>
      <c r="L29" s="19"/>
    </row>
    <row r="30" spans="2:12" ht="18" customHeight="1" thickBot="1" x14ac:dyDescent="0.25">
      <c r="B30" s="1406" t="s">
        <v>1982</v>
      </c>
      <c r="C30" s="3784">
        <f>Summary1!C30</f>
        <v>261.5775182716128</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261.5775182716128</v>
      </c>
      <c r="L30" s="19"/>
    </row>
    <row r="31" spans="2:12" ht="18" customHeight="1" x14ac:dyDescent="0.2">
      <c r="B31" s="780" t="s">
        <v>1937</v>
      </c>
      <c r="C31" s="3767">
        <f>Summary1!C31</f>
        <v>2200.5507644848653</v>
      </c>
      <c r="D31" s="3767">
        <f>IFERROR(Summary1!D31*28,Summary1!D31)</f>
        <v>65846.802830177883</v>
      </c>
      <c r="E31" s="3767">
        <f>IFERROR(Summary1!E31*265,Summary1!E31)</f>
        <v>10584.915394319942</v>
      </c>
      <c r="F31" s="1550"/>
      <c r="G31" s="1550"/>
      <c r="H31" s="1550"/>
      <c r="I31" s="1553"/>
      <c r="J31" s="613"/>
      <c r="K31" s="3828">
        <f t="shared" si="0"/>
        <v>78632.268988982687</v>
      </c>
      <c r="L31" s="19"/>
    </row>
    <row r="32" spans="2:12" ht="18" customHeight="1" x14ac:dyDescent="0.2">
      <c r="B32" s="606" t="s">
        <v>1938</v>
      </c>
      <c r="C32" s="615"/>
      <c r="D32" s="3756">
        <f>IFERROR(Summary1!D32*28,Summary1!D32)</f>
        <v>58542.948397874294</v>
      </c>
      <c r="E32" s="615"/>
      <c r="F32" s="615"/>
      <c r="G32" s="615"/>
      <c r="H32" s="615"/>
      <c r="I32" s="69"/>
      <c r="J32" s="69"/>
      <c r="K32" s="3829">
        <f t="shared" si="0"/>
        <v>58542.948397874294</v>
      </c>
      <c r="L32" s="19"/>
    </row>
    <row r="33" spans="2:12" ht="18" customHeight="1" x14ac:dyDescent="0.2">
      <c r="B33" s="606" t="s">
        <v>1939</v>
      </c>
      <c r="C33" s="615"/>
      <c r="D33" s="3756">
        <f>IFERROR(Summary1!D33*28,Summary1!D33)</f>
        <v>6684.6714098272823</v>
      </c>
      <c r="E33" s="3756">
        <f>IFERROR(Summary1!E33*265,Summary1!E33)</f>
        <v>491.61821561191118</v>
      </c>
      <c r="F33" s="615"/>
      <c r="G33" s="615"/>
      <c r="H33" s="615"/>
      <c r="I33" s="69"/>
      <c r="J33" s="69"/>
      <c r="K33" s="3829">
        <f t="shared" si="0"/>
        <v>7176.2896254391935</v>
      </c>
      <c r="L33" s="19"/>
    </row>
    <row r="34" spans="2:12" ht="18" customHeight="1" x14ac:dyDescent="0.2">
      <c r="B34" s="606" t="s">
        <v>1940</v>
      </c>
      <c r="C34" s="615"/>
      <c r="D34" s="3756">
        <f>IFERROR(Summary1!D34*28,Summary1!D34)</f>
        <v>337.17817280000003</v>
      </c>
      <c r="E34" s="615"/>
      <c r="F34" s="615"/>
      <c r="G34" s="615"/>
      <c r="H34" s="615"/>
      <c r="I34" s="69"/>
      <c r="J34" s="69"/>
      <c r="K34" s="3829">
        <f t="shared" si="0"/>
        <v>337.17817280000003</v>
      </c>
      <c r="L34" s="19"/>
    </row>
    <row r="35" spans="2:12" ht="18" customHeight="1" x14ac:dyDescent="0.2">
      <c r="B35" s="606" t="s">
        <v>1941</v>
      </c>
      <c r="C35" s="1950"/>
      <c r="D35" s="3756" t="str">
        <f>IFERROR(Summary1!D35*28,Summary1!D35)</f>
        <v>NE</v>
      </c>
      <c r="E35" s="3756">
        <f>IFERROR(Summary1!E35*265,Summary1!E35)</f>
        <v>9983.0452092868345</v>
      </c>
      <c r="F35" s="615"/>
      <c r="G35" s="615"/>
      <c r="H35" s="615"/>
      <c r="I35" s="69"/>
      <c r="J35" s="69"/>
      <c r="K35" s="3829">
        <f t="shared" si="0"/>
        <v>9983.0452092868345</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282.00484967630109</v>
      </c>
      <c r="E37" s="3756">
        <f>IFERROR(Summary1!E37*265,Summary1!E37)</f>
        <v>110.25196942119618</v>
      </c>
      <c r="F37" s="615"/>
      <c r="G37" s="615"/>
      <c r="H37" s="615"/>
      <c r="I37" s="69"/>
      <c r="J37" s="69"/>
      <c r="K37" s="3829">
        <f t="shared" si="0"/>
        <v>392.25681909749727</v>
      </c>
      <c r="L37" s="19"/>
    </row>
    <row r="38" spans="2:12" ht="18" customHeight="1" x14ac:dyDescent="0.2">
      <c r="B38" s="606" t="s">
        <v>955</v>
      </c>
      <c r="C38" s="1949">
        <f>Summary1!C38</f>
        <v>1088.302771159184</v>
      </c>
      <c r="D38" s="3832"/>
      <c r="E38" s="3832"/>
      <c r="F38" s="615"/>
      <c r="G38" s="615"/>
      <c r="H38" s="615"/>
      <c r="I38" s="69"/>
      <c r="J38" s="69"/>
      <c r="K38" s="3829">
        <f t="shared" si="0"/>
        <v>1088.302771159184</v>
      </c>
      <c r="L38" s="19"/>
    </row>
    <row r="39" spans="2:12" ht="18" customHeight="1" x14ac:dyDescent="0.2">
      <c r="B39" s="606" t="s">
        <v>956</v>
      </c>
      <c r="C39" s="1949">
        <f>Summary1!C39</f>
        <v>1112.2479933256814</v>
      </c>
      <c r="D39" s="3832"/>
      <c r="E39" s="3832"/>
      <c r="F39" s="615"/>
      <c r="G39" s="615"/>
      <c r="H39" s="615"/>
      <c r="I39" s="69"/>
      <c r="J39" s="69"/>
      <c r="K39" s="3829">
        <f t="shared" si="0"/>
        <v>1112.2479933256814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3904.9535083586843</v>
      </c>
      <c r="D42" s="1952">
        <f>IFERROR(Summary1!D42*28,Summary1!D42)</f>
        <v>21157.553030550502</v>
      </c>
      <c r="E42" s="1952">
        <f>IFERROR(Summary1!E42*265,Summary1!E42)</f>
        <v>4996.3899756801957</v>
      </c>
      <c r="F42" s="1550"/>
      <c r="G42" s="1550"/>
      <c r="H42" s="1550"/>
      <c r="I42" s="1553"/>
      <c r="J42" s="613"/>
      <c r="K42" s="3828">
        <f t="shared" si="0"/>
        <v>30058.896514589382</v>
      </c>
      <c r="L42" s="19"/>
    </row>
    <row r="43" spans="2:12" ht="18" customHeight="1" x14ac:dyDescent="0.2">
      <c r="B43" s="606" t="s">
        <v>1252</v>
      </c>
      <c r="C43" s="1949">
        <f>Summary1!C43</f>
        <v>-33167.597755041097</v>
      </c>
      <c r="D43" s="1949">
        <f>IFERROR(Summary1!D43*28,Summary1!D43)</f>
        <v>9588.1656352709706</v>
      </c>
      <c r="E43" s="1949">
        <f>IFERROR(Summary1!E43*265,Summary1!E43)</f>
        <v>2032.9565769394474</v>
      </c>
      <c r="F43" s="627"/>
      <c r="G43" s="627"/>
      <c r="H43" s="627"/>
      <c r="I43" s="614"/>
      <c r="J43" s="69"/>
      <c r="K43" s="3829">
        <f t="shared" si="0"/>
        <v>-21546.475542830682</v>
      </c>
      <c r="L43" s="19"/>
    </row>
    <row r="44" spans="2:12" ht="18" customHeight="1" x14ac:dyDescent="0.2">
      <c r="B44" s="606" t="s">
        <v>1255</v>
      </c>
      <c r="C44" s="1949">
        <f>Summary1!C44</f>
        <v>6725.8403179998804</v>
      </c>
      <c r="D44" s="1949">
        <f>IFERROR(Summary1!D44*28,Summary1!D44)</f>
        <v>44.533404039775419</v>
      </c>
      <c r="E44" s="1949">
        <f>IFERROR(Summary1!E44*265,Summary1!E44)</f>
        <v>40.710826041080281</v>
      </c>
      <c r="F44" s="627"/>
      <c r="G44" s="627"/>
      <c r="H44" s="627"/>
      <c r="I44" s="614"/>
      <c r="J44" s="69"/>
      <c r="K44" s="3829">
        <f t="shared" si="0"/>
        <v>6811.0845480807366</v>
      </c>
      <c r="L44" s="19"/>
    </row>
    <row r="45" spans="2:12" ht="18" customHeight="1" x14ac:dyDescent="0.2">
      <c r="B45" s="606" t="s">
        <v>1258</v>
      </c>
      <c r="C45" s="1949">
        <f>Summary1!C45</f>
        <v>28925.999791672632</v>
      </c>
      <c r="D45" s="1949">
        <f>IFERROR(Summary1!D45*28,Summary1!D45)</f>
        <v>8867.7662112006728</v>
      </c>
      <c r="E45" s="1949">
        <f>IFERROR(Summary1!E45*265,Summary1!E45)</f>
        <v>2746.6427946383692</v>
      </c>
      <c r="F45" s="627"/>
      <c r="G45" s="627"/>
      <c r="H45" s="627"/>
      <c r="I45" s="614"/>
      <c r="J45" s="69"/>
      <c r="K45" s="3829">
        <f t="shared" si="0"/>
        <v>40540.408797511678</v>
      </c>
      <c r="L45" s="19"/>
    </row>
    <row r="46" spans="2:12" ht="18" customHeight="1" x14ac:dyDescent="0.2">
      <c r="B46" s="606" t="s">
        <v>1984</v>
      </c>
      <c r="C46" s="1949">
        <f>Summary1!C46</f>
        <v>2131.4194210147712</v>
      </c>
      <c r="D46" s="1949">
        <f>IFERROR(Summary1!D46*28,Summary1!D46)</f>
        <v>2588.1313736016464</v>
      </c>
      <c r="E46" s="1949">
        <f>IFERROR(Summary1!E46*265,Summary1!E46)</f>
        <v>117.2788555595958</v>
      </c>
      <c r="F46" s="627"/>
      <c r="G46" s="627"/>
      <c r="H46" s="627"/>
      <c r="I46" s="614"/>
      <c r="J46" s="69"/>
      <c r="K46" s="3829">
        <f t="shared" si="0"/>
        <v>4836.8296501760142</v>
      </c>
      <c r="L46" s="19"/>
    </row>
    <row r="47" spans="2:12" ht="18" customHeight="1" x14ac:dyDescent="0.2">
      <c r="B47" s="606" t="s">
        <v>1985</v>
      </c>
      <c r="C47" s="1949">
        <f>Summary1!C47</f>
        <v>3864.1955939452637</v>
      </c>
      <c r="D47" s="1949">
        <f>IFERROR(Summary1!D47*28,Summary1!D47)</f>
        <v>68.956406437440322</v>
      </c>
      <c r="E47" s="1949">
        <f>IFERROR(Summary1!E47*265,Summary1!E47)</f>
        <v>22.934605595391407</v>
      </c>
      <c r="F47" s="627"/>
      <c r="G47" s="627"/>
      <c r="H47" s="627"/>
      <c r="I47" s="614"/>
      <c r="J47" s="69"/>
      <c r="K47" s="3829">
        <f t="shared" si="0"/>
        <v>3956.0866059780956</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-4574.9038612327631</v>
      </c>
      <c r="D49" s="3833"/>
      <c r="E49" s="3833"/>
      <c r="F49" s="627"/>
      <c r="G49" s="627"/>
      <c r="H49" s="627"/>
      <c r="I49" s="614"/>
      <c r="J49" s="69"/>
      <c r="K49" s="3829">
        <f t="shared" si="0"/>
        <v>-4574.9038612327631</v>
      </c>
      <c r="L49" s="19"/>
    </row>
    <row r="50" spans="2:12" ht="18" customHeight="1" thickBot="1" x14ac:dyDescent="0.25">
      <c r="B50" s="1554" t="s">
        <v>1988</v>
      </c>
      <c r="C50" s="1951" t="str">
        <f>Summary1!C50</f>
        <v>NO</v>
      </c>
      <c r="D50" s="1951" t="str">
        <f>IFERROR(Summary1!D50*28,Summary1!D50)</f>
        <v>NO</v>
      </c>
      <c r="E50" s="1951">
        <f>IFERROR(Summary1!E50*265,Summary1!E50)</f>
        <v>35.866316906311319</v>
      </c>
      <c r="F50" s="1953"/>
      <c r="G50" s="1953"/>
      <c r="H50" s="1953"/>
      <c r="I50" s="1555"/>
      <c r="J50" s="87"/>
      <c r="K50" s="3830">
        <f t="shared" si="0"/>
        <v>35.866316906311319</v>
      </c>
      <c r="L50" s="19"/>
    </row>
    <row r="51" spans="2:12" ht="18" customHeight="1" x14ac:dyDescent="0.2">
      <c r="B51" s="1549" t="s">
        <v>1955</v>
      </c>
      <c r="C51" s="1952">
        <f>Summary1!C51</f>
        <v>30.475238146900701</v>
      </c>
      <c r="D51" s="1952">
        <f>IFERROR(Summary1!D51*28,Summary1!D51)</f>
        <v>15165.143356875666</v>
      </c>
      <c r="E51" s="1952">
        <f>IFERROR(Summary1!E51*265,Summary1!E51)</f>
        <v>383.48334657988272</v>
      </c>
      <c r="F51" s="1550"/>
      <c r="G51" s="1550"/>
      <c r="H51" s="1550"/>
      <c r="I51" s="1553"/>
      <c r="J51" s="613"/>
      <c r="K51" s="3828">
        <f t="shared" si="0"/>
        <v>15579.101941602448</v>
      </c>
      <c r="L51" s="19"/>
    </row>
    <row r="52" spans="2:12" ht="18" customHeight="1" x14ac:dyDescent="0.2">
      <c r="B52" s="606" t="s">
        <v>1989</v>
      </c>
      <c r="C52" s="615"/>
      <c r="D52" s="1949">
        <f>IFERROR(Summary1!D52*28,Summary1!D52)</f>
        <v>12524.947400936147</v>
      </c>
      <c r="E52" s="627"/>
      <c r="F52" s="615"/>
      <c r="G52" s="615"/>
      <c r="H52" s="615"/>
      <c r="I52" s="69"/>
      <c r="J52" s="69"/>
      <c r="K52" s="3829">
        <f t="shared" si="0"/>
        <v>12524.947400936147</v>
      </c>
      <c r="L52" s="19"/>
    </row>
    <row r="53" spans="2:12" ht="18" customHeight="1" x14ac:dyDescent="0.2">
      <c r="B53" s="1395" t="s">
        <v>1990</v>
      </c>
      <c r="C53" s="615"/>
      <c r="D53" s="1949">
        <f>IFERROR(Summary1!D53*28,Summary1!D53)</f>
        <v>110.67575421000001</v>
      </c>
      <c r="E53" s="1949">
        <f>IFERROR(Summary1!E53*265,Summary1!E53)</f>
        <v>134.07577081440002</v>
      </c>
      <c r="F53" s="615"/>
      <c r="G53" s="615"/>
      <c r="H53" s="615"/>
      <c r="I53" s="69"/>
      <c r="J53" s="69"/>
      <c r="K53" s="3829">
        <f t="shared" si="0"/>
        <v>244.75152502440002</v>
      </c>
      <c r="L53" s="19"/>
    </row>
    <row r="54" spans="2:12" ht="18" customHeight="1" x14ac:dyDescent="0.2">
      <c r="B54" s="1396" t="s">
        <v>1991</v>
      </c>
      <c r="C54" s="1949">
        <f>Summary1!C54</f>
        <v>30.475238146900701</v>
      </c>
      <c r="D54" s="1949" t="str">
        <f>IFERROR(Summary1!D54*28,Summary1!D54)</f>
        <v>NO,NE</v>
      </c>
      <c r="E54" s="1949" t="str">
        <f>IFERROR(Summary1!E54*265,Summary1!E54)</f>
        <v>NO,NE</v>
      </c>
      <c r="F54" s="615"/>
      <c r="G54" s="615"/>
      <c r="H54" s="615"/>
      <c r="I54" s="69"/>
      <c r="J54" s="69"/>
      <c r="K54" s="3829">
        <f t="shared" si="0"/>
        <v>30.475238146900701</v>
      </c>
      <c r="L54" s="19"/>
    </row>
    <row r="55" spans="2:12" ht="18" customHeight="1" x14ac:dyDescent="0.2">
      <c r="B55" s="606" t="s">
        <v>1992</v>
      </c>
      <c r="C55" s="615"/>
      <c r="D55" s="1949">
        <f>IFERROR(Summary1!D55*28,Summary1!D55)</f>
        <v>2529.5202017295192</v>
      </c>
      <c r="E55" s="1949">
        <f>IFERROR(Summary1!E55*265,Summary1!E55)</f>
        <v>249.4075757654827</v>
      </c>
      <c r="F55" s="615"/>
      <c r="G55" s="615"/>
      <c r="H55" s="615"/>
      <c r="I55" s="69"/>
      <c r="J55" s="69"/>
      <c r="K55" s="3829">
        <f t="shared" si="0"/>
        <v>2778.9277774950019</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11958.095999999998</v>
      </c>
      <c r="D60" s="617">
        <f>IFERROR(Summary1!D61*28,Summary1!D61)</f>
        <v>5.5258760199999992</v>
      </c>
      <c r="E60" s="617">
        <f>IFERROR(Summary1!E61*265,Summary1!E61)</f>
        <v>27.189061457684211</v>
      </c>
      <c r="F60" s="1957"/>
      <c r="G60" s="1957"/>
      <c r="H60" s="1958"/>
      <c r="I60" s="618"/>
      <c r="J60" s="618"/>
      <c r="K60" s="619">
        <f t="shared" ref="K60:K66" si="2">IF(SUM(C60:J60)=0,"NO",SUM(C60:J60))</f>
        <v>11990.810937477681</v>
      </c>
    </row>
    <row r="61" spans="2:12" ht="18" customHeight="1" x14ac:dyDescent="0.2">
      <c r="B61" s="1385" t="s">
        <v>218</v>
      </c>
      <c r="C61" s="617">
        <f>Summary1!C62</f>
        <v>10093.391999999998</v>
      </c>
      <c r="D61" s="617">
        <f>IFERROR(Summary1!D62*28,Summary1!D62)</f>
        <v>0.54747602000000017</v>
      </c>
      <c r="E61" s="617">
        <f>IFERROR(Summary1!E62*265,Summary1!E62)</f>
        <v>13.72706145768421</v>
      </c>
      <c r="F61" s="615"/>
      <c r="G61" s="615"/>
      <c r="H61" s="615"/>
      <c r="I61" s="621"/>
      <c r="J61" s="621"/>
      <c r="K61" s="622">
        <f t="shared" si="2"/>
        <v>10107.666537477682</v>
      </c>
    </row>
    <row r="62" spans="2:12" ht="18" customHeight="1" x14ac:dyDescent="0.2">
      <c r="B62" s="1386" t="s">
        <v>1963</v>
      </c>
      <c r="C62" s="617">
        <f>Summary1!C63</f>
        <v>1864.704</v>
      </c>
      <c r="D62" s="617">
        <f>IFERROR(Summary1!D63*28,Summary1!D63)</f>
        <v>4.9783999999999997</v>
      </c>
      <c r="E62" s="617">
        <f>IFERROR(Summary1!E63*265,Summary1!E63)</f>
        <v>13.462000000000002</v>
      </c>
      <c r="F62" s="615"/>
      <c r="G62" s="615"/>
      <c r="H62" s="615"/>
      <c r="I62" s="623"/>
      <c r="J62" s="623"/>
      <c r="K62" s="619">
        <f t="shared" si="2"/>
        <v>1883.1443999999999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16455.288575753697</v>
      </c>
      <c r="D64" s="627"/>
      <c r="E64" s="627"/>
      <c r="F64" s="627"/>
      <c r="G64" s="627"/>
      <c r="H64" s="627"/>
      <c r="I64" s="614"/>
      <c r="J64" s="614"/>
      <c r="K64" s="628">
        <f t="shared" si="2"/>
        <v>16455.288575753697</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282823.15214588447</v>
      </c>
      <c r="D66" s="631"/>
      <c r="E66" s="631"/>
      <c r="F66" s="631"/>
      <c r="G66" s="631"/>
      <c r="H66" s="631"/>
      <c r="I66" s="630"/>
      <c r="J66" s="630"/>
      <c r="K66" s="632">
        <f t="shared" si="2"/>
        <v>282823.15214588447</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547539.01620499813</v>
      </c>
      <c r="N71" s="1122"/>
    </row>
    <row r="72" spans="2:14" s="636" customFormat="1" ht="18" customHeight="1" x14ac:dyDescent="0.25">
      <c r="B72" s="640"/>
      <c r="C72" s="641"/>
      <c r="D72" s="641"/>
      <c r="E72" s="641"/>
      <c r="F72" s="641"/>
      <c r="G72" s="641"/>
      <c r="H72" s="641"/>
      <c r="I72" s="641"/>
      <c r="J72" s="2573" t="s">
        <v>1999</v>
      </c>
      <c r="K72" s="628">
        <f>K10</f>
        <v>577597.91271958756</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755496.55383814836</v>
      </c>
      <c r="D10" s="3055" t="s">
        <v>97</v>
      </c>
      <c r="E10" s="615"/>
      <c r="F10" s="615"/>
      <c r="G10" s="615"/>
      <c r="H10" s="4219">
        <f>IF(SUM(H11:H15)=0,"NO",SUM(H11:H15))</f>
        <v>40476.85970953395</v>
      </c>
      <c r="I10" s="4219">
        <f t="shared" ref="I10:K10" si="0">IF(SUM(I11:I16)=0,"NO",SUM(I11:I16))</f>
        <v>2.2771555451650731</v>
      </c>
      <c r="J10" s="4226">
        <f t="shared" si="0"/>
        <v>1.2938737542015724</v>
      </c>
      <c r="K10" s="3044" t="str">
        <f t="shared" si="0"/>
        <v>NO</v>
      </c>
    </row>
    <row r="11" spans="2:11" ht="18" customHeight="1" x14ac:dyDescent="0.2">
      <c r="B11" s="282" t="s">
        <v>243</v>
      </c>
      <c r="C11" s="1938">
        <f>IF(SUM(C18,C25,C32,C39,C46,C53,C68,C75,C82,C89,C96,C103,C120,C110:C113)=0,"NO",SUM(C18,C25,C32,C39,C46,C53,C68,C75,C82,C89,C96,C103,C120,C110:C113))</f>
        <v>208015.98211459621</v>
      </c>
      <c r="D11" s="3056" t="s">
        <v>97</v>
      </c>
      <c r="E11" s="1938">
        <f>IFERROR(H11*1000/$C11,"NA")</f>
        <v>69.334679366054431</v>
      </c>
      <c r="F11" s="1938">
        <f t="shared" ref="F11:G16" si="1">IFERROR(I11*1000000/$C11,"NA")</f>
        <v>4.3436560385182599</v>
      </c>
      <c r="G11" s="1938">
        <f t="shared" si="1"/>
        <v>2.0793271091151593</v>
      </c>
      <c r="H11" s="1938">
        <f>IF(SUM(H18,H25,H32,H39,H46,H53,H68,H75,H82,H89,H96,H103,H120,H110:H113)=0,"NO",SUM(H18,H25,H32,H39,H46,H53,H68,H75,H82,H89,H96,H103,H120,H110:H113))</f>
        <v>14422.721422930439</v>
      </c>
      <c r="I11" s="1938">
        <f>IF(SUM(I18,I25,I32,I39,I46,I53,I68,I75,I82,I89,I96,I103,I120,I110:I113)=0,"NO",SUM(I18,I25,I32,I39,I46,I53,I68,I75,I82,I89,I96,I103,I120,I110:I113))</f>
        <v>0.90354987682037202</v>
      </c>
      <c r="J11" s="1938">
        <f>IF(SUM(J18,J25,J32,J39,J46,J53,J68,J75,J82,J89,J96,J103,J120,J110:J113)=0,"NO",SUM(J18,J25,J32,J39,J46,J53,J68,J75,J82,J89,J96,J103,J120,J110:J113))</f>
        <v>0.43253327074009401</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115946.94377311729</v>
      </c>
      <c r="D12" s="3056" t="s">
        <v>97</v>
      </c>
      <c r="E12" s="1938">
        <f t="shared" ref="E12:E16" si="2">IFERROR(H12*1000/$C12,"NA")</f>
        <v>80.39820969812807</v>
      </c>
      <c r="F12" s="1938">
        <f t="shared" si="1"/>
        <v>0.943127753524309</v>
      </c>
      <c r="G12" s="1938">
        <f t="shared" si="1"/>
        <v>0.69924010797573011</v>
      </c>
      <c r="H12" s="1938">
        <f>IF(SUM(H19,H26,H33,H40,H47,H54,H69,H76,H83,H90,H97,H104,H121)=0,"NO",SUM(H19,H26,H33,H40,H47,H54,H69,H76,H83,H90,H97,H104,H121))</f>
        <v>9321.926699328149</v>
      </c>
      <c r="I12" s="1938">
        <f>IF(SUM(I19,I26,I33,I40,I47,I54,I69,I76,I83,I90,I97,I104,I121)=0,"NO",SUM(I19,I26,I33,I40,I47,I54,I69,I76,I83,I90,I97,I104,I121))</f>
        <v>0.10935278060874948</v>
      </c>
      <c r="J12" s="1938">
        <f>IF(SUM(J19,J26,J33,J40,J47,J54,J69,J76,J83,J90,J97,J104,J121)=0,"NO",SUM(J19,J26,J33,J40,J47,J54,J69,J76,J83,J90,J97,J104,J121))</f>
        <v>8.107475348337044E-2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325406.24518709822</v>
      </c>
      <c r="D13" s="3056" t="s">
        <v>97</v>
      </c>
      <c r="E13" s="1938">
        <f t="shared" si="2"/>
        <v>51.419454404308915</v>
      </c>
      <c r="F13" s="1938">
        <f t="shared" si="1"/>
        <v>0.96400971683038772</v>
      </c>
      <c r="G13" s="1938">
        <f t="shared" si="1"/>
        <v>0.5286339548362109</v>
      </c>
      <c r="H13" s="1938">
        <f t="shared" ref="H13:K14" si="3">IF(SUM(H20,H27,H34,H41,H48,H55,H70,H77,H84,H91,H98,H105,H122,H115)=0,"NO",SUM(H20,H27,H34,H41,H48,H55,H70,H77,H84,H91,H98,H105,H122,H115))</f>
        <v>16732.211587275364</v>
      </c>
      <c r="I13" s="1938">
        <f t="shared" si="3"/>
        <v>0.31369478227765429</v>
      </c>
      <c r="J13" s="1938">
        <f t="shared" si="3"/>
        <v>0.17202079032165743</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106127.38276333665</v>
      </c>
      <c r="D16" s="3071" t="s">
        <v>97</v>
      </c>
      <c r="E16" s="1938">
        <f t="shared" si="2"/>
        <v>93.94245563914987</v>
      </c>
      <c r="F16" s="1938">
        <f t="shared" si="1"/>
        <v>8.956765734796603</v>
      </c>
      <c r="G16" s="1938">
        <f t="shared" si="1"/>
        <v>5.7312723994412691</v>
      </c>
      <c r="H16" s="1938">
        <f>IF(SUM(H23,H30,H37,H44,H51,H58,H73,H80,H87,H94,H101,H108,H125,H117)=0,"NO",SUM(H23,H30,H37,H44,H51,H58,H73,H80,H87,H94,H101,H108,H125,H117))</f>
        <v>9969.8669473438313</v>
      </c>
      <c r="I16" s="1938">
        <f>IF(SUM(I23,I30,I37,I44,I51,I58,I73,I80,I87,I94,I101,I108,I125,I117)=0,"NO",SUM(I23,I30,I37,I44,I51,I58,I73,I80,I87,I94,I101,I108,I125,I117))</f>
        <v>0.95055810545829733</v>
      </c>
      <c r="J16" s="1938">
        <f>IF(SUM(J23,J30,J37,J44,J51,J58,J73,J80,J87,J94,J101,J108,J125,J117)=0,"NO",SUM(J23,J30,J37,J44,J51,J58,J73,J80,J87,J94,J101,J108,J125,J117))</f>
        <v>0.60824493965645043</v>
      </c>
      <c r="K16" s="3044" t="str">
        <f>IF(SUM(K23,K30,K37,K44,K51,K58,K73,K80,K87,K94,K101,K108,K125,K117)=0,"NO",SUM(K23,K30,K37,K44,K51,K58,K73,K80,K87,K94,K101,K108,K125,K117))</f>
        <v>NO</v>
      </c>
    </row>
    <row r="17" spans="2:11" ht="18" customHeight="1" x14ac:dyDescent="0.2">
      <c r="B17" s="1240" t="s">
        <v>264</v>
      </c>
      <c r="C17" s="1938">
        <f>IF(SUM(C18:C23)=0,"NO",SUM(C18:C23))</f>
        <v>35667.965982447371</v>
      </c>
      <c r="D17" s="3055" t="s">
        <v>97</v>
      </c>
      <c r="E17" s="615"/>
      <c r="F17" s="615"/>
      <c r="G17" s="615"/>
      <c r="H17" s="1938">
        <f>IF(SUM(H18:H22)=0,"NO",SUM(H18:H22))</f>
        <v>1610.5071973380132</v>
      </c>
      <c r="I17" s="1938">
        <f t="shared" ref="I17:K17" si="4">IF(SUM(I18:I23)=0,"NO",SUM(I18:I23))</f>
        <v>3.6518259594659354E-2</v>
      </c>
      <c r="J17" s="1938">
        <f t="shared" si="4"/>
        <v>2.0763798461027022E-2</v>
      </c>
      <c r="K17" s="3044" t="str">
        <f t="shared" si="4"/>
        <v>NO</v>
      </c>
    </row>
    <row r="18" spans="2:11" ht="18" customHeight="1" x14ac:dyDescent="0.2">
      <c r="B18" s="282" t="s">
        <v>243</v>
      </c>
      <c r="C18" s="699">
        <v>929.08114490000003</v>
      </c>
      <c r="D18" s="3056" t="s">
        <v>97</v>
      </c>
      <c r="E18" s="1938">
        <f>IFERROR(H18*1000/$C18,"NA")</f>
        <v>72.726765228361913</v>
      </c>
      <c r="F18" s="1938">
        <f t="shared" ref="F18:G23" si="5">IFERROR(I18*1000000/$C18,"NA")</f>
        <v>3.6026112059881368</v>
      </c>
      <c r="G18" s="1938">
        <f t="shared" si="5"/>
        <v>1.1849530074735624</v>
      </c>
      <c r="H18" s="699">
        <v>67.569066303240007</v>
      </c>
      <c r="I18" s="699">
        <v>3.3471181438890279E-3</v>
      </c>
      <c r="J18" s="699">
        <v>1.1009174968362356E-3</v>
      </c>
      <c r="K18" s="3072" t="s">
        <v>199</v>
      </c>
    </row>
    <row r="19" spans="2:11" ht="18" customHeight="1" x14ac:dyDescent="0.2">
      <c r="B19" s="282" t="s">
        <v>245</v>
      </c>
      <c r="C19" s="699">
        <v>22096.60650844737</v>
      </c>
      <c r="D19" s="3056" t="s">
        <v>97</v>
      </c>
      <c r="E19" s="1938">
        <f t="shared" ref="E19:E23" si="6">IFERROR(H19*1000/$C19,"NA")</f>
        <v>40.412284556700904</v>
      </c>
      <c r="F19" s="1938">
        <f t="shared" si="5"/>
        <v>0.95500716632709248</v>
      </c>
      <c r="G19" s="1938">
        <f t="shared" si="5"/>
        <v>0.57106323957980565</v>
      </c>
      <c r="H19" s="699">
        <v>892.97434995682431</v>
      </c>
      <c r="I19" s="699">
        <v>2.1102417567077113E-2</v>
      </c>
      <c r="J19" s="699">
        <v>1.2618559696434174E-2</v>
      </c>
      <c r="K19" s="3072" t="s">
        <v>199</v>
      </c>
    </row>
    <row r="20" spans="2:11" ht="18" customHeight="1" x14ac:dyDescent="0.2">
      <c r="B20" s="282" t="s">
        <v>246</v>
      </c>
      <c r="C20" s="699">
        <v>12642.2783291</v>
      </c>
      <c r="D20" s="3056" t="s">
        <v>97</v>
      </c>
      <c r="E20" s="1938">
        <f t="shared" si="6"/>
        <v>51.411918339265007</v>
      </c>
      <c r="F20" s="1938">
        <f t="shared" si="5"/>
        <v>0.95463203463203483</v>
      </c>
      <c r="G20" s="1938">
        <f t="shared" si="5"/>
        <v>0.55720346320346326</v>
      </c>
      <c r="H20" s="699">
        <v>649.96378107794885</v>
      </c>
      <c r="I20" s="699">
        <v>1.2068723883693214E-2</v>
      </c>
      <c r="J20" s="699">
        <v>7.0443212677566121E-3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197384.91352318937</v>
      </c>
      <c r="D24" s="3056" t="s">
        <v>97</v>
      </c>
      <c r="E24" s="615"/>
      <c r="F24" s="615"/>
      <c r="G24" s="615"/>
      <c r="H24" s="1938">
        <f>IF(SUM(H25:H29)=0,"NO",SUM(H25:H29))</f>
        <v>12250.895134568018</v>
      </c>
      <c r="I24" s="1938">
        <f t="shared" ref="I24:K24" si="7">IF(SUM(I25:I30)=0,"NO",SUM(I25:I30))</f>
        <v>0.23439908776672908</v>
      </c>
      <c r="J24" s="1938">
        <f t="shared" si="7"/>
        <v>0.13739783369787115</v>
      </c>
      <c r="K24" s="3044" t="str">
        <f t="shared" si="7"/>
        <v>NO</v>
      </c>
    </row>
    <row r="25" spans="2:11" ht="18" customHeight="1" x14ac:dyDescent="0.2">
      <c r="B25" s="282" t="s">
        <v>243</v>
      </c>
      <c r="C25" s="699">
        <v>33876.077027199979</v>
      </c>
      <c r="D25" s="3056" t="s">
        <v>97</v>
      </c>
      <c r="E25" s="1938">
        <f>IFERROR(H25*1000/$C25,"NA")</f>
        <v>72.946502618507751</v>
      </c>
      <c r="F25" s="1938">
        <f t="shared" ref="F25:G30" si="8">IFERROR(I25*1000000/$C25,"NA")</f>
        <v>1.8666549799462946</v>
      </c>
      <c r="G25" s="1938">
        <f t="shared" si="8"/>
        <v>0.85498750901690546</v>
      </c>
      <c r="H25" s="699">
        <v>2471.1413415694133</v>
      </c>
      <c r="I25" s="699">
        <v>6.3234947883867104E-2</v>
      </c>
      <c r="J25" s="699">
        <v>2.8963622712750527E-2</v>
      </c>
      <c r="K25" s="3072" t="s">
        <v>199</v>
      </c>
    </row>
    <row r="26" spans="2:11" ht="18" customHeight="1" x14ac:dyDescent="0.2">
      <c r="B26" s="282" t="s">
        <v>245</v>
      </c>
      <c r="C26" s="699">
        <v>37437.477099900003</v>
      </c>
      <c r="D26" s="3056" t="s">
        <v>97</v>
      </c>
      <c r="E26" s="1938">
        <f t="shared" ref="E26:E30" si="9">IFERROR(H26*1000/$C26,"NA")</f>
        <v>91.067952498118274</v>
      </c>
      <c r="F26" s="1938">
        <f t="shared" si="8"/>
        <v>0.95238095238095211</v>
      </c>
      <c r="G26" s="1938">
        <f t="shared" si="8"/>
        <v>0.70609523809523811</v>
      </c>
      <c r="H26" s="699">
        <v>3409.354386183084</v>
      </c>
      <c r="I26" s="699">
        <v>3.5654740095142849E-2</v>
      </c>
      <c r="J26" s="699">
        <v>2.6434424306538917E-2</v>
      </c>
      <c r="K26" s="3072" t="s">
        <v>199</v>
      </c>
    </row>
    <row r="27" spans="2:11" ht="18" customHeight="1" x14ac:dyDescent="0.2">
      <c r="B27" s="282" t="s">
        <v>246</v>
      </c>
      <c r="C27" s="699">
        <v>123909.00033680002</v>
      </c>
      <c r="D27" s="3056" t="s">
        <v>97</v>
      </c>
      <c r="E27" s="1938">
        <f t="shared" si="9"/>
        <v>51.411918339264993</v>
      </c>
      <c r="F27" s="1938">
        <f t="shared" si="8"/>
        <v>0.95727272727272728</v>
      </c>
      <c r="G27" s="1938">
        <f t="shared" si="8"/>
        <v>0.57027272727272738</v>
      </c>
      <c r="H27" s="699">
        <v>6370.3994068155216</v>
      </c>
      <c r="I27" s="699">
        <v>0.11861470668604583</v>
      </c>
      <c r="J27" s="699">
        <v>7.0661923555704248E-2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2162.3590592893906</v>
      </c>
      <c r="D30" s="3056" t="s">
        <v>97</v>
      </c>
      <c r="E30" s="1938">
        <f t="shared" si="9"/>
        <v>89.013176205904458</v>
      </c>
      <c r="F30" s="1938">
        <f t="shared" si="8"/>
        <v>7.8130840616383717</v>
      </c>
      <c r="G30" s="1938">
        <f t="shared" si="8"/>
        <v>5.2432842150662058</v>
      </c>
      <c r="H30" s="699">
        <v>192.47844796496034</v>
      </c>
      <c r="I30" s="699">
        <v>1.6894693101673283E-2</v>
      </c>
      <c r="J30" s="699">
        <v>1.1337863122877472E-2</v>
      </c>
      <c r="K30" s="3072" t="s">
        <v>199</v>
      </c>
    </row>
    <row r="31" spans="2:11" ht="18" customHeight="1" x14ac:dyDescent="0.2">
      <c r="B31" s="1240" t="s">
        <v>266</v>
      </c>
      <c r="C31" s="1938">
        <f>IF(SUM(C32:C37)=0,"NO",SUM(C32:C37))</f>
        <v>131847.46496740301</v>
      </c>
      <c r="D31" s="3056" t="s">
        <v>97</v>
      </c>
      <c r="E31" s="615"/>
      <c r="F31" s="615"/>
      <c r="G31" s="615"/>
      <c r="H31" s="1938">
        <f>IF(SUM(H32:H36)=0,"NO",SUM(H32:H36))</f>
        <v>7986.7299182205388</v>
      </c>
      <c r="I31" s="1938">
        <f t="shared" ref="I31:K31" si="10">IF(SUM(I32:I37)=0,"NO",SUM(I32:I37))</f>
        <v>0.27926557744951563</v>
      </c>
      <c r="J31" s="1938">
        <f t="shared" si="10"/>
        <v>0.10584609847019953</v>
      </c>
      <c r="K31" s="3044" t="str">
        <f t="shared" si="10"/>
        <v>NO</v>
      </c>
    </row>
    <row r="32" spans="2:11" ht="18" customHeight="1" x14ac:dyDescent="0.2">
      <c r="B32" s="282" t="s">
        <v>243</v>
      </c>
      <c r="C32" s="699">
        <v>69072.812090636246</v>
      </c>
      <c r="D32" s="3056" t="s">
        <v>97</v>
      </c>
      <c r="E32" s="1938">
        <f>IFERROR(H32*1000/$C32,"NA")</f>
        <v>68.013534799915831</v>
      </c>
      <c r="F32" s="1938">
        <f t="shared" ref="F32:G37" si="11">IFERROR(I32*1000000/$C32,"NA")</f>
        <v>2.9298172785326746</v>
      </c>
      <c r="G32" s="1938">
        <f t="shared" si="11"/>
        <v>0.8723758253872651</v>
      </c>
      <c r="H32" s="699">
        <v>4697.8861088545355</v>
      </c>
      <c r="I32" s="699">
        <v>0.20237071833998671</v>
      </c>
      <c r="J32" s="699">
        <v>6.0257451459388253E-2</v>
      </c>
      <c r="K32" s="3072" t="s">
        <v>199</v>
      </c>
    </row>
    <row r="33" spans="2:11" ht="18" customHeight="1" x14ac:dyDescent="0.2">
      <c r="B33" s="282" t="s">
        <v>245</v>
      </c>
      <c r="C33" s="699">
        <v>6482.2822763530248</v>
      </c>
      <c r="D33" s="3056" t="s">
        <v>97</v>
      </c>
      <c r="E33" s="1938">
        <f t="shared" ref="E33:E37" si="12">IFERROR(H33*1000/$C33,"NA")</f>
        <v>79.672167292212819</v>
      </c>
      <c r="F33" s="1938">
        <f t="shared" si="11"/>
        <v>0.77730183053831203</v>
      </c>
      <c r="G33" s="1938">
        <f t="shared" si="11"/>
        <v>0.59031271630751525</v>
      </c>
      <c r="H33" s="699">
        <v>516.45747795694433</v>
      </c>
      <c r="I33" s="699">
        <v>5.0386898794752624E-3</v>
      </c>
      <c r="J33" s="699">
        <v>3.826573658426017E-3</v>
      </c>
      <c r="K33" s="3072" t="s">
        <v>199</v>
      </c>
    </row>
    <row r="34" spans="2:11" ht="18" customHeight="1" x14ac:dyDescent="0.2">
      <c r="B34" s="282" t="s">
        <v>246</v>
      </c>
      <c r="C34" s="699">
        <v>53924.902107213748</v>
      </c>
      <c r="D34" s="3056" t="s">
        <v>97</v>
      </c>
      <c r="E34" s="1938">
        <f t="shared" si="12"/>
        <v>51.411986356451557</v>
      </c>
      <c r="F34" s="1938">
        <f t="shared" si="11"/>
        <v>0.95167524835950701</v>
      </c>
      <c r="G34" s="1938">
        <f t="shared" si="11"/>
        <v>0.53009028960039017</v>
      </c>
      <c r="H34" s="699">
        <v>2772.386331409059</v>
      </c>
      <c r="I34" s="699">
        <v>5.1318994605644742E-2</v>
      </c>
      <c r="J34" s="699">
        <v>2.8585066974685627E-2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2367.4684932</v>
      </c>
      <c r="D37" s="3056" t="s">
        <v>97</v>
      </c>
      <c r="E37" s="1938">
        <f t="shared" si="12"/>
        <v>93.244081442300043</v>
      </c>
      <c r="F37" s="1938">
        <f t="shared" si="11"/>
        <v>8.6747404171996916</v>
      </c>
      <c r="G37" s="1938">
        <f t="shared" si="11"/>
        <v>5.5658634594494094</v>
      </c>
      <c r="H37" s="699">
        <v>220.7524249920202</v>
      </c>
      <c r="I37" s="699">
        <v>2.0537174624408894E-2</v>
      </c>
      <c r="J37" s="699">
        <v>1.3177006377699632E-2</v>
      </c>
      <c r="K37" s="3072" t="s">
        <v>199</v>
      </c>
    </row>
    <row r="38" spans="2:11" ht="18" customHeight="1" x14ac:dyDescent="0.2">
      <c r="B38" s="1240" t="s">
        <v>267</v>
      </c>
      <c r="C38" s="1938">
        <f>IF(SUM(C39:C44)=0,"NO",SUM(C39:C44))</f>
        <v>43633.383869289755</v>
      </c>
      <c r="D38" s="3056" t="s">
        <v>97</v>
      </c>
      <c r="E38" s="615"/>
      <c r="F38" s="615"/>
      <c r="G38" s="615"/>
      <c r="H38" s="1938">
        <f>IF(SUM(H39:H43)=0,"NO",SUM(H39:H43))</f>
        <v>1126.0351243647403</v>
      </c>
      <c r="I38" s="1938">
        <f t="shared" ref="I38:K38" si="13">IF(SUM(I39:I44)=0,"NO",SUM(I39:I44))</f>
        <v>0.23252306070623563</v>
      </c>
      <c r="J38" s="1938">
        <f t="shared" si="13"/>
        <v>0.15412046007785518</v>
      </c>
      <c r="K38" s="3044" t="str">
        <f t="shared" si="13"/>
        <v>NO</v>
      </c>
    </row>
    <row r="39" spans="2:11" ht="18" customHeight="1" x14ac:dyDescent="0.2">
      <c r="B39" s="282" t="s">
        <v>243</v>
      </c>
      <c r="C39" s="699">
        <v>345.41162979999996</v>
      </c>
      <c r="D39" s="3056" t="s">
        <v>97</v>
      </c>
      <c r="E39" s="1938">
        <f>IFERROR(H39*1000/$C39,"NA")</f>
        <v>67.17475099047752</v>
      </c>
      <c r="F39" s="1938">
        <f t="shared" ref="F39:G44" si="14">IFERROR(I39*1000000/$C39,"NA")</f>
        <v>1.2286031197582095</v>
      </c>
      <c r="G39" s="1938">
        <f t="shared" si="14"/>
        <v>1.2919105719671098</v>
      </c>
      <c r="H39" s="699">
        <v>23.202940221030001</v>
      </c>
      <c r="I39" s="699">
        <v>4.2437380597304766E-4</v>
      </c>
      <c r="J39" s="699">
        <v>4.4624093621900953E-4</v>
      </c>
      <c r="K39" s="3072" t="s">
        <v>199</v>
      </c>
    </row>
    <row r="40" spans="2:11" ht="18" customHeight="1" x14ac:dyDescent="0.2">
      <c r="B40" s="282" t="s">
        <v>245</v>
      </c>
      <c r="C40" s="699">
        <v>2954.5652571999999</v>
      </c>
      <c r="D40" s="3056" t="s">
        <v>97</v>
      </c>
      <c r="E40" s="1938">
        <f t="shared" ref="E40:E44" si="15">IFERROR(H40*1000/$C40,"NA")</f>
        <v>90.017767104525504</v>
      </c>
      <c r="F40" s="1938">
        <f t="shared" si="14"/>
        <v>0.94936777770887326</v>
      </c>
      <c r="G40" s="1938">
        <f t="shared" si="14"/>
        <v>0.66465788355194733</v>
      </c>
      <c r="H40" s="699">
        <v>265.96336721775208</v>
      </c>
      <c r="I40" s="699">
        <v>2.8049690523238094E-3</v>
      </c>
      <c r="J40" s="699">
        <v>1.963775090666667E-3</v>
      </c>
      <c r="K40" s="3072" t="s">
        <v>199</v>
      </c>
    </row>
    <row r="41" spans="2:11" ht="18" customHeight="1" x14ac:dyDescent="0.2">
      <c r="B41" s="282" t="s">
        <v>246</v>
      </c>
      <c r="C41" s="699">
        <v>16277.72010768976</v>
      </c>
      <c r="D41" s="3056" t="s">
        <v>97</v>
      </c>
      <c r="E41" s="1938">
        <f t="shared" si="15"/>
        <v>51.411918339265021</v>
      </c>
      <c r="F41" s="1938">
        <f t="shared" si="14"/>
        <v>0.9136363636363638</v>
      </c>
      <c r="G41" s="1938">
        <f t="shared" si="14"/>
        <v>0.86863636363636376</v>
      </c>
      <c r="H41" s="699">
        <v>836.86881692595819</v>
      </c>
      <c r="I41" s="699">
        <v>1.4871917007480194E-2</v>
      </c>
      <c r="J41" s="699">
        <v>1.4139419602634153E-2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24055.6868746</v>
      </c>
      <c r="D44" s="3055" t="s">
        <v>97</v>
      </c>
      <c r="E44" s="1938">
        <f t="shared" si="15"/>
        <v>93.283901508442895</v>
      </c>
      <c r="F44" s="1938">
        <f t="shared" si="14"/>
        <v>8.9135596899901053</v>
      </c>
      <c r="G44" s="1938">
        <f t="shared" si="14"/>
        <v>5.7188566331728525</v>
      </c>
      <c r="H44" s="699">
        <v>2244.0083251281289</v>
      </c>
      <c r="I44" s="699">
        <v>0.21442180084045859</v>
      </c>
      <c r="J44" s="699">
        <v>0.13757102444833536</v>
      </c>
      <c r="K44" s="3072" t="s">
        <v>199</v>
      </c>
    </row>
    <row r="45" spans="2:11" ht="18" customHeight="1" x14ac:dyDescent="0.2">
      <c r="B45" s="1240" t="s">
        <v>268</v>
      </c>
      <c r="C45" s="1938">
        <f>IF(SUM(C46:C51)=0,"NO",SUM(C46:C51))</f>
        <v>124465.13932804906</v>
      </c>
      <c r="D45" s="3055" t="s">
        <v>97</v>
      </c>
      <c r="E45" s="615"/>
      <c r="F45" s="615"/>
      <c r="G45" s="615"/>
      <c r="H45" s="1938">
        <f>IF(SUM(H46:H50)=0,"NO",SUM(H46:H50))</f>
        <v>3157.9913508257741</v>
      </c>
      <c r="I45" s="1938">
        <f t="shared" ref="I45:K45" si="16">IF(SUM(I46:I51)=0,"NO",SUM(I46:I51))</f>
        <v>0.73414502952797955</v>
      </c>
      <c r="J45" s="1938">
        <f t="shared" si="16"/>
        <v>0.47968628846953687</v>
      </c>
      <c r="K45" s="3044" t="str">
        <f t="shared" si="16"/>
        <v>NO</v>
      </c>
    </row>
    <row r="46" spans="2:11" ht="18" customHeight="1" x14ac:dyDescent="0.2">
      <c r="B46" s="282" t="s">
        <v>243</v>
      </c>
      <c r="C46" s="699">
        <v>3343.682759245221</v>
      </c>
      <c r="D46" s="3055" t="s">
        <v>97</v>
      </c>
      <c r="E46" s="1938">
        <f>IFERROR(H46*1000/$C46,"NA")</f>
        <v>66.475652863073648</v>
      </c>
      <c r="F46" s="1938">
        <f t="shared" ref="F46:G51" si="17">IFERROR(I46*1000000/$C46,"NA")</f>
        <v>3.4311950941060956</v>
      </c>
      <c r="G46" s="1938">
        <f t="shared" si="17"/>
        <v>2.8247370198756068</v>
      </c>
      <c r="H46" s="699">
        <v>222.2734943878296</v>
      </c>
      <c r="I46" s="699">
        <v>1.1472827879769335E-2</v>
      </c>
      <c r="J46" s="699">
        <v>9.4450244727597912E-3</v>
      </c>
      <c r="K46" s="3072" t="s">
        <v>199</v>
      </c>
    </row>
    <row r="47" spans="2:11" ht="18" customHeight="1" x14ac:dyDescent="0.2">
      <c r="B47" s="282" t="s">
        <v>245</v>
      </c>
      <c r="C47" s="699">
        <v>13864.411284791635</v>
      </c>
      <c r="D47" s="3055" t="s">
        <v>97</v>
      </c>
      <c r="E47" s="1938">
        <f t="shared" ref="E47:E51" si="18">IFERROR(H47*1000/$C47,"NA")</f>
        <v>90.869725450955556</v>
      </c>
      <c r="F47" s="1938">
        <f t="shared" si="17"/>
        <v>0.95238095238095211</v>
      </c>
      <c r="G47" s="1938">
        <f t="shared" si="17"/>
        <v>0.67523809523809497</v>
      </c>
      <c r="H47" s="699">
        <v>1259.8552469881458</v>
      </c>
      <c r="I47" s="699">
        <v>1.3204201223611076E-2</v>
      </c>
      <c r="J47" s="699">
        <v>9.3617786675402534E-3</v>
      </c>
      <c r="K47" s="3072" t="s">
        <v>199</v>
      </c>
    </row>
    <row r="48" spans="2:11" ht="18" customHeight="1" x14ac:dyDescent="0.2">
      <c r="B48" s="282" t="s">
        <v>246</v>
      </c>
      <c r="C48" s="699">
        <v>32549.23972708216</v>
      </c>
      <c r="D48" s="3055" t="s">
        <v>97</v>
      </c>
      <c r="E48" s="1938">
        <f t="shared" si="18"/>
        <v>51.48699703899441</v>
      </c>
      <c r="F48" s="1938">
        <f t="shared" si="17"/>
        <v>0.91409090909090895</v>
      </c>
      <c r="G48" s="1938">
        <f t="shared" si="17"/>
        <v>0.86459090909090885</v>
      </c>
      <c r="H48" s="699">
        <v>1675.8626094497986</v>
      </c>
      <c r="I48" s="699">
        <v>2.975296413234646E-2</v>
      </c>
      <c r="J48" s="699">
        <v>2.8141776765855893E-2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74707.805556930034</v>
      </c>
      <c r="D51" s="3055" t="s">
        <v>97</v>
      </c>
      <c r="E51" s="1938">
        <f t="shared" si="18"/>
        <v>94.602678537147852</v>
      </c>
      <c r="F51" s="1938">
        <f t="shared" si="17"/>
        <v>9.0983135058663365</v>
      </c>
      <c r="G51" s="1938">
        <f t="shared" si="17"/>
        <v>5.7924028866517734</v>
      </c>
      <c r="H51" s="699">
        <v>7067.5585133180002</v>
      </c>
      <c r="I51" s="699">
        <v>0.67971503629225272</v>
      </c>
      <c r="J51" s="699">
        <v>0.43273770856338095</v>
      </c>
      <c r="K51" s="3072" t="s">
        <v>199</v>
      </c>
    </row>
    <row r="52" spans="2:11" ht="18" customHeight="1" x14ac:dyDescent="0.2">
      <c r="B52" s="1240" t="s">
        <v>269</v>
      </c>
      <c r="C52" s="3073">
        <f>IF(SUM(C53:C58)=0,"NO",SUM(C53:C58))</f>
        <v>105196.40931390686</v>
      </c>
      <c r="D52" s="3055" t="s">
        <v>97</v>
      </c>
      <c r="E52" s="615"/>
      <c r="F52" s="615"/>
      <c r="G52" s="615"/>
      <c r="H52" s="1938">
        <f>IF(SUM(H53:H57)=0,"NO",SUM(H53:H57))</f>
        <v>6379.7987807192058</v>
      </c>
      <c r="I52" s="1938">
        <f t="shared" ref="I52:K52" si="19">IF(SUM(I53:I58)=0,"NO",SUM(I53:I58))</f>
        <v>0.34774723082173098</v>
      </c>
      <c r="J52" s="1938">
        <f t="shared" si="19"/>
        <v>5.6471426054340884E-2</v>
      </c>
      <c r="K52" s="3044" t="str">
        <f t="shared" si="19"/>
        <v>NO</v>
      </c>
    </row>
    <row r="53" spans="2:11" ht="18" customHeight="1" x14ac:dyDescent="0.2">
      <c r="B53" s="282" t="s">
        <v>243</v>
      </c>
      <c r="C53" s="2173">
        <v>8095.1643056478561</v>
      </c>
      <c r="D53" s="3055" t="s">
        <v>97</v>
      </c>
      <c r="E53" s="1938">
        <f>IFERROR(H53*1000/$C53,"NA")</f>
        <v>63.664473711763861</v>
      </c>
      <c r="F53" s="1938">
        <f t="shared" ref="F53:G58" si="20">IFERROR(I53*1000000/$C53,"NA")</f>
        <v>29.137460717166647</v>
      </c>
      <c r="G53" s="1938">
        <f t="shared" si="20"/>
        <v>1.661572553034445</v>
      </c>
      <c r="H53" s="699">
        <v>515.37437512932706</v>
      </c>
      <c r="I53" s="699">
        <v>0.23587253195482402</v>
      </c>
      <c r="J53" s="699">
        <v>1.3450702822568618E-2</v>
      </c>
      <c r="K53" s="3072" t="s">
        <v>199</v>
      </c>
    </row>
    <row r="54" spans="2:11" ht="18" customHeight="1" x14ac:dyDescent="0.2">
      <c r="B54" s="282" t="s">
        <v>245</v>
      </c>
      <c r="C54" s="699">
        <v>26602.706196953535</v>
      </c>
      <c r="D54" s="3055" t="s">
        <v>97</v>
      </c>
      <c r="E54" s="1938">
        <f t="shared" ref="E54:E58" si="21">IFERROR(H54*1000/$C54,"NA")</f>
        <v>89.658949209571588</v>
      </c>
      <c r="F54" s="1938">
        <f t="shared" si="20"/>
        <v>0.95286602957035205</v>
      </c>
      <c r="G54" s="1938">
        <f t="shared" si="20"/>
        <v>0.8263450299498627</v>
      </c>
      <c r="H54" s="699">
        <v>2385.1706837498123</v>
      </c>
      <c r="I54" s="699">
        <v>2.5348815029717715E-2</v>
      </c>
      <c r="J54" s="699">
        <v>2.1983014049068966E-2</v>
      </c>
      <c r="K54" s="3072" t="s">
        <v>199</v>
      </c>
    </row>
    <row r="55" spans="2:11" ht="18" customHeight="1" x14ac:dyDescent="0.2">
      <c r="B55" s="282" t="s">
        <v>246</v>
      </c>
      <c r="C55" s="699">
        <v>67674.056135988241</v>
      </c>
      <c r="D55" s="3055" t="s">
        <v>97</v>
      </c>
      <c r="E55" s="1938">
        <f t="shared" si="21"/>
        <v>51.411928300095518</v>
      </c>
      <c r="F55" s="1938">
        <f t="shared" si="20"/>
        <v>0.99853044089030885</v>
      </c>
      <c r="G55" s="1938">
        <f t="shared" si="20"/>
        <v>0.1130790760762512</v>
      </c>
      <c r="H55" s="699">
        <v>3479.2537218400662</v>
      </c>
      <c r="I55" s="699">
        <v>6.7574605110303845E-2</v>
      </c>
      <c r="J55" s="699">
        <v>7.6525197421899085E-3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2824.4826753172283</v>
      </c>
      <c r="D58" s="3055" t="s">
        <v>97</v>
      </c>
      <c r="E58" s="3074">
        <f t="shared" si="21"/>
        <v>86.529752130980455</v>
      </c>
      <c r="F58" s="3074">
        <f t="shared" si="20"/>
        <v>6.7096459441929071</v>
      </c>
      <c r="G58" s="3074">
        <f t="shared" si="20"/>
        <v>4.7389879773328927</v>
      </c>
      <c r="H58" s="2215">
        <v>244.40178579344831</v>
      </c>
      <c r="I58" s="699">
        <v>1.8951278726885373E-2</v>
      </c>
      <c r="J58" s="699">
        <v>1.3385189440513388E-2</v>
      </c>
      <c r="K58" s="3072" t="s">
        <v>199</v>
      </c>
    </row>
    <row r="59" spans="2:11" ht="18" customHeight="1" x14ac:dyDescent="0.2">
      <c r="B59" s="1240" t="s">
        <v>270</v>
      </c>
      <c r="C59" s="3073">
        <f>IF(SUM(C60:C65)=0,"NO",SUM(C60:C65))</f>
        <v>117301.27685386295</v>
      </c>
      <c r="D59" s="4224" t="s">
        <v>97</v>
      </c>
      <c r="E59" s="4225"/>
      <c r="F59" s="4225"/>
      <c r="G59" s="4225"/>
      <c r="H59" s="1938">
        <f>IF(SUM(H60:H64)=0,"NO",SUM(H60:H64))</f>
        <v>7964.9022034976624</v>
      </c>
      <c r="I59" s="1938">
        <f t="shared" ref="I59:K59" si="22">IF(SUM(I60:I65)=0,"NO",SUM(I60:I65))</f>
        <v>0.41255729929822271</v>
      </c>
      <c r="J59" s="1938">
        <f t="shared" si="22"/>
        <v>0.33958784897074168</v>
      </c>
      <c r="K59" s="3044" t="str">
        <f t="shared" si="22"/>
        <v>NO</v>
      </c>
    </row>
    <row r="60" spans="2:11" ht="18" customHeight="1" x14ac:dyDescent="0.2">
      <c r="B60" s="282" t="s">
        <v>243</v>
      </c>
      <c r="C60" s="4223">
        <f>IF(SUM(C68,C75,C82,C89,C96,C103,C110,C111,C111,C112,C113,C120)=0,"NO",SUM(C68,C75,C82,C89,C96,C103,C110,C111,C111,C112,C113,C120))</f>
        <v>92353.753157166924</v>
      </c>
      <c r="D60" s="4224" t="s">
        <v>97</v>
      </c>
      <c r="E60" s="3074">
        <f t="shared" ref="E60:E65" si="23">IFERROR(H60*1000/$C60,"NA")</f>
        <v>69.572419926785017</v>
      </c>
      <c r="F60" s="3074">
        <f t="shared" ref="F60:F65" si="24">IFERROR(I60*1000000/$C60,"NA")</f>
        <v>4.1885396704318305</v>
      </c>
      <c r="G60" s="3074">
        <f t="shared" ref="G60:G65" si="25">IFERROR(J60*1000000/$C60,"NA")</f>
        <v>3.452694665228409</v>
      </c>
      <c r="H60" s="3074">
        <f>IF(SUM(H68,H75,H82,H89,H96,H103,H110,H111,H111,H112,H113,H120)=0,"NO",SUM(H68,H75,H82,H89,H96,H103,H110,H111,H111,H112,H113,H120))</f>
        <v>6425.2740964650638</v>
      </c>
      <c r="I60" s="3074">
        <f>IF(SUM(I68,I75,I82,I89,I96,I103,I110,I111,I111,I112,I113,I120)=0,"NO",SUM(I68,I75,I82,I89,I96,I103,I110,I111,I111,I112,I113,I120))</f>
        <v>0.38682735881206254</v>
      </c>
      <c r="J60" s="3074">
        <f>IF(SUM(J68,J75,J82,J89,J96,J103,J110,J111,J111,J112,J113,J120)=0,"NO",SUM(J68,J75,J82,J89,J96,J103,J110,J111,J111,J112,J113,J120))</f>
        <v>0.3188693108395716</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6508.8951494717357</v>
      </c>
      <c r="D61" s="4224" t="s">
        <v>97</v>
      </c>
      <c r="E61" s="3074">
        <f t="shared" si="23"/>
        <v>90.975683841465042</v>
      </c>
      <c r="F61" s="3074">
        <f t="shared" si="24"/>
        <v>0.95238095238095244</v>
      </c>
      <c r="G61" s="3074">
        <f t="shared" si="25"/>
        <v>0.75076151980909445</v>
      </c>
      <c r="H61" s="3074">
        <f>IF(SUM(H69,H76,H83,H90,H97,H104,H121)=0,"NO",SUM(H69,H76,H83,H90,H97,H104,H121))</f>
        <v>592.15118727558593</v>
      </c>
      <c r="I61" s="3074">
        <f>IF(SUM(I69,I76,I83,I90,I97,I104,I121)=0,"NO",SUM(I69,I76,I83,I90,I97,I104,I121))</f>
        <v>6.1989477614016533E-3</v>
      </c>
      <c r="J61" s="3074">
        <f>IF(SUM(J69,J76,J83,J90,J97,J104,J121)=0,"NO",SUM(J69,J76,J83,J90,J97,J104,J121))</f>
        <v>4.8866280146954433E-3</v>
      </c>
      <c r="K61" s="3044" t="str">
        <f>IF(SUM(K69,K76,K83,K90,K97,K104,K121)=0,"NO",SUM(K69,K76,K83,K90,K97,K104,K121))</f>
        <v>NO</v>
      </c>
    </row>
    <row r="62" spans="2:11" ht="18" customHeight="1" x14ac:dyDescent="0.2">
      <c r="B62" s="282" t="s">
        <v>246</v>
      </c>
      <c r="C62" s="4223">
        <f>IF(SUM(C70,C77,C84,C91,C98,C105,C115,C122)=0,"NO",SUM(C70,C77,C84,C91,C98,C105,C115,C122))</f>
        <v>18429.048443224303</v>
      </c>
      <c r="D62" s="4224" t="s">
        <v>97</v>
      </c>
      <c r="E62" s="3074">
        <f t="shared" si="23"/>
        <v>51.412145487379519</v>
      </c>
      <c r="F62" s="3074">
        <f t="shared" si="24"/>
        <v>1.0577253031914877</v>
      </c>
      <c r="G62" s="3074">
        <f t="shared" si="25"/>
        <v>0.85711220855998904</v>
      </c>
      <c r="H62" s="3074">
        <f t="shared" ref="H62:K63" si="26">IF(SUM(H70,H77,H84,H91,H98,H105,H115,H122)=0,"NO",SUM(H70,H77,H84,H91,H98,H105,H115,H122))</f>
        <v>947.47691975701287</v>
      </c>
      <c r="I62" s="3074">
        <f t="shared" si="26"/>
        <v>1.9492870852140042E-2</v>
      </c>
      <c r="J62" s="3074">
        <f t="shared" si="26"/>
        <v>1.579576241283101E-2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9.5801040000000004</v>
      </c>
      <c r="D65" s="4224" t="s">
        <v>97</v>
      </c>
      <c r="E65" s="3074">
        <f t="shared" si="23"/>
        <v>69.670449013155505</v>
      </c>
      <c r="F65" s="3074">
        <f t="shared" si="24"/>
        <v>3.9792754461184914</v>
      </c>
      <c r="G65" s="3074">
        <f t="shared" si="25"/>
        <v>3.7732057651662561</v>
      </c>
      <c r="H65" s="1938">
        <f>IF(SUM(H73,H80,H87,H94,H101,H108,H117,H125)=0,"NO",SUM(H73,H80,H87,H94,H101,H108,H117,H125))</f>
        <v>0.66745014727272711</v>
      </c>
      <c r="I65" s="1938">
        <f>IF(SUM(I73,I80,I87,I94,I101,I108,I117,I125)=0,"NO",SUM(I73,I80,I87,I94,I101,I108,I117,I125))</f>
        <v>3.8121872618461542E-5</v>
      </c>
      <c r="J65" s="1938">
        <f>IF(SUM(J73,J80,J87,J94,J101,J108,J117,J125)=0,"NO",SUM(J73,J80,J87,J94,J101,J108,J117,J125))</f>
        <v>3.6147703643692308E-5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7025.059089152619</v>
      </c>
      <c r="D67" s="3055" t="s">
        <v>97</v>
      </c>
      <c r="E67" s="615"/>
      <c r="F67" s="615"/>
      <c r="G67" s="615"/>
      <c r="H67" s="1938">
        <f>IF(SUM(H68:H72)=0,"NO",SUM(H68:H72))</f>
        <v>384.74141394275358</v>
      </c>
      <c r="I67" s="1938">
        <f t="shared" ref="I67:K67" si="27">IF(SUM(I68:I73)=0,"NO",SUM(I68:I73))</f>
        <v>4.041058350548634E-2</v>
      </c>
      <c r="J67" s="1938">
        <f t="shared" si="27"/>
        <v>8.9785205266910296E-3</v>
      </c>
      <c r="K67" s="3044" t="str">
        <f t="shared" si="27"/>
        <v>NO</v>
      </c>
    </row>
    <row r="68" spans="2:11" ht="18" customHeight="1" x14ac:dyDescent="0.2">
      <c r="B68" s="158" t="s">
        <v>243</v>
      </c>
      <c r="C68" s="699">
        <v>1625.1128897586591</v>
      </c>
      <c r="D68" s="3055" t="s">
        <v>97</v>
      </c>
      <c r="E68" s="1938">
        <f>IFERROR(H68*1000/$C68,"NA")</f>
        <v>65.912734711856245</v>
      </c>
      <c r="F68" s="1938">
        <f t="shared" ref="F68:G73" si="28">IFERROR(I68*1000000/$C68,"NA")</f>
        <v>21.776107840302359</v>
      </c>
      <c r="G68" s="1938">
        <f t="shared" si="28"/>
        <v>2.8234126352078515</v>
      </c>
      <c r="H68" s="699">
        <v>107.11563477948057</v>
      </c>
      <c r="I68" s="699">
        <v>3.5388633540049959E-2</v>
      </c>
      <c r="J68" s="699">
        <v>4.5883642665837422E-3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5399.9461993939594</v>
      </c>
      <c r="D70" s="3055" t="s">
        <v>97</v>
      </c>
      <c r="E70" s="1938">
        <f t="shared" si="29"/>
        <v>51.412693555063797</v>
      </c>
      <c r="F70" s="1938">
        <f t="shared" si="28"/>
        <v>0.92999999999999994</v>
      </c>
      <c r="G70" s="1938">
        <f t="shared" si="28"/>
        <v>0.81299999999999972</v>
      </c>
      <c r="H70" s="699">
        <v>277.62577916327302</v>
      </c>
      <c r="I70" s="699">
        <v>5.0219499654363814E-3</v>
      </c>
      <c r="J70" s="699">
        <v>4.3901562601072874E-3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75362.733837999956</v>
      </c>
      <c r="D81" s="3056" t="s">
        <v>97</v>
      </c>
      <c r="E81" s="615"/>
      <c r="F81" s="615"/>
      <c r="G81" s="615"/>
      <c r="H81" s="1938">
        <f>IF(SUM(H82:H86)=0,"NO",SUM(H82:H86))</f>
        <v>5332.9523496329784</v>
      </c>
      <c r="I81" s="1938">
        <f t="shared" ref="I81:K81" si="33">IF(SUM(I82:I87)=0,"NO",SUM(I82:I87))</f>
        <v>0.24436371502146431</v>
      </c>
      <c r="J81" s="1938">
        <f t="shared" si="33"/>
        <v>0.23985158702422868</v>
      </c>
      <c r="K81" s="3044" t="str">
        <f t="shared" si="33"/>
        <v>NO</v>
      </c>
    </row>
    <row r="82" spans="2:11" ht="18" customHeight="1" x14ac:dyDescent="0.2">
      <c r="B82" s="158" t="s">
        <v>243</v>
      </c>
      <c r="C82" s="699">
        <v>67021.422881699968</v>
      </c>
      <c r="D82" s="3056" t="s">
        <v>97</v>
      </c>
      <c r="E82" s="1938">
        <f>IFERROR(H82*1000/$C82,"NA")</f>
        <v>69.692011970775496</v>
      </c>
      <c r="F82" s="1938">
        <f t="shared" ref="F82:G87" si="34">IFERROR(I82*1000000/$C82,"NA")</f>
        <v>3.4901669958981345</v>
      </c>
      <c r="G82" s="1938">
        <f t="shared" si="34"/>
        <v>3.4792742896642341</v>
      </c>
      <c r="H82" s="699">
        <v>4670.8578057698414</v>
      </c>
      <c r="I82" s="699">
        <v>0.23391595815984129</v>
      </c>
      <c r="J82" s="699">
        <v>0.23318591348901288</v>
      </c>
      <c r="K82" s="3072" t="s">
        <v>199</v>
      </c>
    </row>
    <row r="83" spans="2:11" ht="18" customHeight="1" x14ac:dyDescent="0.2">
      <c r="B83" s="158" t="s">
        <v>245</v>
      </c>
      <c r="C83" s="699">
        <v>5912.8890000000001</v>
      </c>
      <c r="D83" s="3056" t="s">
        <v>97</v>
      </c>
      <c r="E83" s="1938">
        <f t="shared" ref="E83:E87" si="35">IFERROR(H83*1000/$C83,"NA")</f>
        <v>90.943233346185494</v>
      </c>
      <c r="F83" s="1938">
        <f t="shared" si="34"/>
        <v>0.95238095238095255</v>
      </c>
      <c r="G83" s="1938">
        <f t="shared" si="34"/>
        <v>0.75923809523809538</v>
      </c>
      <c r="H83" s="699">
        <v>537.73724407709346</v>
      </c>
      <c r="I83" s="699">
        <v>5.6313228571428578E-3</v>
      </c>
      <c r="J83" s="699">
        <v>4.4892905817142861E-3</v>
      </c>
      <c r="K83" s="3072" t="s">
        <v>199</v>
      </c>
    </row>
    <row r="84" spans="2:11" ht="18" customHeight="1" x14ac:dyDescent="0.2">
      <c r="B84" s="158" t="s">
        <v>246</v>
      </c>
      <c r="C84" s="699">
        <v>2418.8418523000005</v>
      </c>
      <c r="D84" s="3056" t="s">
        <v>97</v>
      </c>
      <c r="E84" s="1938">
        <f t="shared" si="35"/>
        <v>51.411918339265</v>
      </c>
      <c r="F84" s="1938">
        <f t="shared" si="34"/>
        <v>1.9754545454545456</v>
      </c>
      <c r="G84" s="1938">
        <f t="shared" si="34"/>
        <v>0.88481818181818173</v>
      </c>
      <c r="H84" s="699">
        <v>124.35729978604411</v>
      </c>
      <c r="I84" s="699">
        <v>4.7783121318617288E-3</v>
      </c>
      <c r="J84" s="699">
        <v>2.1402352498578092E-3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9.5801040000000004</v>
      </c>
      <c r="D87" s="3055" t="s">
        <v>97</v>
      </c>
      <c r="E87" s="1938">
        <f t="shared" si="35"/>
        <v>69.670449013155505</v>
      </c>
      <c r="F87" s="1938">
        <f t="shared" si="34"/>
        <v>3.9792754461184914</v>
      </c>
      <c r="G87" s="1938">
        <f t="shared" si="34"/>
        <v>3.7732057651662561</v>
      </c>
      <c r="H87" s="699">
        <v>0.66745014727272711</v>
      </c>
      <c r="I87" s="699">
        <v>3.8121872618461542E-5</v>
      </c>
      <c r="J87" s="699">
        <v>3.6147703643692308E-5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25023.921707382964</v>
      </c>
      <c r="D95" s="3056" t="s">
        <v>97</v>
      </c>
      <c r="E95" s="615"/>
      <c r="F95" s="615"/>
      <c r="G95" s="615"/>
      <c r="H95" s="1938">
        <f>IF(SUM(H96:H100)=0,"NO",SUM(H96:H100))</f>
        <v>1692.8590080592876</v>
      </c>
      <c r="I95" s="1938">
        <f t="shared" ref="I95:K95" si="41">IF(SUM(I96:I101)=0,"NO",SUM(I96:I101))</f>
        <v>8.3945400269997431E-2</v>
      </c>
      <c r="J95" s="1938">
        <f t="shared" si="41"/>
        <v>8.147592289017927E-2</v>
      </c>
      <c r="K95" s="3044" t="str">
        <f t="shared" si="41"/>
        <v>NO</v>
      </c>
    </row>
    <row r="96" spans="2:11" ht="18" customHeight="1" x14ac:dyDescent="0.2">
      <c r="B96" s="158" t="s">
        <v>243</v>
      </c>
      <c r="C96" s="699">
        <v>22026.256226206202</v>
      </c>
      <c r="D96" s="3056" t="s">
        <v>97</v>
      </c>
      <c r="E96" s="1938">
        <f>IFERROR(H96*1000/$C96,"NA")</f>
        <v>69.859501284736808</v>
      </c>
      <c r="F96" s="1938">
        <f t="shared" ref="F96:G101" si="42">IFERROR(I96*1000000/$C96,"NA")</f>
        <v>3.6874287213607602</v>
      </c>
      <c r="G96" s="1938">
        <f t="shared" si="42"/>
        <v>3.5753135550584605</v>
      </c>
      <c r="H96" s="699">
        <v>1538.7432751325944</v>
      </c>
      <c r="I96" s="699">
        <v>8.1220249832564012E-2</v>
      </c>
      <c r="J96" s="699">
        <v>7.8750772452745851E-2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2997.6654811767603</v>
      </c>
      <c r="D98" s="3056" t="s">
        <v>97</v>
      </c>
      <c r="E98" s="1938">
        <f t="shared" si="43"/>
        <v>51.411918339264993</v>
      </c>
      <c r="F98" s="1938">
        <f t="shared" si="42"/>
        <v>0.90909090909090895</v>
      </c>
      <c r="G98" s="1938">
        <f t="shared" si="42"/>
        <v>0.90909090909090895</v>
      </c>
      <c r="H98" s="699">
        <v>154.11573292669311</v>
      </c>
      <c r="I98" s="699">
        <v>2.725150437433418E-3</v>
      </c>
      <c r="J98" s="699">
        <v>2.725150437433418E-3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6553.2309350872565</v>
      </c>
      <c r="D102" s="3055" t="s">
        <v>97</v>
      </c>
      <c r="E102" s="615"/>
      <c r="F102" s="615"/>
      <c r="G102" s="615"/>
      <c r="H102" s="1938">
        <f>IF(SUM(H103:H107)=0,"NO",SUM(H103:H107))</f>
        <v>373.8131285828407</v>
      </c>
      <c r="I102" s="1938">
        <f t="shared" ref="I102:K102" si="47">IF(SUM(I103:I108)=0,"NO",SUM(I103:I108))</f>
        <v>5.9288141686004159E-3</v>
      </c>
      <c r="J102" s="1938">
        <f t="shared" si="47"/>
        <v>5.6106217748121412E-3</v>
      </c>
      <c r="K102" s="3044" t="str">
        <f t="shared" si="47"/>
        <v>NO</v>
      </c>
    </row>
    <row r="103" spans="2:11" ht="18" customHeight="1" x14ac:dyDescent="0.2">
      <c r="B103" s="158" t="s">
        <v>243</v>
      </c>
      <c r="C103" s="699">
        <v>799.3094217680773</v>
      </c>
      <c r="D103" s="3055" t="s">
        <v>97</v>
      </c>
      <c r="E103" s="1938">
        <f>IFERROR(H103*1000/$C103,"NA")</f>
        <v>67.834633773547012</v>
      </c>
      <c r="F103" s="1938">
        <f t="shared" ref="F103:G108" si="48">IFERROR(I103*1000000/$C103,"NA")</f>
        <v>0.7940143931578203</v>
      </c>
      <c r="G103" s="1938">
        <f t="shared" si="48"/>
        <v>1.0735869561736227</v>
      </c>
      <c r="H103" s="699">
        <v>54.220861897383145</v>
      </c>
      <c r="I103" s="699">
        <v>6.3466318547050814E-4</v>
      </c>
      <c r="J103" s="699">
        <v>8.5812816915688847E-4</v>
      </c>
      <c r="K103" s="3072" t="s">
        <v>199</v>
      </c>
    </row>
    <row r="104" spans="2:11" ht="18" customHeight="1" x14ac:dyDescent="0.2">
      <c r="B104" s="158" t="s">
        <v>245</v>
      </c>
      <c r="C104" s="699">
        <v>596.00614947173551</v>
      </c>
      <c r="D104" s="3055" t="s">
        <v>97</v>
      </c>
      <c r="E104" s="1938">
        <f t="shared" ref="E104:E108" si="49">IFERROR(H104*1000/$C104,"NA")</f>
        <v>91.297620413349378</v>
      </c>
      <c r="F104" s="1938">
        <f t="shared" si="48"/>
        <v>0.95238095238095222</v>
      </c>
      <c r="G104" s="1938">
        <f t="shared" si="48"/>
        <v>0.66666666666666663</v>
      </c>
      <c r="H104" s="699">
        <v>54.413943198492483</v>
      </c>
      <c r="I104" s="699">
        <v>5.6762490425879563E-4</v>
      </c>
      <c r="J104" s="699">
        <v>3.97337432981157E-4</v>
      </c>
      <c r="K104" s="3072" t="s">
        <v>199</v>
      </c>
    </row>
    <row r="105" spans="2:11" ht="18" customHeight="1" x14ac:dyDescent="0.2">
      <c r="B105" s="158" t="s">
        <v>246</v>
      </c>
      <c r="C105" s="699">
        <v>5157.9153638474436</v>
      </c>
      <c r="D105" s="3055" t="s">
        <v>97</v>
      </c>
      <c r="E105" s="1938">
        <f t="shared" si="49"/>
        <v>51.411918339265</v>
      </c>
      <c r="F105" s="1938">
        <f t="shared" si="48"/>
        <v>0.91636363636363638</v>
      </c>
      <c r="G105" s="1938">
        <f t="shared" si="48"/>
        <v>0.84436363636363643</v>
      </c>
      <c r="H105" s="699">
        <v>265.1783234869651</v>
      </c>
      <c r="I105" s="699">
        <v>4.7265260788711119E-3</v>
      </c>
      <c r="J105" s="699">
        <v>4.3551561726740962E-3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3336.3312842401556</v>
      </c>
      <c r="D118" s="3055" t="s">
        <v>97</v>
      </c>
      <c r="E118" s="615"/>
      <c r="F118" s="615"/>
      <c r="G118" s="615"/>
      <c r="H118" s="1938">
        <f>H119</f>
        <v>180.53630327980233</v>
      </c>
      <c r="I118" s="1938">
        <f>I119</f>
        <v>3.7908786332674228E-2</v>
      </c>
      <c r="J118" s="1938">
        <f>J119</f>
        <v>3.6711967548306496E-3</v>
      </c>
      <c r="K118" s="3044" t="str">
        <f>K119</f>
        <v>NO</v>
      </c>
    </row>
    <row r="119" spans="2:11" ht="18" customHeight="1" x14ac:dyDescent="0.2">
      <c r="B119" s="3069" t="s">
        <v>286</v>
      </c>
      <c r="C119" s="3077">
        <f>IF(SUM(C120:C125)=0,"NO",SUM(C120:C125))</f>
        <v>3336.3312842401556</v>
      </c>
      <c r="D119" s="3055" t="s">
        <v>97</v>
      </c>
      <c r="E119" s="615"/>
      <c r="F119" s="615"/>
      <c r="G119" s="615"/>
      <c r="H119" s="3077">
        <f>IF(SUM(H120:H124)=0,"NO",SUM(H120:H124))</f>
        <v>180.53630327980233</v>
      </c>
      <c r="I119" s="3077">
        <f t="shared" ref="I119" si="56">IF(SUM(I120:I125)=0,"NO",SUM(I120:I125))</f>
        <v>3.7908786332674228E-2</v>
      </c>
      <c r="J119" s="3077">
        <f t="shared" ref="J119" si="57">IF(SUM(J120:J125)=0,"NO",SUM(J120:J125))</f>
        <v>3.6711967548306496E-3</v>
      </c>
      <c r="K119" s="3078" t="str">
        <f t="shared" ref="K119" si="58">IF(SUM(K120:K125)=0,"NO",SUM(K120:K125))</f>
        <v>NO</v>
      </c>
    </row>
    <row r="120" spans="2:11" ht="18" customHeight="1" x14ac:dyDescent="0.2">
      <c r="B120" s="158" t="s">
        <v>243</v>
      </c>
      <c r="C120" s="699">
        <v>881.65173773401773</v>
      </c>
      <c r="D120" s="3055" t="s">
        <v>97</v>
      </c>
      <c r="E120" s="1938">
        <f>IFERROR(H120*1000/$C120,"NA")</f>
        <v>61.630365551615739</v>
      </c>
      <c r="F120" s="1938">
        <f t="shared" ref="F120:G125" si="59">IFERROR(I120*1000000/$C120,"NA")</f>
        <v>40.455718020597075</v>
      </c>
      <c r="G120" s="1938">
        <f t="shared" si="59"/>
        <v>1.6856230169656827</v>
      </c>
      <c r="H120" s="699">
        <v>54.336518885764761</v>
      </c>
      <c r="I120" s="699">
        <v>3.5667854094136829E-2</v>
      </c>
      <c r="J120" s="699">
        <v>1.4861324620722518E-3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2454.6795465061377</v>
      </c>
      <c r="D122" s="3055" t="s">
        <v>97</v>
      </c>
      <c r="E122" s="1938">
        <f t="shared" si="60"/>
        <v>51.411918339264993</v>
      </c>
      <c r="F122" s="1938">
        <f t="shared" si="59"/>
        <v>0.91292252046790512</v>
      </c>
      <c r="G122" s="1938">
        <f t="shared" si="59"/>
        <v>0.89016274888854785</v>
      </c>
      <c r="H122" s="699">
        <v>126.19978439403758</v>
      </c>
      <c r="I122" s="699">
        <v>2.2409322385373975E-3</v>
      </c>
      <c r="J122" s="699">
        <v>2.1850642927583978E-3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5016.9389590507017</v>
      </c>
      <c r="D10" s="695">
        <f t="shared" ref="D10:F10" si="0">SUM(D11:D16)</f>
        <v>28648.273995225543</v>
      </c>
      <c r="E10" s="695">
        <f t="shared" si="0"/>
        <v>1899.3564956521341</v>
      </c>
      <c r="F10" s="695">
        <f t="shared" si="0"/>
        <v>3270.7180274905504</v>
      </c>
      <c r="G10" s="696" t="s">
        <v>199</v>
      </c>
      <c r="H10" s="697" t="s">
        <v>2035</v>
      </c>
      <c r="I10" s="698" t="s">
        <v>2036</v>
      </c>
    </row>
    <row r="11" spans="2:9" ht="18" customHeight="1" x14ac:dyDescent="0.2">
      <c r="B11" s="1561" t="s">
        <v>1921</v>
      </c>
      <c r="C11" s="3696">
        <f>Table1!D10</f>
        <v>1364.1246074741405</v>
      </c>
      <c r="D11" s="3697">
        <f>Table1!G10</f>
        <v>2542.3862708553224</v>
      </c>
      <c r="E11" s="3697">
        <f>Table1!H10</f>
        <v>711.94379896423493</v>
      </c>
      <c r="F11" s="3697">
        <f>Table1!F10</f>
        <v>2225.7298855691633</v>
      </c>
      <c r="G11" s="3698" t="s">
        <v>199</v>
      </c>
      <c r="H11" s="3699" t="s">
        <v>221</v>
      </c>
      <c r="I11" s="3700" t="s">
        <v>221</v>
      </c>
    </row>
    <row r="12" spans="2:9" ht="18" customHeight="1" x14ac:dyDescent="0.2">
      <c r="B12" s="2419" t="s">
        <v>2037</v>
      </c>
      <c r="C12" s="3149">
        <f>'Table2(I)'!D10</f>
        <v>3.9036652335588573</v>
      </c>
      <c r="D12" s="699">
        <f>'Table2(I)'!L10</f>
        <v>11.300824984661709</v>
      </c>
      <c r="E12" s="699">
        <f>'Table2(I)'!M10</f>
        <v>236.51410994098367</v>
      </c>
      <c r="F12" s="699">
        <f>'Table2(I)'!K10</f>
        <v>42.079593032782505</v>
      </c>
      <c r="G12" s="3125" t="s">
        <v>199</v>
      </c>
      <c r="H12" s="3701" t="s">
        <v>199</v>
      </c>
      <c r="I12" s="2921" t="s">
        <v>199</v>
      </c>
    </row>
    <row r="13" spans="2:9" ht="18" customHeight="1" x14ac:dyDescent="0.2">
      <c r="B13" s="2419" t="s">
        <v>2038</v>
      </c>
      <c r="C13" s="3149">
        <f>Table3!D10</f>
        <v>2351.6715296492102</v>
      </c>
      <c r="D13" s="699">
        <f>Table3!G10</f>
        <v>392.79246919199073</v>
      </c>
      <c r="E13" s="699">
        <f>Table3!H10</f>
        <v>22.912894036199468</v>
      </c>
      <c r="F13" s="699">
        <f>Table3!F10</f>
        <v>24.037059325827276</v>
      </c>
      <c r="G13" s="3702"/>
      <c r="H13" s="3701" t="s">
        <v>221</v>
      </c>
      <c r="I13" s="2921" t="s">
        <v>274</v>
      </c>
    </row>
    <row r="14" spans="2:9" ht="18" customHeight="1" x14ac:dyDescent="0.2">
      <c r="B14" s="2419" t="s">
        <v>2039</v>
      </c>
      <c r="C14" s="3149">
        <f>Table4!D10</f>
        <v>755.62689394823224</v>
      </c>
      <c r="D14" s="699">
        <f>Table4!G10</f>
        <v>25701.794430193568</v>
      </c>
      <c r="E14" s="3125">
        <f>Table4!H10</f>
        <v>691.7951987192871</v>
      </c>
      <c r="F14" s="3125">
        <f>Table4!F10</f>
        <v>978.87148956277713</v>
      </c>
      <c r="G14" s="3702"/>
      <c r="H14" s="3703" t="s">
        <v>221</v>
      </c>
      <c r="I14" s="2921" t="s">
        <v>221</v>
      </c>
    </row>
    <row r="15" spans="2:9" ht="18" customHeight="1" x14ac:dyDescent="0.2">
      <c r="B15" s="2419" t="s">
        <v>2040</v>
      </c>
      <c r="C15" s="3149">
        <f>Table5!D10</f>
        <v>541.61226274555952</v>
      </c>
      <c r="D15" s="699" t="str">
        <f>Table5!G10</f>
        <v>NO</v>
      </c>
      <c r="E15" s="3125">
        <f>Table5!H10</f>
        <v>236.19049399142881</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5" t="s">
        <v>2171</v>
      </c>
      <c r="C250" s="4546"/>
      <c r="D250" s="4546"/>
      <c r="E250" s="4546"/>
      <c r="F250" s="4546"/>
      <c r="G250" s="4547"/>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2011</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423745.87394956272</v>
      </c>
      <c r="D10" s="3840">
        <f>SUM(D11,D22,D30,D41,D50,D56)</f>
        <v>407763.05016614014</v>
      </c>
      <c r="E10" s="3842">
        <f>IF(D10="NO",IF(C10="NO","NA",-C10),IF(C10="NO",D10,D10-C10))</f>
        <v>-15982.823783422587</v>
      </c>
      <c r="F10" s="3840">
        <f>IF(E10="NA","NA",E10/C10*100)</f>
        <v>-3.7717945509305366</v>
      </c>
      <c r="G10" s="3843">
        <f>IF(E10="NA","NA",E10/Table8s2!$G$35*100)</f>
        <v>-2.9190292034711609</v>
      </c>
      <c r="H10" s="3844">
        <f>IF(E10="NA","NA",E10/Table8s2!$G$34*100)</f>
        <v>-2.7671193803606995</v>
      </c>
      <c r="I10" s="4488">
        <f>SUM(I11,I22,I30,I41,I50,I56)</f>
        <v>139498.74326109022</v>
      </c>
      <c r="J10" s="3840">
        <f>SUM(J11,J22,J30,J41,J50,J56)</f>
        <v>140474.29085341963</v>
      </c>
      <c r="K10" s="3842">
        <f t="shared" ref="K10:K12" si="0">IF(J10="NO",IF(I10="NO","NA",-I10),IF(I10="NO",J10,J10-I10))</f>
        <v>975.54759232941433</v>
      </c>
      <c r="L10" s="3840">
        <f t="shared" ref="L10:L12" si="1">IF(K10="NA","NA",K10/I10*100)</f>
        <v>0.69932357060991501</v>
      </c>
      <c r="M10" s="3843">
        <f>IF(K10="NA","NA",K10/Table8s2!$G$35*100)</f>
        <v>0.17816951184427926</v>
      </c>
      <c r="N10" s="3844">
        <f>IF(K10="NA","NA",K10/Table8s2!$G$34*100)</f>
        <v>0.16889735417084575</v>
      </c>
      <c r="O10" s="4488">
        <f>SUM(O11,O22,O30,O41,O50,O56)</f>
        <v>22985.119447513389</v>
      </c>
      <c r="P10" s="3840">
        <f>SUM(P11,P22,P30,P41,P50,P56)</f>
        <v>21548.94595016677</v>
      </c>
      <c r="Q10" s="3842">
        <f t="shared" ref="Q10:Q12" si="2">IF(P10="NO",IF(O10="NO","NA",-O10),IF(O10="NO",P10,P10-O10))</f>
        <v>-1436.1734973466191</v>
      </c>
      <c r="R10" s="3840">
        <f t="shared" ref="R10:R12" si="3">IF(Q10="NA","NA",Q10/O10*100)</f>
        <v>-6.2482751095817752</v>
      </c>
      <c r="S10" s="3843">
        <f>IF(Q10="NA","NA",Q10/Table8s2!$G$35*100)</f>
        <v>-0.26229610216651977</v>
      </c>
      <c r="T10" s="3844">
        <f>IF(Q10="NA","NA",Q10/Table8s2!$G$34*100)</f>
        <v>-0.24864589461282438</v>
      </c>
    </row>
    <row r="11" spans="2:20" ht="18" customHeight="1" x14ac:dyDescent="0.2">
      <c r="B11" s="1404" t="s">
        <v>1921</v>
      </c>
      <c r="C11" s="3841">
        <f>SUM(C12,C18,C21)</f>
        <v>377978.03559960279</v>
      </c>
      <c r="D11" s="3841">
        <f>Summary2!C11</f>
        <v>377579.38751233678</v>
      </c>
      <c r="E11" s="3845">
        <f t="shared" ref="E11:E38" si="4">IF(D11="NO",IF(C11="NO","NA",-C11),IF(C11="NO",D11,D11-C11))</f>
        <v>-398.64808726601768</v>
      </c>
      <c r="F11" s="3841">
        <f t="shared" ref="F11:F38" si="5">IF(E11="NA","NA",E11/C11*100)</f>
        <v>-0.10546858539904973</v>
      </c>
      <c r="G11" s="3846">
        <f>IF(E11="NA","NA",E11/Table8s2!$G$35*100)</f>
        <v>-7.2807247605669104E-2</v>
      </c>
      <c r="H11" s="3847">
        <f>IF(E11="NA","NA",E11/Table8s2!$G$34*100)</f>
        <v>-6.9018270060742667E-2</v>
      </c>
      <c r="I11" s="3848">
        <f>SUM(I12,I18,I21)</f>
        <v>37965.792125976222</v>
      </c>
      <c r="J11" s="3841">
        <f>Summary2!D11</f>
        <v>38195.489009275931</v>
      </c>
      <c r="K11" s="3845">
        <f t="shared" si="0"/>
        <v>229.69688329970813</v>
      </c>
      <c r="L11" s="3841">
        <f t="shared" si="1"/>
        <v>0.60501011683765016</v>
      </c>
      <c r="M11" s="3846">
        <f>IF(K11="NA","NA",K11/Table8s2!$G$35*100)</f>
        <v>4.1950779122872553E-2</v>
      </c>
      <c r="N11" s="3847">
        <f>IF(K11="NA","NA",K11/Table8s2!$G$34*100)</f>
        <v>3.9767609653953415E-2</v>
      </c>
      <c r="O11" s="3848">
        <f>SUM(O12,O18,O21)</f>
        <v>3289.2227465192191</v>
      </c>
      <c r="P11" s="3841">
        <f>Summary2!E11</f>
        <v>3294.5561722709208</v>
      </c>
      <c r="Q11" s="3845">
        <f t="shared" si="2"/>
        <v>5.3334257517017249</v>
      </c>
      <c r="R11" s="3841">
        <f t="shared" si="3"/>
        <v>0.16214851236042799</v>
      </c>
      <c r="S11" s="3846">
        <f>IF(Q11="NA","NA",Q11/Table8s2!$G$35*100)</f>
        <v>9.7407227500750286E-4</v>
      </c>
      <c r="T11" s="3847">
        <f>IF(Q11="NA","NA",Q11/Table8s2!$G$34*100)</f>
        <v>9.233803714057046E-4</v>
      </c>
    </row>
    <row r="12" spans="2:20" ht="18" customHeight="1" x14ac:dyDescent="0.2">
      <c r="B12" s="606" t="s">
        <v>242</v>
      </c>
      <c r="C12" s="3841">
        <f>SUM(C13:C17)</f>
        <v>370103.84032479697</v>
      </c>
      <c r="D12" s="3841">
        <f>Summary2!C12</f>
        <v>369696.78610851301</v>
      </c>
      <c r="E12" s="3841">
        <f t="shared" si="4"/>
        <v>-407.05421628395561</v>
      </c>
      <c r="F12" s="3849">
        <f t="shared" si="5"/>
        <v>-0.10998378615221384</v>
      </c>
      <c r="G12" s="3846">
        <f>IF(E12="NA","NA",E12/Table8s2!$G$35*100)</f>
        <v>-7.4342504230156065E-2</v>
      </c>
      <c r="H12" s="3847">
        <f>IF(E12="NA","NA",E12/Table8s2!$G$34*100)</f>
        <v>-7.0473630066868409E-2</v>
      </c>
      <c r="I12" s="3848">
        <f>SUM(I13:I17)</f>
        <v>2136.2558993712005</v>
      </c>
      <c r="J12" s="3841">
        <f>Summary2!D12</f>
        <v>2140.176697784932</v>
      </c>
      <c r="K12" s="3841">
        <f t="shared" si="0"/>
        <v>3.9207984137315179</v>
      </c>
      <c r="L12" s="3849">
        <f t="shared" si="1"/>
        <v>0.18353598999471885</v>
      </c>
      <c r="M12" s="3846">
        <f>IF(K12="NA","NA",K12/Table8s2!$G$35*100)</f>
        <v>7.1607653476580277E-4</v>
      </c>
      <c r="N12" s="3847">
        <f>IF(K12="NA","NA",K12/Table8s2!$G$34*100)</f>
        <v>6.7881104266299323E-4</v>
      </c>
      <c r="O12" s="3850">
        <f>SUM(O13:O17)</f>
        <v>3266.7380940592084</v>
      </c>
      <c r="P12" s="3849">
        <f>Summary2!E12</f>
        <v>3272.0715198109101</v>
      </c>
      <c r="Q12" s="3841">
        <f t="shared" si="2"/>
        <v>5.3334257517017249</v>
      </c>
      <c r="R12" s="3849">
        <f t="shared" si="3"/>
        <v>0.1632645653901956</v>
      </c>
      <c r="S12" s="3846">
        <f>IF(Q12="NA","NA",Q12/Table8s2!$G$35*100)</f>
        <v>9.7407227500750286E-4</v>
      </c>
      <c r="T12" s="3847">
        <f>IF(Q12="NA","NA",Q12/Table8s2!$G$34*100)</f>
        <v>9.233803714057046E-4</v>
      </c>
    </row>
    <row r="13" spans="2:20" ht="18" customHeight="1" x14ac:dyDescent="0.2">
      <c r="B13" s="1391" t="s">
        <v>1923</v>
      </c>
      <c r="C13" s="3849">
        <v>219385.68524467025</v>
      </c>
      <c r="D13" s="3841">
        <f>Summary2!C13</f>
        <v>219013.47583026011</v>
      </c>
      <c r="E13" s="3841">
        <f t="shared" si="4"/>
        <v>-372.20941441014293</v>
      </c>
      <c r="F13" s="3849">
        <f t="shared" si="5"/>
        <v>-0.169659845397404</v>
      </c>
      <c r="G13" s="3846">
        <f>IF(E13="NA","NA",E13/Table8s2!$G$35*100)</f>
        <v>-6.7978610362770572E-2</v>
      </c>
      <c r="H13" s="3847">
        <f>IF(E13="NA","NA",E13/Table8s2!$G$34*100)</f>
        <v>-6.4440920961368386E-2</v>
      </c>
      <c r="I13" s="3848">
        <v>506.79485974625737</v>
      </c>
      <c r="J13" s="3841">
        <f>Summary2!D13</f>
        <v>506.10194989514986</v>
      </c>
      <c r="K13" s="3841">
        <f t="shared" ref="K13" si="6">IF(J13="NO",IF(I13="NO","NA",-I13),IF(I13="NO",J13,J13-I13))</f>
        <v>-0.69290985110751535</v>
      </c>
      <c r="L13" s="3849">
        <f t="shared" ref="L13" si="7">IF(K13="NA","NA",K13/I13*100)</f>
        <v>-0.13672393035999661</v>
      </c>
      <c r="M13" s="3846">
        <f>IF(K13="NA","NA",K13/Table8s2!$G$35*100)</f>
        <v>-1.2654985865849066E-4</v>
      </c>
      <c r="N13" s="3847">
        <f>IF(K13="NA","NA",K13/Table8s2!$G$34*100)</f>
        <v>-1.1996405039709857E-4</v>
      </c>
      <c r="O13" s="3850">
        <v>1110.5418686722633</v>
      </c>
      <c r="P13" s="3849">
        <f>Summary2!E13</f>
        <v>1108.7977471815962</v>
      </c>
      <c r="Q13" s="3841">
        <f t="shared" ref="Q13" si="8">IF(P13="NO",IF(O13="NO","NA",-O13),IF(O13="NO",P13,P13-O13))</f>
        <v>-1.7441214906671121</v>
      </c>
      <c r="R13" s="3849">
        <f t="shared" ref="R13" si="9">IF(Q13="NA","NA",Q13/O13*100)</f>
        <v>-0.15705139444695959</v>
      </c>
      <c r="S13" s="3846">
        <f>IF(Q13="NA","NA",Q13/Table8s2!$G$35*100)</f>
        <v>-3.1853830303375395E-4</v>
      </c>
      <c r="T13" s="3847">
        <f>IF(Q13="NA","NA",Q13/Table8s2!$G$34*100)</f>
        <v>-3.0196118307543969E-4</v>
      </c>
    </row>
    <row r="14" spans="2:20" ht="18" customHeight="1" x14ac:dyDescent="0.2">
      <c r="B14" s="1391" t="s">
        <v>1976</v>
      </c>
      <c r="C14" s="3849">
        <v>40476.859709533965</v>
      </c>
      <c r="D14" s="3841">
        <f>Summary2!C14</f>
        <v>40476.85970953395</v>
      </c>
      <c r="E14" s="3841">
        <f t="shared" si="4"/>
        <v>-1.4551915228366852E-11</v>
      </c>
      <c r="F14" s="3849">
        <f t="shared" si="5"/>
        <v>-3.5951196147114342E-14</v>
      </c>
      <c r="G14" s="3846">
        <f>IF(E14="NA","NA",E14/Table8s2!$G$35*100)</f>
        <v>-2.6576946660762942E-15</v>
      </c>
      <c r="H14" s="3847">
        <f>IF(E14="NA","NA",E14/Table8s2!$G$34*100)</f>
        <v>-2.5193850095215841E-15</v>
      </c>
      <c r="I14" s="3848">
        <v>63.760355264622049</v>
      </c>
      <c r="J14" s="3841">
        <f>Summary2!D14</f>
        <v>63.760355264622049</v>
      </c>
      <c r="K14" s="3841">
        <f t="shared" ref="K14:K20" si="10">IF(J14="NO",IF(I14="NO","NA",-I14),IF(I14="NO",J14,J14-I14))</f>
        <v>0</v>
      </c>
      <c r="L14" s="3849">
        <f t="shared" ref="L14:L20" si="11">IF(K14="NA","NA",K14/I14*100)</f>
        <v>0</v>
      </c>
      <c r="M14" s="3846">
        <f>IF(K14="NA","NA",K14/Table8s2!$G$35*100)</f>
        <v>0</v>
      </c>
      <c r="N14" s="3847">
        <f>IF(K14="NA","NA",K14/Table8s2!$G$34*100)</f>
        <v>0</v>
      </c>
      <c r="O14" s="3850">
        <v>342.87654486341648</v>
      </c>
      <c r="P14" s="3849">
        <f>Summary2!E14</f>
        <v>342.87654486341665</v>
      </c>
      <c r="Q14" s="3841">
        <f t="shared" ref="Q14:Q20" si="12">IF(P14="NO",IF(O14="NO","NA",-O14),IF(O14="NO",P14,P14-O14))</f>
        <v>1.7053025658242404E-13</v>
      </c>
      <c r="R14" s="3849">
        <f t="shared" ref="R14:R20" si="13">IF(Q14="NA","NA",Q14/O14*100)</f>
        <v>4.9735177030074806E-14</v>
      </c>
      <c r="S14" s="3846">
        <f>IF(Q14="NA","NA",Q14/Table8s2!$G$35*100)</f>
        <v>3.1144859368081572E-17</v>
      </c>
      <c r="T14" s="3847">
        <f>IF(Q14="NA","NA",Q14/Table8s2!$G$34*100)</f>
        <v>2.9524043080331062E-17</v>
      </c>
    </row>
    <row r="15" spans="2:20" ht="18" customHeight="1" x14ac:dyDescent="0.2">
      <c r="B15" s="1391" t="s">
        <v>1925</v>
      </c>
      <c r="C15" s="3849">
        <v>89170.954498498526</v>
      </c>
      <c r="D15" s="3841">
        <f>Summary2!C15</f>
        <v>89136.106454077162</v>
      </c>
      <c r="E15" s="3841">
        <f t="shared" si="4"/>
        <v>-34.848044421363738</v>
      </c>
      <c r="F15" s="3849">
        <f t="shared" si="5"/>
        <v>-3.9080039702782947E-2</v>
      </c>
      <c r="G15" s="3846">
        <f>IF(E15="NA","NA",E15/Table8s2!$G$35*100)</f>
        <v>-6.3644860713116128E-3</v>
      </c>
      <c r="H15" s="3847">
        <f>IF(E15="NA","NA",E15/Table8s2!$G$34*100)</f>
        <v>-6.0332704904149789E-3</v>
      </c>
      <c r="I15" s="3848">
        <v>466.20456907319573</v>
      </c>
      <c r="J15" s="3841">
        <f>Summary2!D15</f>
        <v>470.15026113540273</v>
      </c>
      <c r="K15" s="3841">
        <f t="shared" si="10"/>
        <v>3.9456920622070015</v>
      </c>
      <c r="L15" s="3849">
        <f t="shared" si="11"/>
        <v>0.84634349896032746</v>
      </c>
      <c r="M15" s="3846">
        <f>IF(K15="NA","NA",K15/Table8s2!$G$35*100)</f>
        <v>7.2062299588340891E-4</v>
      </c>
      <c r="N15" s="3847">
        <f>IF(K15="NA","NA",K15/Table8s2!$G$34*100)</f>
        <v>6.8312090042516429E-4</v>
      </c>
      <c r="O15" s="3850">
        <v>1633.3945499466515</v>
      </c>
      <c r="P15" s="3849">
        <f>Summary2!E15</f>
        <v>1640.4210986176988</v>
      </c>
      <c r="Q15" s="3841">
        <f t="shared" si="12"/>
        <v>7.0265486710472942</v>
      </c>
      <c r="R15" s="3849">
        <f t="shared" si="13"/>
        <v>0.43018073442676719</v>
      </c>
      <c r="S15" s="3846">
        <f>IF(Q15="NA","NA",Q15/Table8s2!$G$35*100)</f>
        <v>1.2832964342428816E-3</v>
      </c>
      <c r="T15" s="3847">
        <f>IF(Q15="NA","NA",Q15/Table8s2!$G$34*100)</f>
        <v>1.2165121300323233E-3</v>
      </c>
    </row>
    <row r="16" spans="2:20" ht="18" customHeight="1" x14ac:dyDescent="0.2">
      <c r="B16" s="1391" t="s">
        <v>1926</v>
      </c>
      <c r="C16" s="3849">
        <v>20179.949209216084</v>
      </c>
      <c r="D16" s="3841">
        <f>Summary2!C16</f>
        <v>20179.952444306131</v>
      </c>
      <c r="E16" s="3841">
        <f t="shared" si="4"/>
        <v>3.2350900473829824E-3</v>
      </c>
      <c r="F16" s="3849">
        <f t="shared" si="5"/>
        <v>1.6031210058276721E-5</v>
      </c>
      <c r="G16" s="3846">
        <f>IF(E16="NA","NA",E16/Table8s2!$G$35*100)</f>
        <v>5.9084192206163578E-7</v>
      </c>
      <c r="H16" s="3847">
        <f>IF(E16="NA","NA",E16/Table8s2!$G$34*100)</f>
        <v>5.6009379122419974E-7</v>
      </c>
      <c r="I16" s="3848">
        <v>1098.6150198158828</v>
      </c>
      <c r="J16" s="3841">
        <f>Summary2!D16</f>
        <v>1099.2821992863105</v>
      </c>
      <c r="K16" s="3841">
        <f t="shared" si="10"/>
        <v>0.6671794704277545</v>
      </c>
      <c r="L16" s="3849">
        <f t="shared" si="11"/>
        <v>6.0729141545831707E-2</v>
      </c>
      <c r="M16" s="3846">
        <f>IF(K16="NA","NA",K16/Table8s2!$G$35*100)</f>
        <v>1.2185058063112767E-4</v>
      </c>
      <c r="N16" s="3847">
        <f>IF(K16="NA","NA",K16/Table8s2!$G$34*100)</f>
        <v>1.1550932850265632E-4</v>
      </c>
      <c r="O16" s="3850">
        <v>173.22670198708607</v>
      </c>
      <c r="P16" s="3849">
        <f>Summary2!E16</f>
        <v>173.27767059402439</v>
      </c>
      <c r="Q16" s="3841">
        <f t="shared" si="12"/>
        <v>5.0968606938312178E-2</v>
      </c>
      <c r="R16" s="3849">
        <f t="shared" si="13"/>
        <v>2.942306604793056E-2</v>
      </c>
      <c r="S16" s="3846">
        <f>IF(Q16="NA","NA",Q16/Table8s2!$G$35*100)</f>
        <v>9.3086712416544173E-6</v>
      </c>
      <c r="T16" s="3847">
        <f>IF(Q16="NA","NA",Q16/Table8s2!$G$34*100)</f>
        <v>8.8242366905949043E-6</v>
      </c>
    </row>
    <row r="17" spans="2:20" ht="18" customHeight="1" x14ac:dyDescent="0.2">
      <c r="B17" s="1391" t="s">
        <v>1927</v>
      </c>
      <c r="C17" s="3849">
        <v>890.39166287810417</v>
      </c>
      <c r="D17" s="3841">
        <f>Summary2!C17</f>
        <v>890.39167033567935</v>
      </c>
      <c r="E17" s="3841">
        <f t="shared" si="4"/>
        <v>7.4575751796146506E-6</v>
      </c>
      <c r="F17" s="3849">
        <f t="shared" si="5"/>
        <v>8.375612093568764E-7</v>
      </c>
      <c r="G17" s="3846">
        <f>IF(E17="NA","NA",E17/Table8s2!$G$35*100)</f>
        <v>1.3620171273461435E-9</v>
      </c>
      <c r="H17" s="3847">
        <f>IF(E17="NA","NA",E17/Table8s2!$G$34*100)</f>
        <v>1.2911361027087294E-9</v>
      </c>
      <c r="I17" s="3848">
        <v>0.88109547124258436</v>
      </c>
      <c r="J17" s="3841">
        <f>Summary2!D17</f>
        <v>0.88193220344671164</v>
      </c>
      <c r="K17" s="3841">
        <f t="shared" si="10"/>
        <v>8.3673220412727733E-4</v>
      </c>
      <c r="L17" s="3849">
        <f t="shared" si="11"/>
        <v>9.4964987499851439E-2</v>
      </c>
      <c r="M17" s="3846">
        <f>IF(K17="NA","NA",K17/Table8s2!$G$35*100)</f>
        <v>1.5281690972940741E-7</v>
      </c>
      <c r="N17" s="3847">
        <f>IF(K17="NA","NA",K17/Table8s2!$G$34*100)</f>
        <v>1.4486413224514099E-7</v>
      </c>
      <c r="O17" s="3850">
        <v>6.6984285897911411</v>
      </c>
      <c r="P17" s="3849">
        <f>Summary2!E17</f>
        <v>6.6984585541741266</v>
      </c>
      <c r="Q17" s="3841">
        <f t="shared" si="12"/>
        <v>2.9964382985525617E-5</v>
      </c>
      <c r="R17" s="3849">
        <f t="shared" si="13"/>
        <v>4.4733451411564445E-4</v>
      </c>
      <c r="S17" s="3846">
        <f>IF(Q17="NA","NA",Q17/Table8s2!$G$35*100)</f>
        <v>5.4725566760902713E-9</v>
      </c>
      <c r="T17" s="3847">
        <f>IF(Q17="NA","NA",Q17/Table8s2!$G$34*100)</f>
        <v>5.1877581836194653E-9</v>
      </c>
    </row>
    <row r="18" spans="2:20" ht="18" customHeight="1" x14ac:dyDescent="0.2">
      <c r="B18" s="606" t="s">
        <v>201</v>
      </c>
      <c r="C18" s="3849">
        <f>SUM(C19:C20)</f>
        <v>7874.1952748058065</v>
      </c>
      <c r="D18" s="3841">
        <f>Summary2!C18</f>
        <v>7882.6014038237718</v>
      </c>
      <c r="E18" s="3841">
        <f t="shared" si="4"/>
        <v>8.4061290179652133</v>
      </c>
      <c r="F18" s="3849">
        <f t="shared" si="5"/>
        <v>0.10675540451557478</v>
      </c>
      <c r="G18" s="3846">
        <f>IF(E18="NA","NA",E18/Table8s2!$G$35*100)</f>
        <v>1.5352566244919369E-3</v>
      </c>
      <c r="H18" s="3847">
        <f>IF(E18="NA","NA",E18/Table8s2!$G$34*100)</f>
        <v>1.4553600061304626E-3</v>
      </c>
      <c r="I18" s="3848">
        <f>SUM(I19:I20)</f>
        <v>35829.536226605022</v>
      </c>
      <c r="J18" s="3841">
        <f>Summary2!D18</f>
        <v>36055.312311490998</v>
      </c>
      <c r="K18" s="3841">
        <f t="shared" si="10"/>
        <v>225.77608488597616</v>
      </c>
      <c r="L18" s="3849">
        <f t="shared" si="11"/>
        <v>0.63013956825466078</v>
      </c>
      <c r="M18" s="3846">
        <f>IF(K18="NA","NA",K18/Table8s2!$G$35*100)</f>
        <v>4.1234702588106666E-2</v>
      </c>
      <c r="N18" s="3847">
        <f>IF(K18="NA","NA",K18/Table8s2!$G$34*100)</f>
        <v>3.9088798611290346E-2</v>
      </c>
      <c r="O18" s="3850">
        <f>SUM(O19:O20)</f>
        <v>22.484652460010565</v>
      </c>
      <c r="P18" s="3849">
        <f>Summary2!E18</f>
        <v>22.484652460010565</v>
      </c>
      <c r="Q18" s="3841">
        <f t="shared" si="12"/>
        <v>0</v>
      </c>
      <c r="R18" s="3849">
        <f t="shared" si="13"/>
        <v>0</v>
      </c>
      <c r="S18" s="3846">
        <f>IF(Q18="NA","NA",Q18/Table8s2!$G$35*100)</f>
        <v>0</v>
      </c>
      <c r="T18" s="3847">
        <f>IF(Q18="NA","NA",Q18/Table8s2!$G$34*100)</f>
        <v>0</v>
      </c>
    </row>
    <row r="19" spans="2:20" ht="18" customHeight="1" x14ac:dyDescent="0.2">
      <c r="B19" s="1391" t="s">
        <v>1928</v>
      </c>
      <c r="C19" s="3849">
        <v>1545.9622565642071</v>
      </c>
      <c r="D19" s="3841">
        <f>Summary2!C19</f>
        <v>1545.9622565642071</v>
      </c>
      <c r="E19" s="3841">
        <f t="shared" si="4"/>
        <v>0</v>
      </c>
      <c r="F19" s="3849">
        <f t="shared" si="5"/>
        <v>0</v>
      </c>
      <c r="G19" s="3846">
        <f>IF(E19="NA","NA",E19/Table8s2!$G$35*100)</f>
        <v>0</v>
      </c>
      <c r="H19" s="3847">
        <f>IF(E19="NA","NA",E19/Table8s2!$G$34*100)</f>
        <v>0</v>
      </c>
      <c r="I19" s="3848">
        <v>29970.347036959141</v>
      </c>
      <c r="J19" s="3841">
        <f>Summary2!D19</f>
        <v>29970.347036959141</v>
      </c>
      <c r="K19" s="3841">
        <f t="shared" si="10"/>
        <v>0</v>
      </c>
      <c r="L19" s="3849">
        <f t="shared" si="11"/>
        <v>0</v>
      </c>
      <c r="M19" s="3846">
        <f>IF(K19="NA","NA",K19/Table8s2!$G$35*100)</f>
        <v>0</v>
      </c>
      <c r="N19" s="3847">
        <f>IF(K19="NA","NA",K19/Table8s2!$G$34*100)</f>
        <v>0</v>
      </c>
      <c r="O19" s="3850">
        <v>8.2885806414662394E-2</v>
      </c>
      <c r="P19" s="3849">
        <f>Summary2!E19</f>
        <v>8.2885806414662394E-2</v>
      </c>
      <c r="Q19" s="3841">
        <f t="shared" si="12"/>
        <v>0</v>
      </c>
      <c r="R19" s="3849">
        <f t="shared" si="13"/>
        <v>0</v>
      </c>
      <c r="S19" s="3846">
        <f>IF(Q19="NA","NA",Q19/Table8s2!$G$35*100)</f>
        <v>0</v>
      </c>
      <c r="T19" s="3847">
        <f>IF(Q19="NA","NA",Q19/Table8s2!$G$34*100)</f>
        <v>0</v>
      </c>
    </row>
    <row r="20" spans="2:20" ht="18" customHeight="1" x14ac:dyDescent="0.2">
      <c r="B20" s="1392" t="s">
        <v>1929</v>
      </c>
      <c r="C20" s="3851">
        <v>6328.233018241599</v>
      </c>
      <c r="D20" s="3852">
        <f>Summary2!C20</f>
        <v>6336.6391472595651</v>
      </c>
      <c r="E20" s="3852">
        <f t="shared" si="4"/>
        <v>8.4061290179661228</v>
      </c>
      <c r="F20" s="3851">
        <f t="shared" si="5"/>
        <v>0.13283532691882291</v>
      </c>
      <c r="G20" s="3853">
        <f>IF(E20="NA","NA",E20/Table8s2!$G$35*100)</f>
        <v>1.535256624492103E-3</v>
      </c>
      <c r="H20" s="3854">
        <f>IF(E20="NA","NA",E20/Table8s2!$G$34*100)</f>
        <v>1.45536000613062E-3</v>
      </c>
      <c r="I20" s="3855">
        <v>5859.1891896458819</v>
      </c>
      <c r="J20" s="3852">
        <f>Summary2!D20</f>
        <v>6084.9652745318572</v>
      </c>
      <c r="K20" s="3841">
        <f t="shared" si="10"/>
        <v>225.77608488597525</v>
      </c>
      <c r="L20" s="3849">
        <f t="shared" si="11"/>
        <v>3.8533673786290681</v>
      </c>
      <c r="M20" s="3846">
        <f>IF(K20="NA","NA",K20/Table8s2!$G$35*100)</f>
        <v>4.1234702588106506E-2</v>
      </c>
      <c r="N20" s="3847">
        <f>IF(K20="NA","NA",K20/Table8s2!$G$34*100)</f>
        <v>3.9088798611290186E-2</v>
      </c>
      <c r="O20" s="3856">
        <v>22.401766653595903</v>
      </c>
      <c r="P20" s="3851">
        <f>Summary2!E20</f>
        <v>22.401766653595899</v>
      </c>
      <c r="Q20" s="3841">
        <f t="shared" si="12"/>
        <v>-3.5527136788005009E-15</v>
      </c>
      <c r="R20" s="3849">
        <f t="shared" si="13"/>
        <v>-1.5859078142081369E-14</v>
      </c>
      <c r="S20" s="3846">
        <f>IF(Q20="NA","NA",Q20/Table8s2!$G$35*100)</f>
        <v>-6.4885123683503275E-19</v>
      </c>
      <c r="T20" s="3847">
        <f>IF(Q20="NA","NA",Q20/Table8s2!$G$34*100)</f>
        <v>-6.1508423084023049E-19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24047.7278792119</v>
      </c>
      <c r="D22" s="3841">
        <f>Summary2!C22</f>
        <v>24047.683142812897</v>
      </c>
      <c r="E22" s="3863">
        <f t="shared" si="4"/>
        <v>-4.4736399002431426E-2</v>
      </c>
      <c r="F22" s="3863">
        <f t="shared" si="5"/>
        <v>-1.860317083889821E-4</v>
      </c>
      <c r="G22" s="3864">
        <f>IF(E22="NA","NA",E22/Table8s2!$G$35*100)</f>
        <v>-8.1704495348112611E-6</v>
      </c>
      <c r="H22" s="3865">
        <f>IF(E22="NA","NA",E22/Table8s2!$G$34*100)</f>
        <v>-7.7452494230445872E-6</v>
      </c>
      <c r="I22" s="3841">
        <f>SUM(I23:I29)</f>
        <v>109.302626539648</v>
      </c>
      <c r="J22" s="3841">
        <f>Summary2!D22</f>
        <v>109.302626539648</v>
      </c>
      <c r="K22" s="3863">
        <f t="shared" ref="K22" si="14">IF(J22="NO",IF(I22="NO","NA",-I22),IF(I22="NO",J22,J22-I22))</f>
        <v>0</v>
      </c>
      <c r="L22" s="3863">
        <f t="shared" ref="L22" si="15">IF(K22="NA","NA",K22/I22*100)</f>
        <v>0</v>
      </c>
      <c r="M22" s="3864">
        <f>IF(K22="NA","NA",K22/Table8s2!$G$35*100)</f>
        <v>0</v>
      </c>
      <c r="N22" s="3865">
        <f>IF(K22="NA","NA",K22/Table8s2!$G$34*100)</f>
        <v>0</v>
      </c>
      <c r="O22" s="3841">
        <f>SUM(O23:O29)</f>
        <v>2289.6010613158264</v>
      </c>
      <c r="P22" s="3841">
        <f>Summary2!E22</f>
        <v>2289.6010613158264</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6453.9565708100217</v>
      </c>
      <c r="D23" s="3841">
        <f>Summary2!C23</f>
        <v>6453.9523771024305</v>
      </c>
      <c r="E23" s="3841">
        <f t="shared" si="4"/>
        <v>-4.1937075911846478E-3</v>
      </c>
      <c r="F23" s="3849">
        <f t="shared" si="5"/>
        <v>-6.4978862890896472E-5</v>
      </c>
      <c r="G23" s="3846">
        <f>IF(E23="NA","NA",E23/Table8s2!$G$35*100)</f>
        <v>-7.6591940794489917E-7</v>
      </c>
      <c r="H23" s="3847">
        <f>IF(E23="NA","NA",E23/Table8s2!$G$34*100)</f>
        <v>-7.2606003221840076E-7</v>
      </c>
      <c r="I23" s="1950"/>
      <c r="J23" s="1950"/>
      <c r="K23" s="1950"/>
      <c r="L23" s="1950"/>
      <c r="M23" s="1950"/>
      <c r="N23" s="1950"/>
      <c r="O23" s="1950"/>
      <c r="P23" s="1950"/>
      <c r="Q23" s="1950"/>
      <c r="R23" s="1950"/>
      <c r="S23" s="1950"/>
      <c r="T23" s="1950"/>
    </row>
    <row r="24" spans="2:20" ht="18" customHeight="1" x14ac:dyDescent="0.2">
      <c r="B24" s="1393" t="s">
        <v>846</v>
      </c>
      <c r="C24" s="3841">
        <v>3536.9372239139716</v>
      </c>
      <c r="D24" s="3841">
        <f>Summary2!C24</f>
        <v>3536.8966812225599</v>
      </c>
      <c r="E24" s="3841">
        <f t="shared" si="4"/>
        <v>-4.0542691411701526E-2</v>
      </c>
      <c r="F24" s="3849">
        <f t="shared" si="5"/>
        <v>-1.1462655072751622E-3</v>
      </c>
      <c r="G24" s="3846">
        <f>IF(E24="NA","NA",E24/Table8s2!$G$35*100)</f>
        <v>-7.4045301269494149E-6</v>
      </c>
      <c r="H24" s="3847">
        <f>IF(E24="NA","NA",E24/Table8s2!$G$34*100)</f>
        <v>-7.0191893909049161E-6</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2267.7053291036164</v>
      </c>
      <c r="P24" s="3849">
        <f>Summary2!E24</f>
        <v>2267.7053291036164</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13563.090273006292</v>
      </c>
      <c r="D25" s="3841">
        <f>Summary2!C25</f>
        <v>13563.090273006292</v>
      </c>
      <c r="E25" s="3841">
        <f t="shared" si="4"/>
        <v>0</v>
      </c>
      <c r="F25" s="3849">
        <f t="shared" si="5"/>
        <v>0</v>
      </c>
      <c r="G25" s="3846">
        <f>IF(E25="NA","NA",E25/Table8s2!$G$35*100)</f>
        <v>0</v>
      </c>
      <c r="H25" s="3847">
        <f>IF(E25="NA","NA",E25/Table8s2!$G$34*100)</f>
        <v>0</v>
      </c>
      <c r="I25" s="3848">
        <v>93.125245739648008</v>
      </c>
      <c r="J25" s="3841">
        <f>Summary2!D25</f>
        <v>93.125245739648008</v>
      </c>
      <c r="K25" s="3841">
        <f t="shared" ref="K25:K26" si="22">IF(J25="NO",IF(I25="NO","NA",-I25),IF(I25="NO",J25,J25-I25))</f>
        <v>0</v>
      </c>
      <c r="L25" s="3849">
        <f t="shared" ref="L25:L26" si="23">IF(K25="NA","NA",K25/I25*100)</f>
        <v>0</v>
      </c>
      <c r="M25" s="3846">
        <f>IF(K25="NA","NA",K25/Table8s2!$G$35*100)</f>
        <v>0</v>
      </c>
      <c r="N25" s="3847">
        <f>IF(K25="NA","NA",K25/Table8s2!$G$34*100)</f>
        <v>0</v>
      </c>
      <c r="O25" s="3850">
        <v>21.895732212209946</v>
      </c>
      <c r="P25" s="3849">
        <f>Summary2!E25</f>
        <v>21.895732212209946</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232.16629320999999</v>
      </c>
      <c r="D26" s="3841">
        <f>Summary2!C26</f>
        <v>232.16629320999996</v>
      </c>
      <c r="E26" s="3841">
        <f t="shared" si="4"/>
        <v>-2.8421709430404007E-14</v>
      </c>
      <c r="F26" s="3849">
        <f t="shared" si="5"/>
        <v>-1.2241962016723888E-14</v>
      </c>
      <c r="G26" s="3846">
        <f>IF(E26="NA","NA",E26/Table8s2!$G$35*100)</f>
        <v>-5.190809894680262E-18</v>
      </c>
      <c r="H26" s="3847">
        <f>IF(E26="NA","NA",E26/Table8s2!$G$34*100)</f>
        <v>-4.9206738467218439E-18</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261.5775182716128</v>
      </c>
      <c r="D29" s="3857">
        <f>Summary2!C30</f>
        <v>261.5775182716128</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2200.5507644848653</v>
      </c>
      <c r="D30" s="3877">
        <f>Summary2!C31</f>
        <v>2200.5507644848653</v>
      </c>
      <c r="E30" s="3863">
        <f t="shared" si="4"/>
        <v>0</v>
      </c>
      <c r="F30" s="3878">
        <f t="shared" si="5"/>
        <v>0</v>
      </c>
      <c r="G30" s="3879">
        <f>IF(E30="NA","NA",E30/Table8s2!$G$35*100)</f>
        <v>0</v>
      </c>
      <c r="H30" s="3880">
        <f>IF(E30="NA","NA",E30/Table8s2!$G$34*100)</f>
        <v>0</v>
      </c>
      <c r="I30" s="3876">
        <f>SUM(I31:I40)</f>
        <v>65864.383571217128</v>
      </c>
      <c r="J30" s="3877">
        <f>Summary2!D31</f>
        <v>65846.802830177883</v>
      </c>
      <c r="K30" s="3863">
        <f t="shared" ref="K30" si="28">IF(J30="NO",IF(I30="NO","NA",-I30),IF(I30="NO",J30,J30-I30))</f>
        <v>-17.580741039244458</v>
      </c>
      <c r="L30" s="3878">
        <f t="shared" ref="L30" si="29">IF(K30="NA","NA",K30/I30*100)</f>
        <v>-2.6692333680212683E-2</v>
      </c>
      <c r="M30" s="3879">
        <f>IF(K30="NA","NA",K30/Table8s2!$G$35*100)</f>
        <v>-3.2108654395255451E-3</v>
      </c>
      <c r="N30" s="3880">
        <f>IF(K30="NA","NA",K30/Table8s2!$G$34*100)</f>
        <v>-3.0437681044355783E-3</v>
      </c>
      <c r="O30" s="3876">
        <f>SUM(O31:O40)</f>
        <v>11866.962344942891</v>
      </c>
      <c r="P30" s="3877">
        <f>Summary2!E31</f>
        <v>10584.915394319942</v>
      </c>
      <c r="Q30" s="3863">
        <f t="shared" ref="Q30" si="30">IF(P30="NO",IF(O30="NO","NA",-O30),IF(O30="NO",P30,P30-O30))</f>
        <v>-1282.0469506229492</v>
      </c>
      <c r="R30" s="3882">
        <f t="shared" ref="R30" si="31">IF(Q30="NA","NA",Q30/O30*100)</f>
        <v>-10.803497250240234</v>
      </c>
      <c r="S30" s="3883">
        <f>IF(Q30="NA","NA",Q30/Table8s2!$G$35*100)</f>
        <v>-0.23414714069306652</v>
      </c>
      <c r="T30" s="3884">
        <f>IF(Q30="NA","NA",Q30/Table8s2!$G$34*100)</f>
        <v>-0.22196183926401375</v>
      </c>
    </row>
    <row r="31" spans="2:20" ht="18" customHeight="1" x14ac:dyDescent="0.2">
      <c r="B31" s="606" t="s">
        <v>1938</v>
      </c>
      <c r="C31" s="3869"/>
      <c r="D31" s="3869"/>
      <c r="E31" s="3870"/>
      <c r="F31" s="3870"/>
      <c r="G31" s="3871"/>
      <c r="H31" s="3872"/>
      <c r="I31" s="3848">
        <v>58542.948397874301</v>
      </c>
      <c r="J31" s="3841">
        <f>Summary2!D32</f>
        <v>58542.948397874294</v>
      </c>
      <c r="K31" s="3885">
        <f t="shared" ref="K31:K33" si="32">IF(J31="NO",IF(I31="NO","NA",-I31),IF(I31="NO",J31,J31-I31))</f>
        <v>-7.2759576141834259E-12</v>
      </c>
      <c r="L31" s="3885">
        <f t="shared" ref="L31:L33" si="33">IF(K31="NA","NA",K31/I31*100)</f>
        <v>-1.242840993373613E-14</v>
      </c>
      <c r="M31" s="3886">
        <f>IF(K31="NA","NA",K31/Table8s2!$G$35*100)</f>
        <v>-1.3288473330381471E-15</v>
      </c>
      <c r="N31" s="3887">
        <f>IF(K31="NA","NA",K31/Table8s2!$G$34*100)</f>
        <v>-1.259692504760792E-15</v>
      </c>
      <c r="O31" s="3888"/>
      <c r="P31" s="3889"/>
      <c r="Q31" s="3870"/>
      <c r="R31" s="3890"/>
      <c r="S31" s="3891"/>
      <c r="T31" s="3892"/>
    </row>
    <row r="32" spans="2:20" ht="18" customHeight="1" x14ac:dyDescent="0.2">
      <c r="B32" s="606" t="s">
        <v>1939</v>
      </c>
      <c r="C32" s="3893"/>
      <c r="D32" s="3893"/>
      <c r="E32" s="3894"/>
      <c r="F32" s="3894"/>
      <c r="G32" s="3871"/>
      <c r="H32" s="3872"/>
      <c r="I32" s="3848">
        <v>6702.252150866515</v>
      </c>
      <c r="J32" s="3849">
        <f>Summary2!D33</f>
        <v>6684.6714098272823</v>
      </c>
      <c r="K32" s="3895">
        <f t="shared" si="32"/>
        <v>-17.580741039232635</v>
      </c>
      <c r="L32" s="3895">
        <f t="shared" si="33"/>
        <v>-0.26231094628332763</v>
      </c>
      <c r="M32" s="3886">
        <f>IF(K32="NA","NA",K32/Table8s2!$G$35*100)</f>
        <v>-3.2108654395233854E-3</v>
      </c>
      <c r="N32" s="3887">
        <f>IF(K32="NA","NA",K32/Table8s2!$G$34*100)</f>
        <v>-3.0437681044335318E-3</v>
      </c>
      <c r="O32" s="3850">
        <v>434.46802546505967</v>
      </c>
      <c r="P32" s="3849">
        <f>Summary2!E33</f>
        <v>491.61821561191118</v>
      </c>
      <c r="Q32" s="3895">
        <f t="shared" ref="Q32" si="34">IF(P32="NO",IF(O32="NO","NA",-O32),IF(O32="NO",P32,P32-O32))</f>
        <v>57.150190146851514</v>
      </c>
      <c r="R32" s="3896">
        <f t="shared" ref="R32" si="35">IF(Q32="NA","NA",Q32/O32*100)</f>
        <v>13.15406124206201</v>
      </c>
      <c r="S32" s="3897">
        <f>IF(Q32="NA","NA",Q32/Table8s2!$G$35*100)</f>
        <v>1.0437647081839103E-2</v>
      </c>
      <c r="T32" s="3898">
        <f>IF(Q32="NA","NA",Q32/Table8s2!$G$34*100)</f>
        <v>9.8944592576110657E-3</v>
      </c>
    </row>
    <row r="33" spans="2:21" ht="18" customHeight="1" x14ac:dyDescent="0.2">
      <c r="B33" s="606" t="s">
        <v>1940</v>
      </c>
      <c r="C33" s="3893"/>
      <c r="D33" s="3893"/>
      <c r="E33" s="3894"/>
      <c r="F33" s="3894"/>
      <c r="G33" s="3899"/>
      <c r="H33" s="3900"/>
      <c r="I33" s="3850">
        <v>337.17817280000003</v>
      </c>
      <c r="J33" s="3849">
        <f>Summary2!D34</f>
        <v>337.17817280000003</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11322.242350056635</v>
      </c>
      <c r="P34" s="3849">
        <f>Summary2!E35</f>
        <v>9983.0452092868345</v>
      </c>
      <c r="Q34" s="3895">
        <f t="shared" ref="Q34" si="36">IF(P34="NO",IF(O34="NO","NA",-O34),IF(O34="NO",P34,P34-O34))</f>
        <v>-1339.1971407698002</v>
      </c>
      <c r="R34" s="3896">
        <f t="shared" ref="R34" si="37">IF(Q34="NA","NA",Q34/O34*100)</f>
        <v>-11.828020451824205</v>
      </c>
      <c r="S34" s="3897">
        <f>IF(Q34="NA","NA",Q34/Table8s2!$G$35*100)</f>
        <v>-0.2445847877749055</v>
      </c>
      <c r="T34" s="3898">
        <f>IF(Q34="NA","NA",Q34/Table8s2!$G$34*100)</f>
        <v>-0.23185629852162468</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282.00484967630103</v>
      </c>
      <c r="J36" s="3849">
        <f>Summary2!D37</f>
        <v>282.00484967630109</v>
      </c>
      <c r="K36" s="3895">
        <f t="shared" ref="K36" si="38">IF(J36="NO",IF(I36="NO","NA",-I36),IF(I36="NO",J36,J36-I36))</f>
        <v>5.6843418860808015E-14</v>
      </c>
      <c r="L36" s="3895">
        <f t="shared" ref="L36" si="39">IF(K36="NA","NA",K36/I36*100)</f>
        <v>2.0156894083933548E-14</v>
      </c>
      <c r="M36" s="3886">
        <f>IF(K36="NA","NA",K36/Table8s2!$G$35*100)</f>
        <v>1.0381619789360524E-17</v>
      </c>
      <c r="N36" s="3887">
        <f>IF(K36="NA","NA",K36/Table8s2!$G$34*100)</f>
        <v>9.8413476934436878E-18</v>
      </c>
      <c r="O36" s="3850">
        <v>110.25196942119616</v>
      </c>
      <c r="P36" s="3849">
        <f>Summary2!E37</f>
        <v>110.25196942119618</v>
      </c>
      <c r="Q36" s="3895">
        <f t="shared" ref="Q36" si="40">IF(P36="NO",IF(O36="NO","NA",-O36),IF(O36="NO",P36,P36-O36))</f>
        <v>1.4210854715202004E-14</v>
      </c>
      <c r="R36" s="3896">
        <f t="shared" ref="R36" si="41">IF(Q36="NA","NA",Q36/O36*100)</f>
        <v>1.2889433893840211E-14</v>
      </c>
      <c r="S36" s="3897">
        <f>IF(Q36="NA","NA",Q36/Table8s2!$G$35*100)</f>
        <v>2.595404947340131E-18</v>
      </c>
      <c r="T36" s="3898">
        <f>IF(Q36="NA","NA",Q36/Table8s2!$G$34*100)</f>
        <v>2.4603369233609219E-18</v>
      </c>
    </row>
    <row r="37" spans="2:21" ht="18" customHeight="1" x14ac:dyDescent="0.2">
      <c r="B37" s="606" t="s">
        <v>955</v>
      </c>
      <c r="C37" s="3849">
        <v>1088.302771159184</v>
      </c>
      <c r="D37" s="3849">
        <f>Summary2!C38</f>
        <v>1088.302771159184</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1112.2479933256814</v>
      </c>
      <c r="D38" s="3849">
        <f>Summary2!C39</f>
        <v>1112.2479933256814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19489.084468116314</v>
      </c>
      <c r="D41" s="3841">
        <f>Summary2!C42</f>
        <v>3904.9535083586843</v>
      </c>
      <c r="E41" s="3931">
        <f t="shared" ref="E41" si="42">IF(D41="NO",IF(C41="NO","NA",-C41),IF(C41="NO",D41,D41-C41))</f>
        <v>-15584.130959757629</v>
      </c>
      <c r="F41" s="3931">
        <f t="shared" ref="F41" si="43">IF(E41="NA","NA",E41/C41*100)</f>
        <v>-79.963381477733861</v>
      </c>
      <c r="G41" s="3871"/>
      <c r="H41" s="3931">
        <f>IF(E41="NA","NA",E41/Table8s2!$G$34*100)</f>
        <v>-2.698093365050545</v>
      </c>
      <c r="I41" s="3848">
        <f>SUM(I42:I49)</f>
        <v>20379.961502674301</v>
      </c>
      <c r="J41" s="3841">
        <f>Summary2!D42</f>
        <v>21157.553030550502</v>
      </c>
      <c r="K41" s="3931">
        <f t="shared" ref="K41:K46" si="44">IF(J41="NO",IF(I41="NO","NA",-I41),IF(I41="NO",J41,J41-I41))</f>
        <v>777.59152787620042</v>
      </c>
      <c r="L41" s="3931">
        <f t="shared" ref="L41:L46" si="45">IF(K41="NA","NA",K41/I41*100)</f>
        <v>3.8154710340064346</v>
      </c>
      <c r="M41" s="3891"/>
      <c r="N41" s="3932">
        <f>IF(K41="NA","NA",K41/Table8s2!$G$34*100)</f>
        <v>0.13462505849700079</v>
      </c>
      <c r="O41" s="3848">
        <f>SUM(O42:O49)</f>
        <v>5155.8499481555655</v>
      </c>
      <c r="P41" s="3841">
        <f>Summary2!E42</f>
        <v>4996.3899756801957</v>
      </c>
      <c r="Q41" s="3931">
        <f t="shared" ref="Q41" si="46">IF(P41="NO",IF(O41="NO","NA",-O41),IF(O41="NO",P41,P41-O41))</f>
        <v>-159.4599724753698</v>
      </c>
      <c r="R41" s="3931">
        <f t="shared" ref="R41" si="47">IF(Q41="NA","NA",Q41/O41*100)</f>
        <v>-3.0927969991138786</v>
      </c>
      <c r="S41" s="3891"/>
      <c r="T41" s="3932">
        <f>IF(Q41="NA","NA",Q41/Table8s2!$G$34*100)</f>
        <v>-2.760743572021606E-2</v>
      </c>
      <c r="U41" s="721"/>
    </row>
    <row r="42" spans="2:21" ht="18" customHeight="1" x14ac:dyDescent="0.2">
      <c r="B42" s="606" t="s">
        <v>1252</v>
      </c>
      <c r="C42" s="3849">
        <v>-31728.225705798526</v>
      </c>
      <c r="D42" s="3849">
        <f>Summary2!C43</f>
        <v>-33167.597755041097</v>
      </c>
      <c r="E42" s="3933">
        <f t="shared" ref="E42:E50" si="48">IF(D42="NO",IF(C42="NO","NA",-C42),IF(C42="NO",D42,D42-C42))</f>
        <v>-1439.3720492425709</v>
      </c>
      <c r="F42" s="3933">
        <f t="shared" ref="F42:F50" si="49">IF(E42="NA","NA",E42/C42*100)</f>
        <v>4.5365664710949059</v>
      </c>
      <c r="G42" s="3891"/>
      <c r="H42" s="3933">
        <f>IF(E42="NA","NA",E42/Table8s2!$G$34*100)</f>
        <v>-0.24919966252394646</v>
      </c>
      <c r="I42" s="3850">
        <v>9238.9732883841971</v>
      </c>
      <c r="J42" s="3849">
        <f>Summary2!D43</f>
        <v>9588.1656352709706</v>
      </c>
      <c r="K42" s="3933">
        <f t="shared" si="44"/>
        <v>349.19234688677352</v>
      </c>
      <c r="L42" s="3933">
        <f t="shared" si="45"/>
        <v>3.7795579225864797</v>
      </c>
      <c r="M42" s="3891"/>
      <c r="N42" s="3934">
        <f>IF(K42="NA","NA",K42/Table8s2!$G$34*100)</f>
        <v>6.0455957197390275E-2</v>
      </c>
      <c r="O42" s="3850">
        <v>1862.7524315141691</v>
      </c>
      <c r="P42" s="3849">
        <f>Summary2!E43</f>
        <v>2032.9565769394474</v>
      </c>
      <c r="Q42" s="3933">
        <f t="shared" ref="Q42:Q46" si="50">IF(P42="NO",IF(O42="NO","NA",-O42),IF(O42="NO",P42,P42-O42))</f>
        <v>170.20414542527828</v>
      </c>
      <c r="R42" s="3933">
        <f t="shared" ref="R42:R46" si="51">IF(Q42="NA","NA",Q42/O42*100)</f>
        <v>9.1372392028996057</v>
      </c>
      <c r="S42" s="3891"/>
      <c r="T42" s="3934">
        <f>IF(Q42="NA","NA",Q42/Table8s2!$G$34*100)</f>
        <v>2.9467583188429743E-2</v>
      </c>
      <c r="U42" s="721"/>
    </row>
    <row r="43" spans="2:21" ht="18" customHeight="1" x14ac:dyDescent="0.2">
      <c r="B43" s="606" t="s">
        <v>1255</v>
      </c>
      <c r="C43" s="3849">
        <v>6059.0768462673786</v>
      </c>
      <c r="D43" s="3849">
        <f>Summary2!C44</f>
        <v>6725.8403179998804</v>
      </c>
      <c r="E43" s="3933">
        <f t="shared" si="48"/>
        <v>666.76347173250178</v>
      </c>
      <c r="F43" s="3933">
        <f t="shared" si="49"/>
        <v>11.00437391123787</v>
      </c>
      <c r="G43" s="3891"/>
      <c r="H43" s="3933">
        <f>IF(E43="NA","NA",E43/Table8s2!$G$34*100)</f>
        <v>0.11543730630761513</v>
      </c>
      <c r="I43" s="3850">
        <v>44.99792639999999</v>
      </c>
      <c r="J43" s="3849">
        <f>Summary2!D44</f>
        <v>44.533404039775419</v>
      </c>
      <c r="K43" s="3933">
        <f t="shared" si="44"/>
        <v>-0.46452236022457072</v>
      </c>
      <c r="L43" s="3933">
        <f t="shared" si="45"/>
        <v>-1.0323194808918368</v>
      </c>
      <c r="M43" s="3891"/>
      <c r="N43" s="3934">
        <f>IF(K43="NA","NA",K43/Table8s2!$G$34*100)</f>
        <v>-8.0423136925373071E-5</v>
      </c>
      <c r="O43" s="3850">
        <v>44.115489480561834</v>
      </c>
      <c r="P43" s="3849">
        <f>Summary2!E44</f>
        <v>40.710826041080281</v>
      </c>
      <c r="Q43" s="3933">
        <f t="shared" si="50"/>
        <v>-3.4046634394815527</v>
      </c>
      <c r="R43" s="3933">
        <f t="shared" si="51"/>
        <v>-7.7176145602594195</v>
      </c>
      <c r="S43" s="3891"/>
      <c r="T43" s="3934">
        <f>IF(Q43="NA","NA",Q43/Table8s2!$G$34*100)</f>
        <v>-5.8945217157224206E-4</v>
      </c>
      <c r="U43" s="721"/>
    </row>
    <row r="44" spans="2:21" ht="18" customHeight="1" x14ac:dyDescent="0.2">
      <c r="B44" s="606" t="s">
        <v>1258</v>
      </c>
      <c r="C44" s="3849">
        <v>43307.582183012652</v>
      </c>
      <c r="D44" s="3849">
        <f>Summary2!C45</f>
        <v>28925.999791672632</v>
      </c>
      <c r="E44" s="3933">
        <f t="shared" si="48"/>
        <v>-14381.58239134002</v>
      </c>
      <c r="F44" s="3933">
        <f t="shared" si="49"/>
        <v>-33.208001154544206</v>
      </c>
      <c r="G44" s="3891"/>
      <c r="H44" s="3933">
        <f>IF(E44="NA","NA",E44/Table8s2!$G$34*100)</f>
        <v>-2.4898951458507077</v>
      </c>
      <c r="I44" s="3850">
        <v>8244.5296856850109</v>
      </c>
      <c r="J44" s="3849">
        <f>Summary2!D45</f>
        <v>8867.7662112006728</v>
      </c>
      <c r="K44" s="3933">
        <f t="shared" si="44"/>
        <v>623.23652551566192</v>
      </c>
      <c r="L44" s="3933">
        <f t="shared" si="45"/>
        <v>7.5593945231077084</v>
      </c>
      <c r="M44" s="3891"/>
      <c r="N44" s="3934">
        <f>IF(K44="NA","NA",K44/Table8s2!$G$34*100)</f>
        <v>0.10790145043654807</v>
      </c>
      <c r="O44" s="3850">
        <v>3081.2682750574959</v>
      </c>
      <c r="P44" s="3849">
        <f>Summary2!E45</f>
        <v>2746.6427946383692</v>
      </c>
      <c r="Q44" s="3933">
        <f t="shared" si="50"/>
        <v>-334.62548041912669</v>
      </c>
      <c r="R44" s="3933">
        <f t="shared" si="51"/>
        <v>-10.859991748458924</v>
      </c>
      <c r="S44" s="3891"/>
      <c r="T44" s="3934">
        <f>IF(Q44="NA","NA",Q44/Table8s2!$G$34*100)</f>
        <v>-5.793398366755885E-2</v>
      </c>
      <c r="U44" s="721"/>
    </row>
    <row r="45" spans="2:21" ht="18" customHeight="1" x14ac:dyDescent="0.2">
      <c r="B45" s="606" t="s">
        <v>1984</v>
      </c>
      <c r="C45" s="3849">
        <v>1437.9561952250438</v>
      </c>
      <c r="D45" s="3849">
        <f>Summary2!C46</f>
        <v>2131.4194210147712</v>
      </c>
      <c r="E45" s="3933">
        <f t="shared" si="48"/>
        <v>693.4632257897274</v>
      </c>
      <c r="F45" s="3933">
        <f t="shared" si="49"/>
        <v>48.225615501534705</v>
      </c>
      <c r="G45" s="3891"/>
      <c r="H45" s="3933">
        <f>IF(E45="NA","NA",E45/Table8s2!$G$34*100)</f>
        <v>0.12005985660934861</v>
      </c>
      <c r="I45" s="3850">
        <v>2783.1625542050933</v>
      </c>
      <c r="J45" s="3849">
        <f>Summary2!D46</f>
        <v>2588.1313736016464</v>
      </c>
      <c r="K45" s="3933">
        <f t="shared" si="44"/>
        <v>-195.03118060344696</v>
      </c>
      <c r="L45" s="3933">
        <f t="shared" si="45"/>
        <v>-7.0075382520785006</v>
      </c>
      <c r="M45" s="3891"/>
      <c r="N45" s="3934">
        <f>IF(K45="NA","NA",K45/Table8s2!$G$34*100)</f>
        <v>-3.3765908135843757E-2</v>
      </c>
      <c r="O45" s="3850">
        <v>101.7284727368851</v>
      </c>
      <c r="P45" s="3849">
        <f>Summary2!E46</f>
        <v>117.2788555595958</v>
      </c>
      <c r="Q45" s="3933">
        <f t="shared" si="50"/>
        <v>15.550382822710702</v>
      </c>
      <c r="R45" s="3933">
        <f t="shared" si="51"/>
        <v>15.286165617497161</v>
      </c>
      <c r="S45" s="3891"/>
      <c r="T45" s="3934">
        <f>IF(Q45="NA","NA",Q45/Table8s2!$G$34*100)</f>
        <v>2.6922505224252959E-3</v>
      </c>
      <c r="U45" s="721"/>
    </row>
    <row r="46" spans="2:21" ht="18" customHeight="1" x14ac:dyDescent="0.2">
      <c r="B46" s="606" t="s">
        <v>1985</v>
      </c>
      <c r="C46" s="3849">
        <v>5146.8869734725686</v>
      </c>
      <c r="D46" s="3849">
        <f>Summary2!C47</f>
        <v>3864.1955939452637</v>
      </c>
      <c r="E46" s="3933">
        <f t="shared" si="48"/>
        <v>-1282.6913795273049</v>
      </c>
      <c r="F46" s="3933">
        <f t="shared" si="49"/>
        <v>-24.921693173725981</v>
      </c>
      <c r="G46" s="3891"/>
      <c r="H46" s="3933">
        <f>IF(E46="NA","NA",E46/Table8s2!$G$34*100)</f>
        <v>-0.22207340976836709</v>
      </c>
      <c r="I46" s="3850">
        <v>68.298047999999994</v>
      </c>
      <c r="J46" s="3849">
        <f>Summary2!D47</f>
        <v>68.956406437440322</v>
      </c>
      <c r="K46" s="3933">
        <f t="shared" si="44"/>
        <v>0.65835843744032729</v>
      </c>
      <c r="L46" s="3933">
        <f t="shared" si="45"/>
        <v>0.96394912697992086</v>
      </c>
      <c r="M46" s="3891"/>
      <c r="N46" s="3934">
        <f>IF(K46="NA","NA",K46/Table8s2!$G$34*100)</f>
        <v>1.1398213583225801E-4</v>
      </c>
      <c r="O46" s="3850">
        <v>30.118962460143003</v>
      </c>
      <c r="P46" s="3849">
        <f>Summary2!E47</f>
        <v>22.934605595391407</v>
      </c>
      <c r="Q46" s="3933">
        <f t="shared" si="50"/>
        <v>-7.1843568647515959</v>
      </c>
      <c r="R46" s="3933">
        <f t="shared" si="51"/>
        <v>-23.853268100648528</v>
      </c>
      <c r="S46" s="3891"/>
      <c r="T46" s="3934">
        <f>IF(Q46="NA","NA",Q46/Table8s2!$G$34*100)</f>
        <v>-1.2438335919401876E-3</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-4734.1920240628006</v>
      </c>
      <c r="D48" s="3849">
        <f>Summary2!C49</f>
        <v>-4574.9038612327631</v>
      </c>
      <c r="E48" s="3933">
        <f t="shared" si="48"/>
        <v>159.28816283003744</v>
      </c>
      <c r="F48" s="3933">
        <f t="shared" si="49"/>
        <v>-3.3646324868195592</v>
      </c>
      <c r="G48" s="3891"/>
      <c r="H48" s="3933">
        <f>IF(E48="NA","NA",E48/Table8s2!$G$34*100)</f>
        <v>2.7577690175512926E-2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35.866316906311319</v>
      </c>
      <c r="P49" s="3857">
        <f>Summary2!E50</f>
        <v>35.866316906311319</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30.475238146900701</v>
      </c>
      <c r="D50" s="3841">
        <f>Summary2!C51</f>
        <v>30.475238146900701</v>
      </c>
      <c r="E50" s="3841">
        <f t="shared" si="48"/>
        <v>0</v>
      </c>
      <c r="F50" s="3841">
        <f t="shared" si="49"/>
        <v>0</v>
      </c>
      <c r="G50" s="3846">
        <f>IF(E50="NA","NA",E50/Table8s2!$G$35*100)</f>
        <v>0</v>
      </c>
      <c r="H50" s="3847">
        <f>IF(E50="NA","NA",E50/Table8s2!$G$34*100)</f>
        <v>0</v>
      </c>
      <c r="I50" s="3841">
        <f>SUM(I51:I55)</f>
        <v>15179.303434682924</v>
      </c>
      <c r="J50" s="3841">
        <f>Summary2!D51</f>
        <v>15165.143356875666</v>
      </c>
      <c r="K50" s="3841">
        <f t="shared" ref="K50" si="54">IF(J50="NO",IF(I50="NO","NA",-I50),IF(I50="NO",J50,J50-I50))</f>
        <v>-14.160077807258858</v>
      </c>
      <c r="L50" s="3841">
        <f t="shared" ref="L50" si="55">IF(K50="NA","NA",K50/I50*100)</f>
        <v>-9.3285425567715741E-2</v>
      </c>
      <c r="M50" s="3846">
        <f>IF(K50="NA","NA",K50/Table8s2!$G$35*100)</f>
        <v>-2.5861312871186038E-3</v>
      </c>
      <c r="N50" s="3847">
        <f>IF(K50="NA","NA",K50/Table8s2!$G$34*100)</f>
        <v>-2.4515458756744673E-3</v>
      </c>
      <c r="O50" s="3841">
        <f>SUM(O51:O55)</f>
        <v>383.48334657988272</v>
      </c>
      <c r="P50" s="3841">
        <f>Summary2!E51</f>
        <v>383.48334657988272</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12539.107478743404</v>
      </c>
      <c r="J51" s="3841">
        <f>Summary2!D52</f>
        <v>12524.947400936147</v>
      </c>
      <c r="K51" s="3841">
        <f t="shared" ref="K51:K52" si="56">IF(J51="NO",IF(I51="NO","NA",-I51),IF(I51="NO",J51,J51-I51))</f>
        <v>-14.160077807257039</v>
      </c>
      <c r="L51" s="3841">
        <f t="shared" ref="L51:L52" si="57">IF(K51="NA","NA",K51/I51*100)</f>
        <v>-0.11292731824223967</v>
      </c>
      <c r="M51" s="3846">
        <f>IF(K51="NA","NA",K51/Table8s2!$G$35*100)</f>
        <v>-2.5861312871182716E-3</v>
      </c>
      <c r="N51" s="3847">
        <f>IF(K51="NA","NA",K51/Table8s2!$G$34*100)</f>
        <v>-2.4515458756741524E-3</v>
      </c>
      <c r="O51" s="3888"/>
      <c r="P51" s="3889"/>
      <c r="Q51" s="3942"/>
      <c r="R51" s="3943"/>
      <c r="S51" s="3944"/>
      <c r="T51" s="3945"/>
    </row>
    <row r="52" spans="2:21" ht="18" customHeight="1" x14ac:dyDescent="0.2">
      <c r="B52" s="1395" t="s">
        <v>1990</v>
      </c>
      <c r="C52" s="3920"/>
      <c r="D52" s="3920"/>
      <c r="E52" s="3890"/>
      <c r="F52" s="3905"/>
      <c r="G52" s="3906"/>
      <c r="H52" s="3907"/>
      <c r="I52" s="3851">
        <v>110.67575421000001</v>
      </c>
      <c r="J52" s="3849">
        <f>Summary2!D53</f>
        <v>110.67575421000001</v>
      </c>
      <c r="K52" s="3841">
        <f t="shared" si="56"/>
        <v>0</v>
      </c>
      <c r="L52" s="3841">
        <f t="shared" si="57"/>
        <v>0</v>
      </c>
      <c r="M52" s="3846">
        <f>IF(K52="NA","NA",K52/Table8s2!$G$35*100)</f>
        <v>0</v>
      </c>
      <c r="N52" s="3847">
        <f>IF(K52="NA","NA",K52/Table8s2!$G$34*100)</f>
        <v>0</v>
      </c>
      <c r="O52" s="3841">
        <v>134.07577081440002</v>
      </c>
      <c r="P52" s="3841">
        <f>Summary2!E53</f>
        <v>134.07577081440002</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30.475238146900701</v>
      </c>
      <c r="D53" s="3841">
        <f>Summary2!C54</f>
        <v>30.475238146900701</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2529.5202017295196</v>
      </c>
      <c r="J54" s="3849">
        <f>Summary2!D55</f>
        <v>2529.5202017295192</v>
      </c>
      <c r="K54" s="3841">
        <f t="shared" ref="K54" si="62">IF(J54="NO",IF(I54="NO","NA",-I54),IF(I54="NO",J54,J54-I54))</f>
        <v>-4.5474735088646412E-13</v>
      </c>
      <c r="L54" s="3841">
        <f t="shared" ref="L54" si="63">IF(K54="NA","NA",K54/I54*100)</f>
        <v>-1.7977612931319457E-14</v>
      </c>
      <c r="M54" s="3846">
        <f>IF(K54="NA","NA",K54/Table8s2!$G$35*100)</f>
        <v>-8.3052958314884192E-17</v>
      </c>
      <c r="N54" s="3847">
        <f>IF(K54="NA","NA",K54/Table8s2!$G$34*100)</f>
        <v>-7.8730781547549502E-17</v>
      </c>
      <c r="O54" s="3841">
        <v>249.4075757654827</v>
      </c>
      <c r="P54" s="3841">
        <f>Summary2!E55</f>
        <v>249.4075757654827</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11958.096</v>
      </c>
      <c r="D59" s="3849">
        <f>Summary2!C60</f>
        <v>11958.095999999998</v>
      </c>
      <c r="E59" s="3863">
        <f t="shared" ref="E59" si="66">IF(D59="NO",IF(C59="NO","NA",-C59),IF(C59="NO",D59,D59-C59))</f>
        <v>-1.8189894035458565E-12</v>
      </c>
      <c r="F59" s="3863">
        <f t="shared" ref="F59" si="67">IF(E59="NA","NA",E59/C59*100)</f>
        <v>-1.5211363109527272E-14</v>
      </c>
      <c r="G59" s="3864">
        <f>IF(E59="NA","NA",E59/Table8s2!$G$35*100)</f>
        <v>-3.3221183325953677E-16</v>
      </c>
      <c r="H59" s="3865">
        <f>IF(E59="NA","NA",E59/Table8s2!$G$34*100)</f>
        <v>-3.1492312619019801E-16</v>
      </c>
      <c r="I59" s="3849">
        <v>5.5258760200000001</v>
      </c>
      <c r="J59" s="3849">
        <f>Summary2!D60</f>
        <v>5.5258760199999992</v>
      </c>
      <c r="K59" s="3863">
        <f t="shared" ref="K59:K61" si="68">IF(J59="NO",IF(I59="NO","NA",-I59),IF(I59="NO",J59,J59-I59))</f>
        <v>-8.8817841970012523E-16</v>
      </c>
      <c r="L59" s="3863">
        <f t="shared" ref="L59:L61" si="69">IF(K59="NA","NA",K59/I59*100)</f>
        <v>-1.6073079028293603E-14</v>
      </c>
      <c r="M59" s="3864">
        <f>IF(K59="NA","NA",K59/Table8s2!$G$35*100)</f>
        <v>-1.6221280920875819E-19</v>
      </c>
      <c r="N59" s="3865">
        <f>IF(K59="NA","NA",K59/Table8s2!$G$34*100)</f>
        <v>-1.5377105771005762E-19</v>
      </c>
      <c r="O59" s="3850">
        <v>27.18906145768435</v>
      </c>
      <c r="P59" s="3849">
        <f>Summary2!E60</f>
        <v>27.189061457684211</v>
      </c>
      <c r="Q59" s="3863">
        <f t="shared" ref="Q59" si="70">IF(P59="NO",IF(O59="NO","NA",-O59),IF(O59="NO",P59,P59-O59))</f>
        <v>-1.3855583347321954E-13</v>
      </c>
      <c r="R59" s="3968">
        <f t="shared" ref="R59" si="71">IF(Q59="NA","NA",Q59/O59*100)</f>
        <v>-5.0960138395678231E-13</v>
      </c>
      <c r="S59" s="3969">
        <f>IF(Q59="NA","NA",Q59/Table8s2!$G$35*100)</f>
        <v>-2.5305198236566278E-17</v>
      </c>
      <c r="T59" s="3970">
        <f>IF(Q59="NA","NA",Q59/Table8s2!$G$34*100)</f>
        <v>-2.3988285002768991E-17</v>
      </c>
    </row>
    <row r="60" spans="2:21" ht="18" customHeight="1" x14ac:dyDescent="0.2">
      <c r="B60" s="1409" t="s">
        <v>218</v>
      </c>
      <c r="C60" s="3849">
        <v>10093.392</v>
      </c>
      <c r="D60" s="3849">
        <f>Summary2!C61</f>
        <v>10093.391999999998</v>
      </c>
      <c r="E60" s="3863">
        <f t="shared" ref="E60:E61" si="72">IF(D60="NO",IF(C60="NO","NA",-C60),IF(C60="NO",D60,D60-C60))</f>
        <v>-1.8189894035458565E-12</v>
      </c>
      <c r="F60" s="3863">
        <f t="shared" ref="F60:F61" si="73">IF(E60="NA","NA",E60/C60*100)</f>
        <v>-1.8021586831719769E-14</v>
      </c>
      <c r="G60" s="3864">
        <f>IF(E60="NA","NA",E60/Table8s2!$G$35*100)</f>
        <v>-3.3221183325953677E-16</v>
      </c>
      <c r="H60" s="3865">
        <f>IF(E60="NA","NA",E60/Table8s2!$G$34*100)</f>
        <v>-3.1492312619019801E-16</v>
      </c>
      <c r="I60" s="3849">
        <v>0.54747601999999995</v>
      </c>
      <c r="J60" s="3849">
        <f>Summary2!D61</f>
        <v>0.54747602000000017</v>
      </c>
      <c r="K60" s="3863">
        <f t="shared" si="68"/>
        <v>2.2204460492503131E-16</v>
      </c>
      <c r="L60" s="3863">
        <f t="shared" si="69"/>
        <v>4.0557868621356483E-14</v>
      </c>
      <c r="M60" s="3864">
        <f>IF(K60="NA","NA",K60/Table8s2!$G$35*100)</f>
        <v>4.0553202302189547E-20</v>
      </c>
      <c r="N60" s="3865">
        <f>IF(K60="NA","NA",K60/Table8s2!$G$34*100)</f>
        <v>3.8442764427514405E-20</v>
      </c>
      <c r="O60" s="3850">
        <v>13.72706145768435</v>
      </c>
      <c r="P60" s="3849">
        <f>Summary2!E61</f>
        <v>13.72706145768421</v>
      </c>
      <c r="Q60" s="3863">
        <f t="shared" ref="Q60:Q61" si="74">IF(P60="NO",IF(O60="NO","NA",-O60),IF(O60="NO",P60,P60-O60))</f>
        <v>-1.4033219031261979E-13</v>
      </c>
      <c r="R60" s="3968">
        <f t="shared" ref="R60:R61" si="75">IF(Q60="NA","NA",Q60/O60*100)</f>
        <v>-1.0223032128559636E-12</v>
      </c>
      <c r="S60" s="3969">
        <f>IF(Q60="NA","NA",Q60/Table8s2!$G$35*100)</f>
        <v>-2.5629623854983794E-17</v>
      </c>
      <c r="T60" s="3970">
        <f>IF(Q60="NA","NA",Q60/Table8s2!$G$34*100)</f>
        <v>-2.4295827118189101E-17</v>
      </c>
    </row>
    <row r="61" spans="2:21" ht="18" customHeight="1" x14ac:dyDescent="0.2">
      <c r="B61" s="1410" t="s">
        <v>1963</v>
      </c>
      <c r="C61" s="3849">
        <v>1864.704</v>
      </c>
      <c r="D61" s="3849">
        <f>Summary2!C62</f>
        <v>1864.704</v>
      </c>
      <c r="E61" s="3863">
        <f t="shared" si="72"/>
        <v>0</v>
      </c>
      <c r="F61" s="3863">
        <f t="shared" si="73"/>
        <v>0</v>
      </c>
      <c r="G61" s="3864">
        <f>IF(E61="NA","NA",E61/Table8s2!$G$35*100)</f>
        <v>0</v>
      </c>
      <c r="H61" s="3865">
        <f>IF(E61="NA","NA",E61/Table8s2!$G$34*100)</f>
        <v>0</v>
      </c>
      <c r="I61" s="3849">
        <v>4.9784000000000006</v>
      </c>
      <c r="J61" s="3849">
        <f>Summary2!D62</f>
        <v>4.9783999999999997</v>
      </c>
      <c r="K61" s="3863">
        <f t="shared" si="68"/>
        <v>-8.8817841970012523E-16</v>
      </c>
      <c r="L61" s="3863">
        <f t="shared" si="69"/>
        <v>-1.7840639958623758E-14</v>
      </c>
      <c r="M61" s="3864">
        <f>IF(K61="NA","NA",K61/Table8s2!$G$35*100)</f>
        <v>-1.6221280920875819E-19</v>
      </c>
      <c r="N61" s="3865">
        <f>IF(K61="NA","NA",K61/Table8s2!$G$34*100)</f>
        <v>-1.5377105771005762E-19</v>
      </c>
      <c r="O61" s="3850">
        <v>13.462</v>
      </c>
      <c r="P61" s="3849">
        <f>Summary2!E62</f>
        <v>13.462000000000002</v>
      </c>
      <c r="Q61" s="3863">
        <f t="shared" si="74"/>
        <v>1.7763568394002505E-15</v>
      </c>
      <c r="R61" s="3968">
        <f t="shared" si="75"/>
        <v>1.3195341252416064E-14</v>
      </c>
      <c r="S61" s="3969">
        <f>IF(Q61="NA","NA",Q61/Table8s2!$G$35*100)</f>
        <v>3.2442561841751638E-19</v>
      </c>
      <c r="T61" s="3970">
        <f>IF(Q61="NA","NA",Q61/Table8s2!$G$34*100)</f>
        <v>3.0754211542011524E-19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16224.776122492669</v>
      </c>
      <c r="D63" s="3849">
        <f>Summary2!C64</f>
        <v>16455.288575753697</v>
      </c>
      <c r="E63" s="3863">
        <f t="shared" ref="E63:E65" si="76">IF(D63="NO",IF(C63="NO","NA",-C63),IF(C63="NO",D63,D63-C63))</f>
        <v>230.51245326102799</v>
      </c>
      <c r="F63" s="3863">
        <f t="shared" ref="F63:F65" si="77">IF(E63="NA","NA",E63/C63*100)</f>
        <v>1.4207435068485466</v>
      </c>
      <c r="G63" s="3864">
        <f>IF(E63="NA","NA",E63/Table8s2!$G$35*100)</f>
        <v>4.2099731058201764E-2</v>
      </c>
      <c r="H63" s="3865">
        <f>IF(E63="NA","NA",E63/Table8s2!$G$34*100)</f>
        <v>3.9908809949757776E-2</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282577.51207126962</v>
      </c>
      <c r="D65" s="3851">
        <f>Summary2!C66</f>
        <v>282823.15214588447</v>
      </c>
      <c r="E65" s="3979">
        <f t="shared" si="76"/>
        <v>245.64007461484289</v>
      </c>
      <c r="F65" s="3986">
        <f t="shared" si="77"/>
        <v>8.6928387476526925E-2</v>
      </c>
      <c r="G65" s="3987">
        <f>IF(E65="NA","NA",E65/Table8s2!$G$35*100)</f>
        <v>4.4862570035169046E-2</v>
      </c>
      <c r="H65" s="3988">
        <f>IF(E65="NA","NA",E65/Table8s2!$G$34*100)</f>
        <v>4.2527867432598621E-2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7409.828679370049</v>
      </c>
      <c r="D10" s="4021">
        <f>IF(SUM(D11:D30)=0,"NO",SUM(D11:D30))</f>
        <v>7409.8286793700499</v>
      </c>
      <c r="E10" s="4021">
        <f>IF(D10="NO",IF(C10="NO","NA",-C10),IF(C10="NO",D10,D10-C10))</f>
        <v>9.0949470177292824E-13</v>
      </c>
      <c r="F10" s="4021">
        <f>IF(E10="NA","NA",E10/C10*100)</f>
        <v>1.2274166396114971E-14</v>
      </c>
      <c r="G10" s="4022">
        <f>IF(E10="NA","NA",E10/$G$35*100)</f>
        <v>1.6610591662976838E-16</v>
      </c>
      <c r="H10" s="4023">
        <f>IF(E10="NA","NA",E10/$G$34*100)</f>
        <v>1.57461563095099E-16</v>
      </c>
      <c r="I10" s="4024">
        <f>IF(SUM(I11:I30)=0,"NO",SUM(I11:I30))</f>
        <v>270.90088273132159</v>
      </c>
      <c r="J10" s="4024">
        <f>IF(SUM(J11:J30)=0,"NO",SUM(J11:J30))</f>
        <v>270.90088273132159</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121.78268935599188</v>
      </c>
      <c r="V10" s="4021">
        <f>IF(SUM(V11:V30)=0,"NO",SUM(V11:V30))</f>
        <v>130.8961877597005</v>
      </c>
      <c r="W10" s="4021">
        <f>IF(V10="NO",IF(U10="NO","NA",-U10),IF(U10="NO",V10,V10-U10))</f>
        <v>9.1134984037086184</v>
      </c>
      <c r="X10" s="4025">
        <f>IF(W10="NA","NA",W10/U10*100)</f>
        <v>7.4834103696530176</v>
      </c>
      <c r="Y10" s="4026">
        <f>IF(W10="NA","NA",W10/$G$35*100)</f>
        <v>1.6644473058512659E-3</v>
      </c>
      <c r="Z10" s="4023">
        <f>IF(W10="NA","NA",W10/$G$34*100)</f>
        <v>1.5778274476093968E-3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270.90088273132159</v>
      </c>
      <c r="J13" s="3841">
        <f>'Table2(II)'!AH41</f>
        <v>270.90088273132159</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6984.0882247241607</v>
      </c>
      <c r="D21" s="3849">
        <f>'Table2(I)'!F46</f>
        <v>6984.0882247241616</v>
      </c>
      <c r="E21" s="3849">
        <f>IF(D21="NO",IF(C21="NO","NA",-C21),IF(C21="NO",D21,D21-C21))</f>
        <v>9.0949470177292824E-13</v>
      </c>
      <c r="F21" s="4018">
        <f>IF(E21="NA","NA",E21/C21*100)</f>
        <v>1.3022382772217188E-14</v>
      </c>
      <c r="G21" s="3873">
        <f>IF(E21="NA","NA",E21/$G$35*100)</f>
        <v>1.6610591662976838E-16</v>
      </c>
      <c r="H21" s="3874">
        <f>IF(E21="NA","NA",E21/$G$34*100)</f>
        <v>1.57461563095099E-16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68.190176602401152</v>
      </c>
      <c r="D22" s="3849">
        <f>'Table2(I)'!F47</f>
        <v>68.19017660240111</v>
      </c>
      <c r="E22" s="3849">
        <f t="shared" ref="E22:E25" si="0">IF(D22="NO",IF(C22="NO","NA",-C22),IF(C22="NO",D22,D22-C22))</f>
        <v>-4.2632564145606011E-14</v>
      </c>
      <c r="F22" s="4018">
        <f t="shared" ref="F22:F25" si="1">IF(E22="NA","NA",E22/C22*100)</f>
        <v>-6.2520096397733637E-14</v>
      </c>
      <c r="G22" s="3873">
        <f t="shared" ref="G22:G25" si="2">IF(E22="NA","NA",E22/$G$35*100)</f>
        <v>-7.786214842020393E-18</v>
      </c>
      <c r="H22" s="3874">
        <f t="shared" ref="H22:H25" si="3">IF(E22="NA","NA",E22/$G$34*100)</f>
        <v>-7.3810107700827655E-18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50.669857321548321</v>
      </c>
      <c r="D23" s="3849">
        <f>'Table2(I)'!F48</f>
        <v>50.669857321548321</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200.52999490987597</v>
      </c>
      <c r="D24" s="3849">
        <f>'Table2(I)'!F49</f>
        <v>200.529994909876</v>
      </c>
      <c r="E24" s="3849">
        <f t="shared" si="0"/>
        <v>2.8421709430404007E-14</v>
      </c>
      <c r="F24" s="4018">
        <f t="shared" si="1"/>
        <v>1.4173295841940032E-14</v>
      </c>
      <c r="G24" s="3873">
        <f t="shared" si="2"/>
        <v>5.190809894680262E-18</v>
      </c>
      <c r="H24" s="3874">
        <f t="shared" si="3"/>
        <v>4.9206738467218439E-18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106.35042581206277</v>
      </c>
      <c r="D25" s="3849">
        <f>'Table2(I)'!F50</f>
        <v>106.35042581206277</v>
      </c>
      <c r="E25" s="3849">
        <f t="shared" si="0"/>
        <v>0</v>
      </c>
      <c r="F25" s="4018">
        <f t="shared" si="1"/>
        <v>0</v>
      </c>
      <c r="G25" s="3873">
        <f t="shared" si="2"/>
        <v>0</v>
      </c>
      <c r="H25" s="3874">
        <f t="shared" si="3"/>
        <v>0</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103.61403640991583</v>
      </c>
      <c r="V27" s="3849">
        <f>IFERROR('Table2(I)'!I53*23500,'Table2(I)'!I53)</f>
        <v>112.72753481362444</v>
      </c>
      <c r="W27" s="3849">
        <f>IF(V27="NO",IF(U27="NO","NA",-U27),IF(U27="NO",V27,V27-U27))</f>
        <v>9.1134984037086184</v>
      </c>
      <c r="X27" s="4018">
        <f>IF(W27="NA","NA",W27/U27*100)</f>
        <v>8.7956214423053396</v>
      </c>
      <c r="Y27" s="3873">
        <f>IF(W27="NA","NA",W27/$G$35*100)</f>
        <v>1.6644473058512659E-3</v>
      </c>
      <c r="Z27" s="3874">
        <f>IF(W27="NA","NA",W27/$G$34*100)</f>
        <v>1.5778274476093968E-3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18.168652946076055</v>
      </c>
      <c r="V28" s="3849">
        <f>IFERROR('Table2(I)'!I54*23500,'Table2(I)'!I54)</f>
        <v>18.168652946076051</v>
      </c>
      <c r="W28" s="3849">
        <f>IF(V28="NO",IF(U28="NO","NA",-U28),IF(U28="NO",V28,V28-U28))</f>
        <v>-3.5527136788005009E-15</v>
      </c>
      <c r="X28" s="4018">
        <f>IF(W28="NA","NA",W28/U28*100)</f>
        <v>-1.955408411038966E-14</v>
      </c>
      <c r="Y28" s="3873">
        <f>IF(W28="NA","NA",W28/$G$35*100)</f>
        <v>-6.4885123683503275E-19</v>
      </c>
      <c r="Z28" s="3874">
        <f>IF(W28="NA","NA",W28/$G$34*100)</f>
        <v>-6.1508423084023049E-19</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8">
        <f>SUM(Table8s1!C10,Table8s1!I10,Table8s1!O10,C10,I10,O10,U10,AA10)</f>
        <v>594032.24890962359</v>
      </c>
      <c r="F34" s="4549"/>
      <c r="G34" s="4548">
        <f>SUM(Table8s1!D10,Table8s1!J10,Table8s1!P10,D10,J10,P10,V10,AB10)</f>
        <v>577597.91271958756</v>
      </c>
      <c r="H34" s="4549"/>
      <c r="I34" s="3841">
        <f>G34-E34</f>
        <v>-16434.336190036032</v>
      </c>
      <c r="J34" s="4047">
        <f>IF(I34="NA","NA",I34/E34*100)</f>
        <v>-2.7665730640385422</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50">
        <f>E34-SUM(Table8s1!C41,Table8s1!I41,Table8s1!O41)</f>
        <v>549007.35299067746</v>
      </c>
      <c r="F35" s="4551"/>
      <c r="G35" s="4552">
        <f>G34-SUM(Table8s1!D41,Table8s1!J41,Table8s1!P41)</f>
        <v>547539.01620499813</v>
      </c>
      <c r="H35" s="4553"/>
      <c r="I35" s="3857">
        <f>G35-E35</f>
        <v>-1468.3367856793338</v>
      </c>
      <c r="J35" s="4048">
        <f>IF(I35="NA","NA",I35/E35*100)</f>
        <v>-0.2674530273011238</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7" t="s">
        <v>2218</v>
      </c>
      <c r="F12" s="4558"/>
    </row>
    <row r="13" spans="2:7" ht="55.5" customHeight="1" x14ac:dyDescent="0.2">
      <c r="B13" s="4122"/>
      <c r="C13" s="4124" t="s">
        <v>111</v>
      </c>
      <c r="D13" s="4124" t="s">
        <v>2220</v>
      </c>
      <c r="E13" s="4554" t="s">
        <v>2221</v>
      </c>
      <c r="F13" s="4556"/>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4" t="s">
        <v>2224</v>
      </c>
      <c r="F15" s="4555"/>
    </row>
    <row r="16" spans="2:7" ht="48" customHeight="1" x14ac:dyDescent="0.2">
      <c r="B16" s="4122"/>
      <c r="C16" s="4124" t="s">
        <v>2225</v>
      </c>
      <c r="D16" s="4124" t="s">
        <v>2226</v>
      </c>
      <c r="E16" s="4554" t="s">
        <v>2227</v>
      </c>
      <c r="F16" s="4555"/>
    </row>
    <row r="17" spans="2:7" ht="17.25" customHeight="1" x14ac:dyDescent="0.2">
      <c r="B17" s="4122"/>
      <c r="C17" s="4124" t="s">
        <v>2225</v>
      </c>
      <c r="D17" s="4124" t="s">
        <v>2228</v>
      </c>
      <c r="E17" s="4557" t="s">
        <v>2229</v>
      </c>
      <c r="F17" s="4558"/>
    </row>
    <row r="18" spans="2:7" ht="54" customHeight="1" x14ac:dyDescent="0.2">
      <c r="B18" s="4122"/>
      <c r="C18" s="4124" t="s">
        <v>117</v>
      </c>
      <c r="D18" s="4124" t="s">
        <v>2230</v>
      </c>
      <c r="E18" s="4554" t="s">
        <v>2231</v>
      </c>
      <c r="F18" s="4555"/>
    </row>
    <row r="19" spans="2:7" ht="18.75" customHeight="1" x14ac:dyDescent="0.2">
      <c r="B19" s="4122"/>
      <c r="C19" s="4124" t="s">
        <v>117</v>
      </c>
      <c r="D19" s="4123" t="s">
        <v>2232</v>
      </c>
      <c r="E19" s="4554" t="s">
        <v>2233</v>
      </c>
      <c r="F19" s="4555"/>
    </row>
    <row r="20" spans="2:7" ht="16.5" customHeight="1" x14ac:dyDescent="0.2">
      <c r="B20" s="875"/>
      <c r="C20" s="4123" t="s">
        <v>2234</v>
      </c>
      <c r="D20" s="4123" t="s">
        <v>2235</v>
      </c>
      <c r="E20" s="4557" t="s">
        <v>2459</v>
      </c>
      <c r="F20" s="4558"/>
    </row>
    <row r="21" spans="2:7" ht="13.5" x14ac:dyDescent="0.2">
      <c r="B21" s="874" t="s">
        <v>2236</v>
      </c>
      <c r="C21" s="4124" t="s">
        <v>2214</v>
      </c>
      <c r="D21" s="4123" t="s">
        <v>2237</v>
      </c>
      <c r="E21" s="4557" t="s">
        <v>2218</v>
      </c>
      <c r="F21" s="4558"/>
    </row>
    <row r="22" spans="2:7" x14ac:dyDescent="0.2">
      <c r="B22" s="4122"/>
      <c r="C22" s="4123" t="s">
        <v>2214</v>
      </c>
      <c r="D22" s="4123" t="s">
        <v>2215</v>
      </c>
      <c r="E22" s="4557" t="s">
        <v>2238</v>
      </c>
      <c r="F22" s="4558"/>
    </row>
    <row r="23" spans="2:7" x14ac:dyDescent="0.2">
      <c r="B23" s="4122"/>
      <c r="C23" s="4123" t="s">
        <v>2214</v>
      </c>
      <c r="D23" s="4123" t="s">
        <v>2239</v>
      </c>
      <c r="E23" s="4557" t="s">
        <v>2218</v>
      </c>
      <c r="F23" s="4558"/>
      <c r="G23" s="4194"/>
    </row>
    <row r="24" spans="2:7" x14ac:dyDescent="0.2">
      <c r="B24" s="4122"/>
      <c r="C24" s="4123" t="s">
        <v>2214</v>
      </c>
      <c r="D24" s="4123" t="s">
        <v>2240</v>
      </c>
      <c r="E24" s="4557" t="s">
        <v>2218</v>
      </c>
      <c r="F24" s="4558"/>
    </row>
    <row r="25" spans="2:7" x14ac:dyDescent="0.2">
      <c r="B25" s="4122"/>
      <c r="C25" s="4123" t="s">
        <v>2214</v>
      </c>
      <c r="D25" s="4123" t="s">
        <v>2241</v>
      </c>
      <c r="E25" s="4554" t="s">
        <v>2242</v>
      </c>
      <c r="F25" s="4555"/>
    </row>
    <row r="26" spans="2:7" ht="48" customHeight="1" x14ac:dyDescent="0.2">
      <c r="B26" s="4122"/>
      <c r="C26" s="4124" t="s">
        <v>2225</v>
      </c>
      <c r="D26" s="4124" t="s">
        <v>2226</v>
      </c>
      <c r="E26" s="4554" t="s">
        <v>2227</v>
      </c>
      <c r="F26" s="4555"/>
    </row>
    <row r="27" spans="2:7" x14ac:dyDescent="0.2">
      <c r="B27" s="4122"/>
      <c r="C27" s="4124" t="s">
        <v>2225</v>
      </c>
      <c r="D27" s="4123" t="s">
        <v>2243</v>
      </c>
      <c r="E27" s="4557" t="s">
        <v>2244</v>
      </c>
      <c r="F27" s="4558"/>
    </row>
    <row r="28" spans="2:7" x14ac:dyDescent="0.2">
      <c r="B28" s="4122"/>
      <c r="C28" s="4124" t="s">
        <v>2225</v>
      </c>
      <c r="D28" s="4123" t="s">
        <v>2132</v>
      </c>
      <c r="E28" s="4557" t="s">
        <v>2245</v>
      </c>
      <c r="F28" s="4558"/>
    </row>
    <row r="29" spans="2:7" x14ac:dyDescent="0.2">
      <c r="B29" s="4122"/>
      <c r="C29" s="4124" t="s">
        <v>2225</v>
      </c>
      <c r="D29" s="4123" t="s">
        <v>2246</v>
      </c>
      <c r="E29" s="4557" t="s">
        <v>2247</v>
      </c>
      <c r="F29" s="4558"/>
    </row>
    <row r="30" spans="2:7" ht="48.75" customHeight="1" x14ac:dyDescent="0.2">
      <c r="B30" s="4122"/>
      <c r="C30" s="4124" t="s">
        <v>117</v>
      </c>
      <c r="D30" s="4124" t="s">
        <v>2230</v>
      </c>
      <c r="E30" s="4554" t="s">
        <v>2231</v>
      </c>
      <c r="F30" s="4555"/>
    </row>
    <row r="31" spans="2:7" ht="27" customHeight="1" x14ac:dyDescent="0.2">
      <c r="B31" s="4122"/>
      <c r="C31" s="4124" t="s">
        <v>117</v>
      </c>
      <c r="D31" s="4123" t="s">
        <v>2232</v>
      </c>
      <c r="E31" s="4554" t="s">
        <v>2248</v>
      </c>
      <c r="F31" s="4555"/>
    </row>
    <row r="32" spans="2:7" x14ac:dyDescent="0.2">
      <c r="B32" s="4122"/>
      <c r="C32" s="4123" t="s">
        <v>2234</v>
      </c>
      <c r="D32" s="4123" t="s">
        <v>2249</v>
      </c>
      <c r="E32" s="4557" t="s">
        <v>2250</v>
      </c>
      <c r="F32" s="4558"/>
    </row>
    <row r="33" spans="2:7" x14ac:dyDescent="0.2">
      <c r="B33" s="4122"/>
      <c r="C33" s="4123" t="s">
        <v>2234</v>
      </c>
      <c r="D33" s="4123" t="s">
        <v>2251</v>
      </c>
      <c r="E33" s="4557" t="s">
        <v>2252</v>
      </c>
      <c r="F33" s="4558"/>
    </row>
    <row r="34" spans="2:7" x14ac:dyDescent="0.2">
      <c r="B34" s="4122"/>
      <c r="C34" s="4123" t="s">
        <v>2234</v>
      </c>
      <c r="D34" s="4123" t="s">
        <v>2253</v>
      </c>
      <c r="E34" s="4557" t="s">
        <v>2259</v>
      </c>
      <c r="F34" s="4558"/>
    </row>
    <row r="35" spans="2:7" x14ac:dyDescent="0.2">
      <c r="B35" s="4122"/>
      <c r="C35" s="4123" t="s">
        <v>2234</v>
      </c>
      <c r="D35" s="4123" t="s">
        <v>2235</v>
      </c>
      <c r="E35" s="4557" t="s">
        <v>2260</v>
      </c>
      <c r="F35" s="4558"/>
    </row>
    <row r="36" spans="2:7" ht="13.5" x14ac:dyDescent="0.2">
      <c r="B36" s="874" t="s">
        <v>2254</v>
      </c>
      <c r="C36" s="4124" t="s">
        <v>2214</v>
      </c>
      <c r="D36" s="4123" t="s">
        <v>2237</v>
      </c>
      <c r="E36" s="4557" t="s">
        <v>2218</v>
      </c>
      <c r="F36" s="4558"/>
    </row>
    <row r="37" spans="2:7" x14ac:dyDescent="0.2">
      <c r="B37" s="4122"/>
      <c r="C37" s="4123" t="s">
        <v>2214</v>
      </c>
      <c r="D37" s="4123" t="s">
        <v>2215</v>
      </c>
      <c r="E37" s="4557" t="s">
        <v>2255</v>
      </c>
      <c r="F37" s="4558"/>
    </row>
    <row r="38" spans="2:7" x14ac:dyDescent="0.2">
      <c r="B38" s="4122"/>
      <c r="C38" s="4123" t="s">
        <v>2214</v>
      </c>
      <c r="D38" s="4123" t="s">
        <v>2239</v>
      </c>
      <c r="E38" s="4557" t="s">
        <v>2218</v>
      </c>
      <c r="F38" s="4558"/>
      <c r="G38" s="4194"/>
    </row>
    <row r="39" spans="2:7" ht="15" customHeight="1" x14ac:dyDescent="0.2">
      <c r="B39" s="4122"/>
      <c r="C39" s="4123" t="s">
        <v>2214</v>
      </c>
      <c r="D39" s="4123" t="s">
        <v>2240</v>
      </c>
      <c r="E39" s="4557" t="s">
        <v>2218</v>
      </c>
      <c r="F39" s="4558"/>
    </row>
    <row r="40" spans="2:7" ht="42.75" customHeight="1" x14ac:dyDescent="0.2">
      <c r="B40" s="4122"/>
      <c r="C40" s="4124" t="s">
        <v>2225</v>
      </c>
      <c r="D40" s="4124" t="s">
        <v>2226</v>
      </c>
      <c r="E40" s="4554" t="s">
        <v>2227</v>
      </c>
      <c r="F40" s="4555"/>
    </row>
    <row r="41" spans="2:7" x14ac:dyDescent="0.2">
      <c r="B41" s="4122"/>
      <c r="C41" s="4123" t="s">
        <v>2225</v>
      </c>
      <c r="D41" s="4123" t="s">
        <v>2256</v>
      </c>
      <c r="E41" s="4557" t="s">
        <v>2257</v>
      </c>
      <c r="F41" s="4558"/>
    </row>
    <row r="42" spans="2:7" x14ac:dyDescent="0.2">
      <c r="B42" s="4122"/>
      <c r="C42" s="4124" t="s">
        <v>2225</v>
      </c>
      <c r="D42" s="4123" t="s">
        <v>2246</v>
      </c>
      <c r="E42" s="4557" t="s">
        <v>2247</v>
      </c>
      <c r="F42" s="4558"/>
    </row>
    <row r="43" spans="2:7" ht="44.25" customHeight="1" x14ac:dyDescent="0.2">
      <c r="B43" s="4122"/>
      <c r="C43" s="4124" t="s">
        <v>117</v>
      </c>
      <c r="D43" s="4124" t="s">
        <v>2230</v>
      </c>
      <c r="E43" s="4554" t="s">
        <v>2231</v>
      </c>
      <c r="F43" s="4555"/>
    </row>
    <row r="44" spans="2:7" ht="12.75" customHeight="1" x14ac:dyDescent="0.2">
      <c r="B44" s="4122"/>
      <c r="C44" s="4124" t="s">
        <v>117</v>
      </c>
      <c r="D44" s="4123" t="s">
        <v>2232</v>
      </c>
      <c r="E44" s="4554" t="s">
        <v>2258</v>
      </c>
      <c r="F44" s="4555"/>
    </row>
    <row r="45" spans="2:7" x14ac:dyDescent="0.2">
      <c r="B45" s="4122"/>
      <c r="C45" s="4123" t="s">
        <v>2234</v>
      </c>
      <c r="D45" s="4123" t="s">
        <v>2249</v>
      </c>
      <c r="E45" s="4557" t="s">
        <v>2250</v>
      </c>
      <c r="F45" s="4558"/>
    </row>
    <row r="46" spans="2:7" x14ac:dyDescent="0.2">
      <c r="B46" s="4122"/>
      <c r="C46" s="4123" t="s">
        <v>2234</v>
      </c>
      <c r="D46" s="4123" t="s">
        <v>2251</v>
      </c>
      <c r="E46" s="4557" t="s">
        <v>2252</v>
      </c>
      <c r="F46" s="4558"/>
    </row>
    <row r="47" spans="2:7" x14ac:dyDescent="0.2">
      <c r="B47" s="4122"/>
      <c r="C47" s="4123" t="s">
        <v>2234</v>
      </c>
      <c r="D47" s="4123" t="s">
        <v>2253</v>
      </c>
      <c r="E47" s="4557" t="s">
        <v>2259</v>
      </c>
      <c r="F47" s="4558"/>
    </row>
    <row r="48" spans="2:7" x14ac:dyDescent="0.2">
      <c r="B48" s="875"/>
      <c r="C48" s="4123" t="s">
        <v>2234</v>
      </c>
      <c r="D48" s="4123" t="s">
        <v>2235</v>
      </c>
      <c r="E48" s="4557" t="s">
        <v>2260</v>
      </c>
      <c r="F48" s="4558"/>
    </row>
    <row r="49" spans="2:6" ht="18" customHeight="1" x14ac:dyDescent="0.2">
      <c r="B49" s="874" t="s">
        <v>2004</v>
      </c>
      <c r="C49" s="4123"/>
      <c r="D49" s="4123"/>
      <c r="E49" s="4557"/>
      <c r="F49" s="4558"/>
    </row>
    <row r="50" spans="2:6" ht="18" customHeight="1" x14ac:dyDescent="0.2">
      <c r="B50" s="875"/>
      <c r="C50" s="4123"/>
      <c r="D50" s="4123"/>
      <c r="E50" s="4557"/>
      <c r="F50" s="4558"/>
    </row>
    <row r="51" spans="2:6" ht="18" customHeight="1" x14ac:dyDescent="0.2">
      <c r="B51" s="874" t="s">
        <v>1971</v>
      </c>
      <c r="C51" s="4123"/>
      <c r="D51" s="4123"/>
      <c r="E51" s="4557"/>
      <c r="F51" s="4558"/>
    </row>
    <row r="52" spans="2:6" ht="18" customHeight="1" x14ac:dyDescent="0.2">
      <c r="B52" s="875"/>
      <c r="C52" s="4123"/>
      <c r="D52" s="4123"/>
      <c r="E52" s="4557"/>
      <c r="F52" s="4558"/>
    </row>
    <row r="53" spans="2:6" ht="18" customHeight="1" x14ac:dyDescent="0.2">
      <c r="B53" s="2578" t="s">
        <v>2261</v>
      </c>
      <c r="C53" s="4123"/>
      <c r="D53" s="4123"/>
      <c r="E53" s="4557"/>
      <c r="F53" s="4558"/>
    </row>
    <row r="54" spans="2:6" ht="18" customHeight="1" x14ac:dyDescent="0.2">
      <c r="B54" s="2579" t="s">
        <v>2262</v>
      </c>
      <c r="C54" s="4123"/>
      <c r="D54" s="4123"/>
      <c r="E54" s="4557"/>
      <c r="F54" s="4558"/>
    </row>
    <row r="55" spans="2:6" ht="18" customHeight="1" x14ac:dyDescent="0.2">
      <c r="B55" s="2578" t="s">
        <v>905</v>
      </c>
      <c r="C55" s="4123"/>
      <c r="D55" s="4123"/>
      <c r="E55" s="4557"/>
      <c r="F55" s="4558"/>
    </row>
    <row r="56" spans="2:6" ht="18" customHeight="1" x14ac:dyDescent="0.2">
      <c r="B56" s="2579"/>
      <c r="C56" s="4123"/>
      <c r="D56" s="4123"/>
      <c r="E56" s="4557"/>
      <c r="F56" s="4558"/>
    </row>
    <row r="57" spans="2:6" ht="18" customHeight="1" x14ac:dyDescent="0.2">
      <c r="B57" s="2580" t="s">
        <v>2263</v>
      </c>
      <c r="C57" s="4123"/>
      <c r="D57" s="4123"/>
      <c r="E57" s="4557"/>
      <c r="F57" s="4558"/>
    </row>
    <row r="58" spans="2:6" ht="18" customHeight="1" thickBot="1" x14ac:dyDescent="0.25">
      <c r="B58" s="2581"/>
      <c r="C58" s="4125"/>
      <c r="D58" s="4125"/>
      <c r="E58" s="4567"/>
      <c r="F58" s="456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Z10" sqref="Z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1317912.1372902109</v>
      </c>
      <c r="D10" s="1938" t="s">
        <v>97</v>
      </c>
      <c r="E10" s="615"/>
      <c r="F10" s="615"/>
      <c r="G10" s="615"/>
      <c r="H10" s="1851">
        <f>IF(SUM(H11:H14)=0,"NO",SUM(H11:H14))</f>
        <v>89136.106454077162</v>
      </c>
      <c r="I10" s="1851">
        <f>IF(SUM(I11:I15)=0,"NO",SUM(I11:I15))</f>
        <v>16.791080754835814</v>
      </c>
      <c r="J10" s="2217">
        <f>IF(SUM(J11:J15)=0,"NO",SUM(J11:J15))</f>
        <v>6.1902682966705616</v>
      </c>
    </row>
    <row r="11" spans="2:11" ht="18" customHeight="1" x14ac:dyDescent="0.2">
      <c r="B11" s="282" t="s">
        <v>243</v>
      </c>
      <c r="C11" s="1938">
        <f>IF(SUM(C17:C18,C21:C24,C82,C89:C92,C100)=0,"NO",SUM(C17:C18,C21:C24,C82,C89:C92,C100))</f>
        <v>1292804.2186674082</v>
      </c>
      <c r="D11" s="1934" t="s">
        <v>97</v>
      </c>
      <c r="E11" s="1938">
        <f>IFERROR(H11*1000/$C11,"NA")</f>
        <v>68.242008468813125</v>
      </c>
      <c r="F11" s="1938">
        <f t="shared" ref="F11:G15" si="0">IFERROR(I11*1000000/$C11,"NA")</f>
        <v>12.424143543532706</v>
      </c>
      <c r="G11" s="1938">
        <f t="shared" si="0"/>
        <v>4.7450124381138554</v>
      </c>
      <c r="H11" s="1938">
        <f>IF(SUM(H17:H18,H21:H24,H82,H89:H92,H100)=0,"NO",SUM(H17:H18,H21:H24,H82,H89:H92,H100))</f>
        <v>88223.556438818603</v>
      </c>
      <c r="I11" s="1938">
        <f>IF(SUM(I17:I18,I21:I24,I82,I89:I92,I100)=0,"NO",SUM(I17:I18,I21:I24,I82,I89:I92,I100))</f>
        <v>16.061985186408524</v>
      </c>
      <c r="J11" s="3064">
        <f>IF(SUM(J17:J18,J21:J24,J82,J89:J92,J100)=0,"NO",SUM(J17:J18,J21:J24,J82,J89:J92,J100))</f>
        <v>6.1343720976229168</v>
      </c>
    </row>
    <row r="12" spans="2:11" ht="18" customHeight="1" x14ac:dyDescent="0.2">
      <c r="B12" s="282" t="s">
        <v>245</v>
      </c>
      <c r="C12" s="1938">
        <f>IF(SUM(C83,C101,C97)=0,"NO",SUM(C83,C101,C97))</f>
        <v>2939.9999999999995</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12577.460214000001</v>
      </c>
      <c r="D13" s="1934" t="s">
        <v>97</v>
      </c>
      <c r="E13" s="1938">
        <f t="shared" si="1"/>
        <v>51.411918339264986</v>
      </c>
      <c r="F13" s="1938">
        <f t="shared" si="0"/>
        <v>28.168558478616887</v>
      </c>
      <c r="G13" s="1938">
        <f t="shared" si="0"/>
        <v>0.27610073594465351</v>
      </c>
      <c r="H13" s="1938">
        <f>IF(SUM(H26,H84,H94,H102)=0,"NO",SUM(H26,H84,H94,H102))</f>
        <v>646.63135743752241</v>
      </c>
      <c r="I13" s="1938">
        <f>IF(SUM(I26,I84,I94,I102)=0,"NO",SUM(I26,I84,I94,I102))</f>
        <v>0.35428892355053626</v>
      </c>
      <c r="J13" s="3064">
        <f>IF(SUM(J26,J84,J94,J102)=0,"NO",SUM(J26,J84,J94,J102))</f>
        <v>3.4726460213999996E-3</v>
      </c>
    </row>
    <row r="14" spans="2:11" ht="18" customHeight="1" x14ac:dyDescent="0.2">
      <c r="B14" s="282" t="s">
        <v>290</v>
      </c>
      <c r="C14" s="1938">
        <f>IF(SUM(C28,C86,C96,C103)=0,"NO",SUM(C28,C86,C96,C103))</f>
        <v>2957.9898747753805</v>
      </c>
      <c r="D14" s="1934" t="s">
        <v>97</v>
      </c>
      <c r="E14" s="1938">
        <f t="shared" si="1"/>
        <v>89.898434098334533</v>
      </c>
      <c r="F14" s="1938">
        <f t="shared" si="0"/>
        <v>31.805382703395527</v>
      </c>
      <c r="G14" s="1938">
        <f t="shared" si="0"/>
        <v>0.9939182094811102</v>
      </c>
      <c r="H14" s="1938">
        <f>IF(SUM(H28,H86,H96,H103)=0,"NO",SUM(H28,H86,H96,H103))</f>
        <v>265.91865782103537</v>
      </c>
      <c r="I14" s="1938">
        <f>IF(SUM(I28,I86,I96,I103)=0,"NO",SUM(I28,I86,I96,I103))</f>
        <v>9.4079999999999983E-2</v>
      </c>
      <c r="J14" s="3064">
        <f>IF(SUM(J28,J86,J96,J103)=0,"NO",SUM(J28,J86,J96,J103))</f>
        <v>2.9399999999999995E-3</v>
      </c>
    </row>
    <row r="15" spans="2:11" ht="18" customHeight="1" x14ac:dyDescent="0.2">
      <c r="B15" s="282" t="s">
        <v>249</v>
      </c>
      <c r="C15" s="1938">
        <f>IF(SUM(C19,C27,C85,C95,C104)=0,"NO",SUM(C19,C27,C85,C95,C104))</f>
        <v>6632.4685340273627</v>
      </c>
      <c r="D15" s="1938" t="s">
        <v>97</v>
      </c>
      <c r="E15" s="1938">
        <f t="shared" si="1"/>
        <v>67.260000000000019</v>
      </c>
      <c r="F15" s="1938">
        <f t="shared" si="0"/>
        <v>42.326117860416957</v>
      </c>
      <c r="G15" s="1938">
        <f t="shared" si="0"/>
        <v>7.4608047927212837</v>
      </c>
      <c r="H15" s="1938">
        <f>IF(SUM(H19,H27,H85,H95,H104)=0,"NO",SUM(H19,H27,H85,H95,H104))</f>
        <v>446.0998335986805</v>
      </c>
      <c r="I15" s="1938">
        <f>IF(SUM(I19,I27,I85,I95,I104)=0,"NO",SUM(I19,I27,I85,I95,I104))</f>
        <v>0.28072664487674903</v>
      </c>
      <c r="J15" s="3064">
        <f>IF(SUM(J19,J27,J85,J95,J104)=0,"NO",SUM(J19,J27,J85,J95,J104))</f>
        <v>4.9483553026244451E-2</v>
      </c>
    </row>
    <row r="16" spans="2:11" ht="18" customHeight="1" x14ac:dyDescent="0.2">
      <c r="B16" s="1240" t="s">
        <v>291</v>
      </c>
      <c r="C16" s="1938">
        <f>IF(SUM(C17:C19)=0,"NO",SUM(C17:C19))</f>
        <v>109167.88501339999</v>
      </c>
      <c r="D16" s="1934" t="s">
        <v>97</v>
      </c>
      <c r="E16" s="615"/>
      <c r="F16" s="615"/>
      <c r="G16" s="615"/>
      <c r="H16" s="1938">
        <f>IF(SUM(H17:H18)=0,"NO",SUM(H17:H18))</f>
        <v>7591.1958576977986</v>
      </c>
      <c r="I16" s="1938">
        <f>IF(SUM(I17:I19)=0,"NO",SUM(I17:I19))</f>
        <v>3.5973715512551754E-2</v>
      </c>
      <c r="J16" s="3064">
        <f>IF(SUM(J17:J19)=0,"NO",SUM(J17:J19))</f>
        <v>5.6262731300018819E-2</v>
      </c>
    </row>
    <row r="17" spans="2:10" ht="18" customHeight="1" x14ac:dyDescent="0.2">
      <c r="B17" s="282" t="s">
        <v>292</v>
      </c>
      <c r="C17" s="699">
        <v>2649.5920133999998</v>
      </c>
      <c r="D17" s="1934" t="s">
        <v>97</v>
      </c>
      <c r="E17" s="1938">
        <f t="shared" ref="E17:E19" si="2">IFERROR(H17*1000/$C17,"NA")</f>
        <v>67</v>
      </c>
      <c r="F17" s="1938">
        <f t="shared" ref="F17:G19" si="3">IFERROR(I17*1000000/$C17,"NA")</f>
        <v>0.5</v>
      </c>
      <c r="G17" s="1938">
        <f t="shared" si="3"/>
        <v>2</v>
      </c>
      <c r="H17" s="699">
        <v>177.52266489779998</v>
      </c>
      <c r="I17" s="699">
        <v>1.3247960067E-3</v>
      </c>
      <c r="J17" s="2921">
        <v>5.2991840267999999E-3</v>
      </c>
    </row>
    <row r="18" spans="2:10" ht="18" customHeight="1" x14ac:dyDescent="0.2">
      <c r="B18" s="282" t="s">
        <v>293</v>
      </c>
      <c r="C18" s="699">
        <v>106518.29299999999</v>
      </c>
      <c r="D18" s="1934" t="s">
        <v>97</v>
      </c>
      <c r="E18" s="1938">
        <f t="shared" si="2"/>
        <v>69.599999999999994</v>
      </c>
      <c r="F18" s="1938">
        <f t="shared" si="3"/>
        <v>0.32528609434110778</v>
      </c>
      <c r="G18" s="1938">
        <f t="shared" si="3"/>
        <v>0.47844877943377129</v>
      </c>
      <c r="H18" s="699">
        <v>7413.673192799999</v>
      </c>
      <c r="I18" s="699">
        <v>3.4648919505851757E-2</v>
      </c>
      <c r="J18" s="2921">
        <v>5.096354727321882E-2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1129704.6171011226</v>
      </c>
      <c r="D20" s="1934" t="s">
        <v>97</v>
      </c>
      <c r="E20" s="615"/>
      <c r="F20" s="615"/>
      <c r="G20" s="615"/>
      <c r="H20" s="1938">
        <f>IF(SUM(H21:H24,H26,H28)=0,"NO",SUM(H21:H24,H26,H28))</f>
        <v>76372.868669658637</v>
      </c>
      <c r="I20" s="1938">
        <f>IF(SUM(I21:I24,I26:I28)=0,"NO",SUM(I21:I24,I26:I28))</f>
        <v>11.997810000887407</v>
      </c>
      <c r="J20" s="3064">
        <f>IF(SUM(J21:J24,J26:J28)=0,"NO",SUM(J21:J24,J26:J28))</f>
        <v>5.0353989438467242</v>
      </c>
    </row>
    <row r="21" spans="2:10" ht="18" customHeight="1" x14ac:dyDescent="0.2">
      <c r="B21" s="282" t="s">
        <v>281</v>
      </c>
      <c r="C21" s="1938">
        <f>IF(SUM(C31,C41,C51,C61,C72)=0,"NO",SUM(C31,C41,C51,C61,C72))</f>
        <v>633842.61898744991</v>
      </c>
      <c r="D21" s="1934" t="s">
        <v>97</v>
      </c>
      <c r="E21" s="1938">
        <f t="shared" ref="E21:E23" si="4">IFERROR(H21*1000/$C21,"NA")</f>
        <v>67.400000000000006</v>
      </c>
      <c r="F21" s="1938">
        <f t="shared" ref="F21:G23" si="5">IFERROR(I21*1000000/$C21,"NA")</f>
        <v>11.343189608129814</v>
      </c>
      <c r="G21" s="1938">
        <f t="shared" si="5"/>
        <v>6.4655183746298439</v>
      </c>
      <c r="H21" s="1938">
        <f t="shared" ref="H21:J23" si="6">IF(SUM(H31,H41,H51,H61,H72)=0,"NO",SUM(H31,H41,H51,H61,H72))</f>
        <v>42720.992519754123</v>
      </c>
      <c r="I21" s="1938">
        <f t="shared" si="6"/>
        <v>7.1897970088882266</v>
      </c>
      <c r="J21" s="3064">
        <f t="shared" si="6"/>
        <v>4.0981210996868604</v>
      </c>
    </row>
    <row r="22" spans="2:10" ht="18" customHeight="1" x14ac:dyDescent="0.2">
      <c r="B22" s="282" t="s">
        <v>282</v>
      </c>
      <c r="C22" s="1938">
        <f>IF(SUM(C32,C42,C52,C62,C73)=0,"NO",SUM(C32,C42,C52,C62,C73))</f>
        <v>434415.70608736522</v>
      </c>
      <c r="D22" s="1934" t="s">
        <v>97</v>
      </c>
      <c r="E22" s="1938">
        <f t="shared" si="4"/>
        <v>69.900000000000006</v>
      </c>
      <c r="F22" s="1938">
        <f t="shared" si="5"/>
        <v>6.6065074808662851</v>
      </c>
      <c r="G22" s="1938">
        <f t="shared" si="5"/>
        <v>1.756540759933483</v>
      </c>
      <c r="H22" s="1938">
        <f t="shared" si="6"/>
        <v>30365.657855506834</v>
      </c>
      <c r="I22" s="1938">
        <f t="shared" si="6"/>
        <v>2.8699706120719877</v>
      </c>
      <c r="J22" s="3064">
        <f t="shared" si="6"/>
        <v>0.76306889449774118</v>
      </c>
    </row>
    <row r="23" spans="2:10" ht="18" customHeight="1" x14ac:dyDescent="0.2">
      <c r="B23" s="282" t="s">
        <v>283</v>
      </c>
      <c r="C23" s="1938">
        <f>IF(SUM(C33,C43,C53,C63,C74)=0,"NO",SUM(C33,C43,C53,C63,C74))</f>
        <v>52567</v>
      </c>
      <c r="D23" s="1934" t="s">
        <v>97</v>
      </c>
      <c r="E23" s="1938">
        <f t="shared" si="4"/>
        <v>60.199999999999996</v>
      </c>
      <c r="F23" s="1938">
        <f t="shared" si="5"/>
        <v>28.431903344274129</v>
      </c>
      <c r="G23" s="1938">
        <f t="shared" si="5"/>
        <v>2.338773141200027</v>
      </c>
      <c r="H23" s="1938">
        <f t="shared" si="6"/>
        <v>3164.5333999999998</v>
      </c>
      <c r="I23" s="1938">
        <f t="shared" si="6"/>
        <v>1.4945798630984581</v>
      </c>
      <c r="J23" s="3064">
        <f t="shared" si="6"/>
        <v>0.12294228771346181</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2360.9999999999995</v>
      </c>
      <c r="D26" s="1934" t="s">
        <v>97</v>
      </c>
      <c r="E26" s="1938">
        <f t="shared" si="7"/>
        <v>51.411918339265014</v>
      </c>
      <c r="F26" s="1938">
        <f t="shared" si="8"/>
        <v>106.15325448336736</v>
      </c>
      <c r="G26" s="1938">
        <f t="shared" si="8"/>
        <v>1.0000000000000002</v>
      </c>
      <c r="H26" s="1938">
        <f t="shared" ref="H26:J29" si="10">IF(SUM(H36,H46,H56,H66,H77)=0,"NO",SUM(H36,H46,H56,H66,H77))</f>
        <v>121.38353919900467</v>
      </c>
      <c r="I26" s="1938">
        <f t="shared" si="10"/>
        <v>0.2506278338352303</v>
      </c>
      <c r="J26" s="3064">
        <f t="shared" si="10"/>
        <v>2.3609999999999998E-3</v>
      </c>
    </row>
    <row r="27" spans="2:10" ht="18" customHeight="1" x14ac:dyDescent="0.2">
      <c r="B27" s="282" t="s">
        <v>249</v>
      </c>
      <c r="C27" s="1938">
        <f t="shared" si="9"/>
        <v>6514.180768480991</v>
      </c>
      <c r="D27" s="1934" t="s">
        <v>97</v>
      </c>
      <c r="E27" s="1938">
        <f t="shared" si="7"/>
        <v>67.260000000000005</v>
      </c>
      <c r="F27" s="1938">
        <f t="shared" si="8"/>
        <v>29.602292267745987</v>
      </c>
      <c r="G27" s="1938">
        <f t="shared" si="8"/>
        <v>7.5075690538543256</v>
      </c>
      <c r="H27" s="1938">
        <f t="shared" si="10"/>
        <v>438.14379848803151</v>
      </c>
      <c r="I27" s="1938">
        <f t="shared" si="10"/>
        <v>0.19283468299350445</v>
      </c>
      <c r="J27" s="3064">
        <f t="shared" si="10"/>
        <v>4.8905661948660875E-2</v>
      </c>
    </row>
    <row r="28" spans="2:10" ht="18" customHeight="1" x14ac:dyDescent="0.2">
      <c r="B28" s="282" t="s">
        <v>290</v>
      </c>
      <c r="C28" s="1938">
        <f>C29</f>
        <v>4.1112578265386839</v>
      </c>
      <c r="D28" s="1934" t="s">
        <v>97</v>
      </c>
      <c r="E28" s="615"/>
      <c r="F28" s="615"/>
      <c r="G28" s="615"/>
      <c r="H28" s="1938">
        <f>H29</f>
        <v>0.30135519868528549</v>
      </c>
      <c r="I28" s="1938" t="str">
        <f>I29</f>
        <v>NE</v>
      </c>
      <c r="J28" s="3064" t="str">
        <f>J29</f>
        <v>NE</v>
      </c>
    </row>
    <row r="29" spans="2:10" ht="18" customHeight="1" x14ac:dyDescent="0.2">
      <c r="B29" s="3083" t="s">
        <v>297</v>
      </c>
      <c r="C29" s="1938">
        <f t="shared" si="9"/>
        <v>4.1112578265386839</v>
      </c>
      <c r="D29" s="1934" t="s">
        <v>97</v>
      </c>
      <c r="E29" s="3081">
        <f t="shared" ref="E29" si="11">IFERROR(H29*1000/$C29,"NA")</f>
        <v>73.299999999999983</v>
      </c>
      <c r="F29" s="3081" t="str">
        <f>IFERROR(I29*1000000/$C29,"NA")</f>
        <v>NA</v>
      </c>
      <c r="G29" s="3081" t="str">
        <f>IFERROR(J29*1000000/$C29,"NA")</f>
        <v>NA</v>
      </c>
      <c r="H29" s="1938">
        <f t="shared" si="10"/>
        <v>0.30135519868528549</v>
      </c>
      <c r="I29" s="1938" t="str">
        <f>IF(SUM(I39,I49,I59,I69,I80)=0,"NE",SUM(I39,I49,I59,I69,I80))</f>
        <v>NE</v>
      </c>
      <c r="J29" s="3064" t="str">
        <f>IF(SUM(J39,J49,J59,J69,J80)=0,"NE",SUM(J39,J49,J59,J69,J80))</f>
        <v>NE</v>
      </c>
    </row>
    <row r="30" spans="2:10" ht="18" customHeight="1" x14ac:dyDescent="0.2">
      <c r="B30" s="1241" t="s">
        <v>298</v>
      </c>
      <c r="C30" s="1938">
        <f>IF(SUM(C31:C34,C36:C38)=0,"NO",SUM(C31:C34,C36:C38))</f>
        <v>647518.36126689974</v>
      </c>
      <c r="D30" s="1934" t="s">
        <v>97</v>
      </c>
      <c r="E30" s="615"/>
      <c r="F30" s="615"/>
      <c r="G30" s="615"/>
      <c r="H30" s="1938">
        <f>IF(SUM(H31:H34,H36,H38)=0,"NO",SUM(H31:H34,H36,H38))</f>
        <v>43166.42975196043</v>
      </c>
      <c r="I30" s="1938">
        <f>IF(SUM(I31:I34,I36:I38)=0,"NO",SUM(I31:I34,I36:I38))</f>
        <v>7.4427915493853671</v>
      </c>
      <c r="J30" s="3064">
        <f>IF(SUM(J31:J34,J36:J38)=0,"NO",SUM(J31:J34,J36:J38))</f>
        <v>3.9327170580544011</v>
      </c>
    </row>
    <row r="31" spans="2:10" ht="18" customHeight="1" x14ac:dyDescent="0.2">
      <c r="B31" s="282" t="s">
        <v>281</v>
      </c>
      <c r="C31" s="699">
        <v>544107.98983644275</v>
      </c>
      <c r="D31" s="1934" t="s">
        <v>97</v>
      </c>
      <c r="E31" s="1938">
        <f t="shared" ref="E31:E33" si="12">IFERROR(H31*1000/$C31,"NA")</f>
        <v>67.400000000000006</v>
      </c>
      <c r="F31" s="1938">
        <f t="shared" ref="F31:G33" si="13">IFERROR(I31*1000000/$C31,"NA")</f>
        <v>10.772364237847674</v>
      </c>
      <c r="G31" s="1938">
        <f t="shared" si="13"/>
        <v>6.8794448674917845</v>
      </c>
      <c r="H31" s="699">
        <v>36672.878514976241</v>
      </c>
      <c r="I31" s="699">
        <v>5.8613294512412812</v>
      </c>
      <c r="J31" s="2921">
        <v>3.7431609180415881</v>
      </c>
    </row>
    <row r="32" spans="2:10" ht="18" customHeight="1" x14ac:dyDescent="0.2">
      <c r="B32" s="282" t="s">
        <v>282</v>
      </c>
      <c r="C32" s="699">
        <v>62440.354893796823</v>
      </c>
      <c r="D32" s="1934" t="s">
        <v>97</v>
      </c>
      <c r="E32" s="1938">
        <f t="shared" si="12"/>
        <v>69.900000000000006</v>
      </c>
      <c r="F32" s="1938">
        <f t="shared" si="13"/>
        <v>5.3429746368524231</v>
      </c>
      <c r="G32" s="1938">
        <f t="shared" si="13"/>
        <v>1.1198396080345689</v>
      </c>
      <c r="H32" s="699">
        <v>4364.5808070763978</v>
      </c>
      <c r="I32" s="699">
        <v>0.33361723251362052</v>
      </c>
      <c r="J32" s="2921">
        <v>6.992318254980881E-2</v>
      </c>
    </row>
    <row r="33" spans="2:10" ht="18" customHeight="1" x14ac:dyDescent="0.2">
      <c r="B33" s="282" t="s">
        <v>283</v>
      </c>
      <c r="C33" s="699">
        <v>35339.097172616763</v>
      </c>
      <c r="D33" s="1934" t="s">
        <v>97</v>
      </c>
      <c r="E33" s="1938">
        <f t="shared" si="12"/>
        <v>60.20000000000001</v>
      </c>
      <c r="F33" s="1938">
        <f t="shared" si="13"/>
        <v>30.611840305414127</v>
      </c>
      <c r="G33" s="1938">
        <f t="shared" si="13"/>
        <v>2.3087164000863711</v>
      </c>
      <c r="H33" s="699">
        <v>2127.4136497915292</v>
      </c>
      <c r="I33" s="699">
        <v>1.0817947991856562</v>
      </c>
      <c r="J33" s="2921">
        <v>8.1587953206666231E-2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30.280529623231125</v>
      </c>
      <c r="D36" s="1934" t="s">
        <v>97</v>
      </c>
      <c r="E36" s="1938">
        <f t="shared" si="14"/>
        <v>51.411918339264993</v>
      </c>
      <c r="F36" s="1938">
        <f t="shared" si="15"/>
        <v>260.99999999999994</v>
      </c>
      <c r="G36" s="1938">
        <f t="shared" si="15"/>
        <v>0.99999999999999989</v>
      </c>
      <c r="H36" s="699">
        <v>1.5567801162592532</v>
      </c>
      <c r="I36" s="699">
        <v>7.9032182316633223E-3</v>
      </c>
      <c r="J36" s="2921">
        <v>3.028052962323112E-5</v>
      </c>
    </row>
    <row r="37" spans="2:10" ht="18" customHeight="1" x14ac:dyDescent="0.2">
      <c r="B37" s="282" t="s">
        <v>249</v>
      </c>
      <c r="C37" s="699">
        <v>5600.6388344200786</v>
      </c>
      <c r="D37" s="1934" t="s">
        <v>97</v>
      </c>
      <c r="E37" s="1938">
        <f t="shared" si="14"/>
        <v>67.260000000000005</v>
      </c>
      <c r="F37" s="1938">
        <f t="shared" si="15"/>
        <v>28.237287368222265</v>
      </c>
      <c r="G37" s="1938">
        <f t="shared" si="15"/>
        <v>6.7875692131914844</v>
      </c>
      <c r="H37" s="699">
        <v>376.69896800309454</v>
      </c>
      <c r="I37" s="699">
        <v>0.15814684821314515</v>
      </c>
      <c r="J37" s="2921">
        <v>3.8014723726714363E-2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199161.95222606324</v>
      </c>
      <c r="D40" s="1934" t="s">
        <v>97</v>
      </c>
      <c r="E40" s="615"/>
      <c r="F40" s="615"/>
      <c r="G40" s="615"/>
      <c r="H40" s="1938">
        <f>IF(SUM(H41:H44,H46,H48)=0,"NO",SUM(H41:H44,H46,H48))</f>
        <v>13521.887173277899</v>
      </c>
      <c r="I40" s="1938">
        <f>IF(SUM(I41:I44,I46:I48)=0,"NO",SUM(I41:I44,I46:I48))</f>
        <v>2.4280299692641534</v>
      </c>
      <c r="J40" s="3064">
        <f>IF(SUM(J41:J44,J46:J48)=0,"NO",SUM(J41:J44,J46:J48))</f>
        <v>0.52445118788865175</v>
      </c>
    </row>
    <row r="41" spans="2:10" ht="18" customHeight="1" x14ac:dyDescent="0.2">
      <c r="B41" s="282" t="s">
        <v>281</v>
      </c>
      <c r="C41" s="699">
        <v>83278.622564540026</v>
      </c>
      <c r="D41" s="1934" t="s">
        <v>97</v>
      </c>
      <c r="E41" s="1938">
        <f t="shared" ref="E41:E43" si="17">IFERROR(H41*1000/$C41,"NA")</f>
        <v>67.399999999999991</v>
      </c>
      <c r="F41" s="1938">
        <f t="shared" ref="F41:G43" si="18">IFERROR(I41*1000000/$C41,"NA")</f>
        <v>11.681638517761039</v>
      </c>
      <c r="G41" s="1938">
        <f t="shared" si="18"/>
        <v>4.1882838438568148</v>
      </c>
      <c r="H41" s="699">
        <v>5612.9791608499972</v>
      </c>
      <c r="I41" s="699">
        <v>0.97283076505601429</v>
      </c>
      <c r="J41" s="2921">
        <v>0.34879450942571255</v>
      </c>
    </row>
    <row r="42" spans="2:10" ht="18" customHeight="1" x14ac:dyDescent="0.2">
      <c r="B42" s="282" t="s">
        <v>282</v>
      </c>
      <c r="C42" s="699">
        <v>101868.96422945554</v>
      </c>
      <c r="D42" s="1934" t="s">
        <v>97</v>
      </c>
      <c r="E42" s="1938">
        <f t="shared" si="17"/>
        <v>69.899999999999991</v>
      </c>
      <c r="F42" s="1938">
        <f t="shared" si="18"/>
        <v>10.195661971768494</v>
      </c>
      <c r="G42" s="1938">
        <f t="shared" si="18"/>
        <v>1.2699780901900173</v>
      </c>
      <c r="H42" s="699">
        <v>7120.6405996389421</v>
      </c>
      <c r="I42" s="699">
        <v>1.0386215246977049</v>
      </c>
      <c r="J42" s="2921">
        <v>0.12937135264175911</v>
      </c>
    </row>
    <row r="43" spans="2:10" ht="18" customHeight="1" x14ac:dyDescent="0.2">
      <c r="B43" s="282" t="s">
        <v>283</v>
      </c>
      <c r="C43" s="699">
        <v>13055.061316159774</v>
      </c>
      <c r="D43" s="1934" t="s">
        <v>97</v>
      </c>
      <c r="E43" s="1938">
        <f t="shared" si="17"/>
        <v>60.2</v>
      </c>
      <c r="F43" s="1938">
        <f t="shared" si="18"/>
        <v>28.337355628509641</v>
      </c>
      <c r="G43" s="1938">
        <f t="shared" si="18"/>
        <v>2.7076567900628286</v>
      </c>
      <c r="H43" s="699">
        <v>785.91469123281843</v>
      </c>
      <c r="I43" s="699">
        <v>0.36994591526801868</v>
      </c>
      <c r="J43" s="2921">
        <v>3.5348625417386585E-2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45.762181846958185</v>
      </c>
      <c r="D46" s="1934" t="s">
        <v>97</v>
      </c>
      <c r="E46" s="1938">
        <f t="shared" si="19"/>
        <v>51.411918339264993</v>
      </c>
      <c r="F46" s="1938">
        <f t="shared" si="20"/>
        <v>260.99999999999994</v>
      </c>
      <c r="G46" s="1938">
        <f t="shared" si="20"/>
        <v>1.0000000000000002</v>
      </c>
      <c r="H46" s="699">
        <v>2.3527215561424093</v>
      </c>
      <c r="I46" s="699">
        <v>1.1943929462056083E-2</v>
      </c>
      <c r="J46" s="2921">
        <v>4.5762181846958193E-5</v>
      </c>
    </row>
    <row r="47" spans="2:10" ht="18" customHeight="1" x14ac:dyDescent="0.2">
      <c r="B47" s="282" t="s">
        <v>249</v>
      </c>
      <c r="C47" s="699">
        <v>913.54193406091213</v>
      </c>
      <c r="D47" s="1934" t="s">
        <v>97</v>
      </c>
      <c r="E47" s="1938">
        <f t="shared" si="19"/>
        <v>67.260000000000019</v>
      </c>
      <c r="F47" s="1938">
        <f t="shared" si="20"/>
        <v>37.970708827961076</v>
      </c>
      <c r="G47" s="1938">
        <f t="shared" si="20"/>
        <v>11.921662067042389</v>
      </c>
      <c r="H47" s="699">
        <v>61.444830484936965</v>
      </c>
      <c r="I47" s="699">
        <v>3.4687834780359313E-2</v>
      </c>
      <c r="J47" s="2921">
        <v>1.0890938221946514E-2</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278535.14313835546</v>
      </c>
      <c r="D50" s="1934" t="s">
        <v>97</v>
      </c>
      <c r="E50" s="615"/>
      <c r="F50" s="615"/>
      <c r="G50" s="615"/>
      <c r="H50" s="1938">
        <f>IF(SUM(H51:H54,H56,H58)=0,"NO",SUM(H51:H54,H56,H58))</f>
        <v>19381.958072334328</v>
      </c>
      <c r="I50" s="1938">
        <f>IF(SUM(I51:I54,I56:I58)=0,"NO",SUM(I51:I54,I56:I58))</f>
        <v>1.8045086711954756</v>
      </c>
      <c r="J50" s="3064">
        <f>IF(SUM(J51:J54,J56:J58)=0,"NO",SUM(J51:J54,J56:J58))</f>
        <v>0.57393096708977298</v>
      </c>
    </row>
    <row r="51" spans="2:10" ht="18" customHeight="1" x14ac:dyDescent="0.2">
      <c r="B51" s="282" t="s">
        <v>281</v>
      </c>
      <c r="C51" s="699">
        <v>1970.9573744893237</v>
      </c>
      <c r="D51" s="1934" t="s">
        <v>97</v>
      </c>
      <c r="E51" s="1938">
        <f t="shared" ref="E51:E53" si="22">IFERROR(H51*1000/$C51,"NA")</f>
        <v>67.400000000000006</v>
      </c>
      <c r="F51" s="1938">
        <f t="shared" ref="F51:G53" si="23">IFERROR(I51*1000000/$C51,"NA")</f>
        <v>16.822779618514261</v>
      </c>
      <c r="G51" s="1938">
        <f t="shared" si="23"/>
        <v>0.94671829528748797</v>
      </c>
      <c r="H51" s="699">
        <v>132.84252704058042</v>
      </c>
      <c r="I51" s="699">
        <v>3.3156981548519378E-2</v>
      </c>
      <c r="J51" s="2921">
        <v>1.8659414056608355E-3</v>
      </c>
    </row>
    <row r="52" spans="2:10" ht="18" customHeight="1" x14ac:dyDescent="0.2">
      <c r="B52" s="282" t="s">
        <v>282</v>
      </c>
      <c r="C52" s="699">
        <v>270106.38696411287</v>
      </c>
      <c r="D52" s="1934" t="s">
        <v>97</v>
      </c>
      <c r="E52" s="1938">
        <f t="shared" si="22"/>
        <v>69.900000000000006</v>
      </c>
      <c r="F52" s="1938">
        <f t="shared" si="23"/>
        <v>5.5449701567392236</v>
      </c>
      <c r="G52" s="1938">
        <f t="shared" si="23"/>
        <v>2.0872307598601068</v>
      </c>
      <c r="H52" s="699">
        <v>18880.436448791494</v>
      </c>
      <c r="I52" s="699">
        <v>1.4977318548606622</v>
      </c>
      <c r="J52" s="2921">
        <v>0.56377435930617326</v>
      </c>
    </row>
    <row r="53" spans="2:10" ht="18" customHeight="1" x14ac:dyDescent="0.2">
      <c r="B53" s="282" t="s">
        <v>283</v>
      </c>
      <c r="C53" s="699">
        <v>4172.8415112234616</v>
      </c>
      <c r="D53" s="1934" t="s">
        <v>97</v>
      </c>
      <c r="E53" s="1938">
        <f t="shared" si="22"/>
        <v>60.20000000000001</v>
      </c>
      <c r="F53" s="1938">
        <f t="shared" si="23"/>
        <v>10.266181576645341</v>
      </c>
      <c r="G53" s="1938">
        <f t="shared" si="23"/>
        <v>1.4392372854937725</v>
      </c>
      <c r="H53" s="699">
        <v>251.20505897565241</v>
      </c>
      <c r="I53" s="699">
        <v>4.2839148644783206E-2</v>
      </c>
      <c r="J53" s="2921">
        <v>6.005709089408986E-3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2284.9572885298103</v>
      </c>
      <c r="D56" s="1934" t="s">
        <v>97</v>
      </c>
      <c r="E56" s="1938">
        <f t="shared" si="24"/>
        <v>51.411918339265014</v>
      </c>
      <c r="F56" s="1938">
        <f t="shared" si="25"/>
        <v>101.00000000000001</v>
      </c>
      <c r="G56" s="1938">
        <f t="shared" si="25"/>
        <v>1</v>
      </c>
      <c r="H56" s="699">
        <v>117.47403752660301</v>
      </c>
      <c r="I56" s="699">
        <v>0.23078068614151087</v>
      </c>
      <c r="J56" s="2921">
        <v>2.2849572885298105E-3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4489.1604698044011</v>
      </c>
      <c r="D60" s="1934" t="s">
        <v>97</v>
      </c>
      <c r="E60" s="615"/>
      <c r="F60" s="615"/>
      <c r="G60" s="615"/>
      <c r="H60" s="1938">
        <f>IF(SUM(H61:H64,H66,H68)=0,"NO",SUM(H61:H64,H66,H68))</f>
        <v>302.59367208599326</v>
      </c>
      <c r="I60" s="1938">
        <f>IF(SUM(I61:I64,I66:I68)=0,"NO",SUM(I61:I64,I66:I68))</f>
        <v>0.32247981104241175</v>
      </c>
      <c r="J60" s="3064">
        <f>IF(SUM(J61:J64,J66:J68)=0,"NO",SUM(J61:J64,J66:J68))</f>
        <v>4.2997308138988232E-3</v>
      </c>
    </row>
    <row r="61" spans="2:10" ht="18" customHeight="1" x14ac:dyDescent="0.2">
      <c r="B61" s="282" t="s">
        <v>281</v>
      </c>
      <c r="C61" s="699">
        <v>4485.0492119778628</v>
      </c>
      <c r="D61" s="1934" t="s">
        <v>97</v>
      </c>
      <c r="E61" s="1938">
        <f t="shared" ref="E61:E63" si="27">IFERROR(H61*1000/$C61,"NA")</f>
        <v>67.40000000000002</v>
      </c>
      <c r="F61" s="1938">
        <f t="shared" ref="F61:G63" si="28">IFERROR(I61*1000000/$C61,"NA")</f>
        <v>71.901064135749195</v>
      </c>
      <c r="G61" s="1938">
        <f t="shared" si="28"/>
        <v>0.95868085514332269</v>
      </c>
      <c r="H61" s="699">
        <v>302.292316887308</v>
      </c>
      <c r="I61" s="699">
        <v>0.32247981104241175</v>
      </c>
      <c r="J61" s="2921">
        <v>4.2997308138988232E-3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4.1112578265386839</v>
      </c>
      <c r="D68" s="1934" t="s">
        <v>97</v>
      </c>
      <c r="E68" s="615"/>
      <c r="F68" s="615"/>
      <c r="G68" s="615"/>
      <c r="H68" s="1938">
        <f>H69</f>
        <v>0.30135519868528549</v>
      </c>
      <c r="I68" s="1938" t="str">
        <f>I69</f>
        <v>NE</v>
      </c>
      <c r="J68" s="3064" t="str">
        <f>J69</f>
        <v>NE</v>
      </c>
    </row>
    <row r="69" spans="2:10" ht="18" customHeight="1" x14ac:dyDescent="0.2">
      <c r="B69" s="3083" t="s">
        <v>297</v>
      </c>
      <c r="C69" s="699">
        <v>4.1112578265386839</v>
      </c>
      <c r="D69" s="1934" t="s">
        <v>97</v>
      </c>
      <c r="E69" s="3081">
        <f t="shared" ref="E69" si="31">IFERROR(H69*1000/$C69,"NA")</f>
        <v>73.299999999999983</v>
      </c>
      <c r="F69" s="3081" t="str">
        <f>IFERROR(I69*1000000/$C69,"NA")</f>
        <v>NA</v>
      </c>
      <c r="G69" s="3081" t="str">
        <f>IFERROR(J69*1000000/$C69,"NA")</f>
        <v>NA</v>
      </c>
      <c r="H69" s="699">
        <v>0.30135519868528549</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35087.266118999993</v>
      </c>
      <c r="D81" s="1934" t="s">
        <v>97</v>
      </c>
      <c r="E81" s="615"/>
      <c r="F81" s="615"/>
      <c r="G81" s="615"/>
      <c r="H81" s="1938">
        <f>IF(SUM(H82:H84,H86)=0,"NO",SUM(H82:H84,H86))</f>
        <v>2452.6119863583999</v>
      </c>
      <c r="I81" s="1938">
        <f>IF(SUM(I82:I86)=0,"NO",SUM(I82:I86))</f>
        <v>0.14033600000000002</v>
      </c>
      <c r="J81" s="3064">
        <f>IF(SUM(J82:J86)=0,"NO",SUM(J82:J86))</f>
        <v>1.0525199999999999</v>
      </c>
    </row>
    <row r="82" spans="2:10" ht="18" customHeight="1" x14ac:dyDescent="0.2">
      <c r="B82" s="282" t="s">
        <v>243</v>
      </c>
      <c r="C82" s="699">
        <v>35087.266118999993</v>
      </c>
      <c r="D82" s="1934" t="s">
        <v>97</v>
      </c>
      <c r="E82" s="1938">
        <f t="shared" ref="E82:E85" si="37">IFERROR(H82*1000/$C82,"NA")</f>
        <v>69.90034441669691</v>
      </c>
      <c r="F82" s="1938">
        <f t="shared" ref="F82:G85" si="38">IFERROR(I82*1000000/$C82,"NA")</f>
        <v>3.9996276576249734</v>
      </c>
      <c r="G82" s="1938">
        <f t="shared" si="38"/>
        <v>29.997207432187295</v>
      </c>
      <c r="H82" s="699">
        <v>2452.6119863583999</v>
      </c>
      <c r="I82" s="699">
        <v>0.14033600000000002</v>
      </c>
      <c r="J82" s="2921">
        <v>1.0525199999999999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30217.689807717183</v>
      </c>
      <c r="D88" s="1934" t="s">
        <v>97</v>
      </c>
      <c r="E88" s="615"/>
      <c r="F88" s="615"/>
      <c r="G88" s="615"/>
      <c r="H88" s="1938">
        <f>IF(SUM(H89:H92,H94,H96)=0,"NO",SUM(H89:H92,H94,H96))</f>
        <v>2153.995140917144</v>
      </c>
      <c r="I88" s="3299">
        <f>IF(SUM(I89:I92,I94:I96)=0,"NE",SUM(I89:I92,I94:I96))</f>
        <v>4.4992726964658818</v>
      </c>
      <c r="J88" s="3300">
        <f>IF(SUM(J89:J92,J94:J96)=0,"NE",SUM(J89:J92,J94:J96))</f>
        <v>4.4922831599912609E-2</v>
      </c>
    </row>
    <row r="89" spans="2:10" ht="18" customHeight="1" x14ac:dyDescent="0.2">
      <c r="B89" s="282" t="s">
        <v>306</v>
      </c>
      <c r="C89" s="699">
        <v>5790.0000000000009</v>
      </c>
      <c r="D89" s="1934" t="s">
        <v>97</v>
      </c>
      <c r="E89" s="1938">
        <f t="shared" ref="E89:E91" si="40">IFERROR(H89*1000/$C89,"NA")</f>
        <v>73.599999999999994</v>
      </c>
      <c r="F89" s="1938">
        <f t="shared" ref="F89:G91" si="41">IFERROR(I89*1000000/$C89,"NA")</f>
        <v>6.9999999999999991</v>
      </c>
      <c r="G89" s="1938">
        <f t="shared" si="41"/>
        <v>1.9999999999999998</v>
      </c>
      <c r="H89" s="699">
        <v>426.14400000000001</v>
      </c>
      <c r="I89" s="4435">
        <v>4.0530000000000004E-2</v>
      </c>
      <c r="J89" s="4436">
        <v>1.158E-2</v>
      </c>
    </row>
    <row r="90" spans="2:10" ht="18" customHeight="1" x14ac:dyDescent="0.2">
      <c r="B90" s="282" t="s">
        <v>307</v>
      </c>
      <c r="C90" s="699">
        <v>9634.6310737757249</v>
      </c>
      <c r="D90" s="1934" t="s">
        <v>97</v>
      </c>
      <c r="E90" s="1938">
        <f t="shared" si="40"/>
        <v>69.90000000000002</v>
      </c>
      <c r="F90" s="1938">
        <f t="shared" si="41"/>
        <v>7.0000000000000027</v>
      </c>
      <c r="G90" s="1938">
        <f t="shared" si="41"/>
        <v>2.0000000000000004</v>
      </c>
      <c r="H90" s="699">
        <v>673.46071205692328</v>
      </c>
      <c r="I90" s="4435">
        <v>6.7442417516430098E-2</v>
      </c>
      <c r="J90" s="4436">
        <v>1.9269262147551453E-2</v>
      </c>
    </row>
    <row r="91" spans="2:10" ht="18" customHeight="1" x14ac:dyDescent="0.2">
      <c r="B91" s="282" t="s">
        <v>281</v>
      </c>
      <c r="C91" s="699">
        <v>11640</v>
      </c>
      <c r="D91" s="1934" t="s">
        <v>97</v>
      </c>
      <c r="E91" s="1938">
        <f t="shared" si="40"/>
        <v>67.400000000000006</v>
      </c>
      <c r="F91" s="1938">
        <f t="shared" si="41"/>
        <v>360.00000000000006</v>
      </c>
      <c r="G91" s="1938">
        <f t="shared" si="41"/>
        <v>0.90000000000000013</v>
      </c>
      <c r="H91" s="699">
        <v>784.53600000000006</v>
      </c>
      <c r="I91" s="4435">
        <v>4.1904000000000003</v>
      </c>
      <c r="J91" s="4436">
        <v>1.0476000000000001E-2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100.00000000000001</v>
      </c>
      <c r="D94" s="1934" t="s">
        <v>97</v>
      </c>
      <c r="E94" s="1938">
        <f t="shared" ref="E94:E95" si="44">IFERROR(H94*1000/$C94,"NA")</f>
        <v>51.411918339265007</v>
      </c>
      <c r="F94" s="1938">
        <f t="shared" si="43"/>
        <v>243.00000000000003</v>
      </c>
      <c r="G94" s="1938">
        <f t="shared" si="43"/>
        <v>1</v>
      </c>
      <c r="H94" s="699">
        <v>5.1411918339265013</v>
      </c>
      <c r="I94" s="3301">
        <v>2.4300000000000006E-2</v>
      </c>
      <c r="J94" s="3302">
        <v>1.0000000000000002E-4</v>
      </c>
    </row>
    <row r="95" spans="2:10" ht="18" customHeight="1" x14ac:dyDescent="0.2">
      <c r="B95" s="282" t="s">
        <v>249</v>
      </c>
      <c r="C95" s="699">
        <v>111.51389047223138</v>
      </c>
      <c r="D95" s="1934" t="s">
        <v>97</v>
      </c>
      <c r="E95" s="1938">
        <f t="shared" si="44"/>
        <v>67.259999999999991</v>
      </c>
      <c r="F95" s="1938">
        <f t="shared" si="43"/>
        <v>739.99999999999977</v>
      </c>
      <c r="G95" s="1938">
        <f t="shared" si="43"/>
        <v>5</v>
      </c>
      <c r="H95" s="699">
        <v>7.5004242731622819</v>
      </c>
      <c r="I95" s="3301">
        <v>8.2520278949451201E-2</v>
      </c>
      <c r="J95" s="3302">
        <v>5.5756945236115683E-4</v>
      </c>
    </row>
    <row r="96" spans="2:10" ht="18" customHeight="1" x14ac:dyDescent="0.2">
      <c r="B96" s="282" t="s">
        <v>299</v>
      </c>
      <c r="C96" s="1938">
        <f>IF(SUM(C97:C98)=0,"NO",SUM(C97:C98))</f>
        <v>2941.5448434692257</v>
      </c>
      <c r="D96" s="1934" t="s">
        <v>97</v>
      </c>
      <c r="E96" s="615"/>
      <c r="F96" s="615"/>
      <c r="G96" s="615"/>
      <c r="H96" s="1938">
        <f>IF(SUM(H97:H98)=0,"NO",SUM(H97:H98))</f>
        <v>264.71323702629428</v>
      </c>
      <c r="I96" s="3299">
        <f>IF(SUM(I97:I98)=0,"NE",SUM(I97:I98))</f>
        <v>9.4079999999999983E-2</v>
      </c>
      <c r="J96" s="3300">
        <f>IF(SUM(J97:J98)=0,"NE",SUM(J97:J98))</f>
        <v>2.9399999999999995E-3</v>
      </c>
    </row>
    <row r="97" spans="2:10" ht="18" customHeight="1" x14ac:dyDescent="0.2">
      <c r="B97" s="2592" t="s">
        <v>309</v>
      </c>
      <c r="C97" s="699">
        <v>2939.9999999999995</v>
      </c>
      <c r="D97" s="1934" t="s">
        <v>97</v>
      </c>
      <c r="E97" s="3081">
        <f t="shared" ref="E97" si="45">IFERROR(H97*1000/$C97,"NA")</f>
        <v>90</v>
      </c>
      <c r="F97" s="3081">
        <f>IFERROR(I97*1000000/$C97,"NA")</f>
        <v>32</v>
      </c>
      <c r="G97" s="3081">
        <f>IFERROR(J97*1000000/$C97,"NA")</f>
        <v>1</v>
      </c>
      <c r="H97" s="699">
        <v>264.59999999999997</v>
      </c>
      <c r="I97" s="3301">
        <v>9.4079999999999983E-2</v>
      </c>
      <c r="J97" s="3302">
        <v>2.9399999999999995E-3</v>
      </c>
    </row>
    <row r="98" spans="2:10" ht="18" customHeight="1" x14ac:dyDescent="0.2">
      <c r="B98" s="2592" t="s">
        <v>297</v>
      </c>
      <c r="C98" s="699">
        <v>1.5448434692263382</v>
      </c>
      <c r="D98" s="1934" t="s">
        <v>97</v>
      </c>
      <c r="E98" s="3081">
        <f t="shared" ref="E98" si="46">IFERROR(H98*1000/$C98,"NA")</f>
        <v>73.300000000000011</v>
      </c>
      <c r="F98" s="3081" t="str">
        <f>IFERROR(I98*1000000/$C98,"NA")</f>
        <v>NA</v>
      </c>
      <c r="G98" s="3081" t="str">
        <f>IFERROR(J98*1000000/$C98,"NA")</f>
        <v>NA</v>
      </c>
      <c r="H98" s="699">
        <v>0.11323702629429061</v>
      </c>
      <c r="I98" s="3301" t="s">
        <v>221</v>
      </c>
      <c r="J98" s="3302" t="s">
        <v>221</v>
      </c>
    </row>
    <row r="99" spans="2:10" ht="18" customHeight="1" x14ac:dyDescent="0.2">
      <c r="B99" s="1240" t="s">
        <v>310</v>
      </c>
      <c r="C99" s="1938">
        <f>IF(SUM(C100:C104)=0,"NO",SUM(C100:C104))</f>
        <v>10794.679248971148</v>
      </c>
      <c r="D99" s="1934" t="s">
        <v>97</v>
      </c>
      <c r="E99" s="615"/>
      <c r="F99" s="615"/>
      <c r="G99" s="615"/>
      <c r="H99" s="1938">
        <f>IF(SUM(H100:H103)=0,"NO",SUM(H100:H103))</f>
        <v>565.43479944517912</v>
      </c>
      <c r="I99" s="1938">
        <f>IF(SUM(I100:I104)=0,"NO",SUM(I100:I104))</f>
        <v>0.1176883419699688</v>
      </c>
      <c r="J99" s="3064">
        <f>IF(SUM(J100:J104)=0,"NO",SUM(J100:J104))</f>
        <v>1.1637899239058992E-3</v>
      </c>
    </row>
    <row r="100" spans="2:10" ht="18" customHeight="1" x14ac:dyDescent="0.2">
      <c r="B100" s="282" t="s">
        <v>243</v>
      </c>
      <c r="C100" s="1938">
        <f>IF(SUM(C106,C113:C116)=0,"NO",SUM(C106,C113:C116))</f>
        <v>659.11138641738921</v>
      </c>
      <c r="D100" s="1934" t="s">
        <v>97</v>
      </c>
      <c r="E100" s="3081">
        <f t="shared" ref="E100:E104" si="47">IFERROR(H100*1000/$C100,"NA")</f>
        <v>67.399999999999991</v>
      </c>
      <c r="F100" s="3081">
        <f t="shared" ref="F100:G104" si="48">IFERROR(I100*1000000/$C100,"NA")</f>
        <v>49.999999999999986</v>
      </c>
      <c r="G100" s="3081">
        <f t="shared" si="48"/>
        <v>0.19999999999999998</v>
      </c>
      <c r="H100" s="1938">
        <f>IF(SUM(H106,H113:H116)=0,"NO",SUM(H106,H113:H116))</f>
        <v>44.424107444532027</v>
      </c>
      <c r="I100" s="1938">
        <f>IF(SUM(I106,I113:I116)=0,"NO",SUM(I106,I113:I116))</f>
        <v>3.2955569320869453E-2</v>
      </c>
      <c r="J100" s="3064">
        <f>IF(SUM(J106,J113:J116)=0,"NO",SUM(J106,J113:J116))</f>
        <v>1.3182227728347783E-4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10116.460214000001</v>
      </c>
      <c r="D102" s="1934" t="s">
        <v>97</v>
      </c>
      <c r="E102" s="3081">
        <f t="shared" si="47"/>
        <v>51.411918339264993</v>
      </c>
      <c r="F102" s="3081">
        <f t="shared" si="48"/>
        <v>7.8447488584474909</v>
      </c>
      <c r="G102" s="3081">
        <f t="shared" si="48"/>
        <v>9.9999999999999992E-2</v>
      </c>
      <c r="H102" s="1938">
        <f t="shared" si="49"/>
        <v>520.10662640459122</v>
      </c>
      <c r="I102" s="1938">
        <f t="shared" si="49"/>
        <v>7.9361089715305963E-2</v>
      </c>
      <c r="J102" s="3064">
        <f t="shared" si="49"/>
        <v>1.0116460214E-3</v>
      </c>
    </row>
    <row r="103" spans="2:10" ht="18" customHeight="1" x14ac:dyDescent="0.2">
      <c r="B103" s="282" t="s">
        <v>290</v>
      </c>
      <c r="C103" s="1938">
        <f>IF(SUM(C109,C120)=0,"NO",SUM(C109,C120))</f>
        <v>12.333773479616049</v>
      </c>
      <c r="D103" s="1934" t="s">
        <v>97</v>
      </c>
      <c r="E103" s="3081">
        <f t="shared" si="47"/>
        <v>73.3</v>
      </c>
      <c r="F103" s="3081" t="str">
        <f t="shared" si="48"/>
        <v>NA</v>
      </c>
      <c r="G103" s="3081" t="str">
        <f t="shared" si="48"/>
        <v>NA</v>
      </c>
      <c r="H103" s="1938">
        <f t="shared" si="49"/>
        <v>0.90406559605585646</v>
      </c>
      <c r="I103" s="1938" t="str">
        <f t="shared" si="49"/>
        <v>NO</v>
      </c>
      <c r="J103" s="3064" t="str">
        <f t="shared" si="49"/>
        <v>NO</v>
      </c>
    </row>
    <row r="104" spans="2:10" ht="18" customHeight="1" x14ac:dyDescent="0.2">
      <c r="B104" s="282" t="s">
        <v>249</v>
      </c>
      <c r="C104" s="1938">
        <f>IF(SUM(C110,C121)=0,"NO",SUM(C110,C121))</f>
        <v>6.773875074140463</v>
      </c>
      <c r="D104" s="1934" t="s">
        <v>97</v>
      </c>
      <c r="E104" s="3081">
        <f t="shared" si="47"/>
        <v>67.260000000000005</v>
      </c>
      <c r="F104" s="3081">
        <f t="shared" si="48"/>
        <v>793</v>
      </c>
      <c r="G104" s="3081">
        <f t="shared" si="48"/>
        <v>2.9999999999999996</v>
      </c>
      <c r="H104" s="1938">
        <f t="shared" si="49"/>
        <v>0.45561083748668757</v>
      </c>
      <c r="I104" s="1938">
        <f t="shared" si="49"/>
        <v>5.3716829337933873E-3</v>
      </c>
      <c r="J104" s="3064">
        <f t="shared" si="49"/>
        <v>2.0321625222421386E-5</v>
      </c>
    </row>
    <row r="105" spans="2:10" ht="18" customHeight="1" x14ac:dyDescent="0.2">
      <c r="B105" s="1243" t="s">
        <v>311</v>
      </c>
      <c r="C105" s="1938">
        <f>IF(SUM(C106:C110)=0,"NO",SUM(C106:C110))</f>
        <v>10116.460214000001</v>
      </c>
      <c r="D105" s="1934" t="s">
        <v>97</v>
      </c>
      <c r="E105" s="615"/>
      <c r="F105" s="615"/>
      <c r="G105" s="615"/>
      <c r="H105" s="1938">
        <f>IF(SUM(H106:H109)=0,"NO",SUM(H106:H109))</f>
        <v>520.10662640459122</v>
      </c>
      <c r="I105" s="1938">
        <f>IF(SUM(I106:I110)=0,"NO",SUM(I106:I110))</f>
        <v>7.9361089715305963E-2</v>
      </c>
      <c r="J105" s="3064">
        <f>IF(SUM(J106:J110)=0,"NO",SUM(J106:J110))</f>
        <v>1.0116460214E-3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10116.460214000001</v>
      </c>
      <c r="D108" s="1934" t="s">
        <v>97</v>
      </c>
      <c r="E108" s="3081">
        <f t="shared" si="50"/>
        <v>51.411918339264993</v>
      </c>
      <c r="F108" s="3081">
        <f t="shared" si="51"/>
        <v>7.8447488584474909</v>
      </c>
      <c r="G108" s="3081">
        <f t="shared" si="51"/>
        <v>9.9999999999999992E-2</v>
      </c>
      <c r="H108" s="699">
        <v>520.10662640459122</v>
      </c>
      <c r="I108" s="699">
        <v>7.9361089715305963E-2</v>
      </c>
      <c r="J108" s="2921">
        <v>1.0116460214E-3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678.21903497114579</v>
      </c>
      <c r="D111" s="1934" t="s">
        <v>97</v>
      </c>
      <c r="E111" s="615"/>
      <c r="F111" s="615"/>
      <c r="G111" s="615"/>
      <c r="H111" s="1938">
        <f>H112</f>
        <v>45.328173040587885</v>
      </c>
      <c r="I111" s="1938">
        <f>I112</f>
        <v>3.8327252254662839E-2</v>
      </c>
      <c r="J111" s="3064">
        <f>J112</f>
        <v>1.5214390250589921E-4</v>
      </c>
    </row>
    <row r="112" spans="2:10" ht="18" customHeight="1" x14ac:dyDescent="0.2">
      <c r="B112" s="3068" t="s">
        <v>313</v>
      </c>
      <c r="C112" s="3077">
        <f>IF(SUM(C113:C116,C118:C121)=0,"NO",SUM(C113:C116,C118:C121))</f>
        <v>678.21903497114579</v>
      </c>
      <c r="D112" s="3077" t="s">
        <v>97</v>
      </c>
      <c r="E112" s="615"/>
      <c r="F112" s="615"/>
      <c r="G112" s="615"/>
      <c r="H112" s="3077">
        <f>IF(SUM(H113:H116,H118:H120)=0,"NO",SUM(H113:H116,H118:H120))</f>
        <v>45.328173040587885</v>
      </c>
      <c r="I112" s="3077">
        <f>IF(SUM(I113:I116,I118:I121)=0,"NO",SUM(I113:I116,I118:I121))</f>
        <v>3.8327252254662839E-2</v>
      </c>
      <c r="J112" s="3078">
        <f>IF(SUM(J113:J116,J118:J121)=0,"NO",SUM(J113:J116,J118:J121))</f>
        <v>1.5214390250589921E-4</v>
      </c>
    </row>
    <row r="113" spans="2:10" ht="18" customHeight="1" x14ac:dyDescent="0.2">
      <c r="B113" s="282" t="s">
        <v>281</v>
      </c>
      <c r="C113" s="699">
        <v>659.11138641738921</v>
      </c>
      <c r="D113" s="1938" t="s">
        <v>97</v>
      </c>
      <c r="E113" s="1938">
        <f t="shared" ref="E113:E115" si="52">IFERROR(H113*1000/$C113,"NA")</f>
        <v>67.399999999999991</v>
      </c>
      <c r="F113" s="1938">
        <f t="shared" ref="F113:G115" si="53">IFERROR(I113*1000000/$C113,"NA")</f>
        <v>49.999999999999986</v>
      </c>
      <c r="G113" s="1938">
        <f t="shared" si="53"/>
        <v>0.19999999999999998</v>
      </c>
      <c r="H113" s="699">
        <v>44.424107444532027</v>
      </c>
      <c r="I113" s="699">
        <v>3.2955569320869453E-2</v>
      </c>
      <c r="J113" s="2921">
        <v>1.3182227728347783E-4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12.333773479616049</v>
      </c>
      <c r="D120" s="1934" t="s">
        <v>97</v>
      </c>
      <c r="E120" s="3081">
        <f t="shared" si="54"/>
        <v>73.3</v>
      </c>
      <c r="F120" s="3081" t="str">
        <f t="shared" si="55"/>
        <v>NA</v>
      </c>
      <c r="G120" s="3081" t="str">
        <f t="shared" si="55"/>
        <v>NA</v>
      </c>
      <c r="H120" s="699">
        <v>0.90406559605585646</v>
      </c>
      <c r="I120" s="699" t="s">
        <v>221</v>
      </c>
      <c r="J120" s="2921" t="s">
        <v>221</v>
      </c>
    </row>
    <row r="121" spans="2:10" ht="18" customHeight="1" thickBot="1" x14ac:dyDescent="0.25">
      <c r="B121" s="2210" t="s">
        <v>249</v>
      </c>
      <c r="C121" s="1562">
        <v>6.773875074140463</v>
      </c>
      <c r="D121" s="2891" t="s">
        <v>97</v>
      </c>
      <c r="E121" s="3082">
        <f t="shared" si="54"/>
        <v>67.260000000000005</v>
      </c>
      <c r="F121" s="3082">
        <f t="shared" si="55"/>
        <v>793</v>
      </c>
      <c r="G121" s="3082">
        <f t="shared" si="55"/>
        <v>2.9999999999999996</v>
      </c>
      <c r="H121" s="1562">
        <v>0.45561083748668757</v>
      </c>
      <c r="I121" s="1562">
        <v>5.3716829337933873E-3</v>
      </c>
      <c r="J121" s="1564">
        <v>2.0321625222421386E-5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398376.75843033404</v>
      </c>
      <c r="D10" s="3087" t="s">
        <v>97</v>
      </c>
      <c r="E10" s="2161"/>
      <c r="F10" s="2161"/>
      <c r="G10" s="2161"/>
      <c r="H10" s="3087">
        <f>IF(SUM(H11:H15)=0,"NO",SUM(H11:H15))</f>
        <v>20179.952444306131</v>
      </c>
      <c r="I10" s="3087">
        <f>IF(SUM(I11:I16)=0,"NO",SUM(I11:I16))</f>
        <v>39.26007854593967</v>
      </c>
      <c r="J10" s="3087">
        <f>IF(SUM(J11:J16)=0,"NO",SUM(J11:J16))</f>
        <v>0.65387800224160142</v>
      </c>
      <c r="K10" s="416" t="str">
        <f>IF(SUM(K11:K16)=0,"NO",SUM(K11:K16))</f>
        <v>NO</v>
      </c>
    </row>
    <row r="11" spans="2:12" ht="18" customHeight="1" x14ac:dyDescent="0.2">
      <c r="B11" s="282" t="s">
        <v>243</v>
      </c>
      <c r="C11" s="1938">
        <f>IF(SUM(C18,C39,C60)=0,"NO",SUM(C18,C39,C60))</f>
        <v>143617.30637472367</v>
      </c>
      <c r="D11" s="3087" t="s">
        <v>97</v>
      </c>
      <c r="E11" s="1938">
        <f t="shared" ref="E11:E16" si="0">IFERROR(H11*1000/$C11,"NA")</f>
        <v>68.323371922934697</v>
      </c>
      <c r="F11" s="1938">
        <f t="shared" ref="F11:G16" si="1">IFERROR(I11*1000000/$C11,"NA")</f>
        <v>9.8248826885681844</v>
      </c>
      <c r="G11" s="1938">
        <f t="shared" si="1"/>
        <v>2.5809740626523698</v>
      </c>
      <c r="H11" s="1938">
        <f>IF(SUM(H18,H39,H60)=0,"NO",SUM(H18,H39,H60))</f>
        <v>9812.4186380103056</v>
      </c>
      <c r="I11" s="1938">
        <f>IF(SUM(I18,I39,I60)=0,"NO",SUM(I18,I39,I60))</f>
        <v>1.4110231871798158</v>
      </c>
      <c r="J11" s="1938">
        <f>IF(SUM(J18,J39,J60)=0,"NO",SUM(J18,J39,J60))</f>
        <v>0.37067254270116068</v>
      </c>
      <c r="K11" s="3064" t="str">
        <f>IF(SUM(K18,K39,K60)=0,"NO",SUM(K18,K39,K60))</f>
        <v>NO</v>
      </c>
    </row>
    <row r="12" spans="2:12" ht="18" customHeight="1" x14ac:dyDescent="0.2">
      <c r="B12" s="282" t="s">
        <v>245</v>
      </c>
      <c r="C12" s="1938">
        <f t="shared" ref="C12:C16" si="2">IF(SUM(C19,C40,C61)=0,"NO",SUM(C19,C40,C61))</f>
        <v>1000.2387537927481</v>
      </c>
      <c r="D12" s="3087" t="s">
        <v>97</v>
      </c>
      <c r="E12" s="1938">
        <f t="shared" si="0"/>
        <v>94.033115189383409</v>
      </c>
      <c r="F12" s="1938">
        <f t="shared" si="1"/>
        <v>0.95238095238095233</v>
      </c>
      <c r="G12" s="1938">
        <f t="shared" si="1"/>
        <v>0.66666666666666663</v>
      </c>
      <c r="H12" s="1938">
        <f t="shared" ref="H12:K16" si="3">IF(SUM(H19,H40,H61)=0,"NO",SUM(H19,H40,H61))</f>
        <v>94.055565952278783</v>
      </c>
      <c r="I12" s="1938">
        <f t="shared" si="3"/>
        <v>9.5260833694547431E-4</v>
      </c>
      <c r="J12" s="1938">
        <f t="shared" si="3"/>
        <v>6.6682583586183202E-4</v>
      </c>
      <c r="K12" s="3064" t="str">
        <f t="shared" si="3"/>
        <v>NO</v>
      </c>
    </row>
    <row r="13" spans="2:12" ht="18" customHeight="1" x14ac:dyDescent="0.2">
      <c r="B13" s="282" t="s">
        <v>246</v>
      </c>
      <c r="C13" s="1938">
        <f t="shared" si="2"/>
        <v>199789.25495760996</v>
      </c>
      <c r="D13" s="3087" t="s">
        <v>97</v>
      </c>
      <c r="E13" s="1938">
        <f t="shared" si="0"/>
        <v>51.421575412167734</v>
      </c>
      <c r="F13" s="1938">
        <f t="shared" si="1"/>
        <v>0.90909090909090917</v>
      </c>
      <c r="G13" s="1938">
        <f t="shared" si="1"/>
        <v>0.90909090909090917</v>
      </c>
      <c r="H13" s="1938">
        <f t="shared" si="3"/>
        <v>10273.478240343546</v>
      </c>
      <c r="I13" s="1938">
        <f t="shared" si="3"/>
        <v>0.18162659541600906</v>
      </c>
      <c r="J13" s="1938">
        <f t="shared" si="3"/>
        <v>0.18162659541600906</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53969.958344207669</v>
      </c>
      <c r="D16" s="3087" t="s">
        <v>97</v>
      </c>
      <c r="E16" s="1938">
        <f t="shared" si="0"/>
        <v>77.189883226982374</v>
      </c>
      <c r="F16" s="1938">
        <f t="shared" si="1"/>
        <v>697.91560547034328</v>
      </c>
      <c r="G16" s="1938">
        <f t="shared" si="1"/>
        <v>1.8697816597333035</v>
      </c>
      <c r="H16" s="1938">
        <f t="shared" si="3"/>
        <v>4165.9347823544931</v>
      </c>
      <c r="I16" s="1938">
        <f t="shared" si="3"/>
        <v>37.666476155006897</v>
      </c>
      <c r="J16" s="1938">
        <f t="shared" si="3"/>
        <v>0.10091203828856986</v>
      </c>
      <c r="K16" s="3064" t="str">
        <f t="shared" si="3"/>
        <v>NO</v>
      </c>
    </row>
    <row r="17" spans="2:11" ht="18" customHeight="1" x14ac:dyDescent="0.2">
      <c r="B17" s="1240" t="s">
        <v>322</v>
      </c>
      <c r="C17" s="3087">
        <f>IF(SUM(C18:C23)=0,"NO",SUM(C18:C23))</f>
        <v>88387.486769008465</v>
      </c>
      <c r="D17" s="3087" t="s">
        <v>97</v>
      </c>
      <c r="E17" s="615"/>
      <c r="F17" s="615"/>
      <c r="G17" s="615"/>
      <c r="H17" s="3057">
        <f>IF(SUM(H18:H22)=0,"NO",SUM(H18:H22))</f>
        <v>5135.6635934536025</v>
      </c>
      <c r="I17" s="3057">
        <f>IF(SUM(I18:I23)=0,"NO",SUM(I18:I23))</f>
        <v>0.1154374133111658</v>
      </c>
      <c r="J17" s="3088">
        <f>IF(SUM(J18:J23)=0,"NO",SUM(J18:J23))</f>
        <v>9.2650441675298414E-2</v>
      </c>
      <c r="K17" s="3064" t="str">
        <f>IF(SUM(K18:K23)=0,"NO",SUM(K18:K23))</f>
        <v>NO</v>
      </c>
    </row>
    <row r="18" spans="2:11" ht="18" customHeight="1" x14ac:dyDescent="0.2">
      <c r="B18" s="282" t="s">
        <v>243</v>
      </c>
      <c r="C18" s="3087">
        <f>IF(SUM(C26,C33)=0,"NO",SUM(C26,C33))</f>
        <v>34793.336606346507</v>
      </c>
      <c r="D18" s="3087" t="s">
        <v>97</v>
      </c>
      <c r="E18" s="1938">
        <f t="shared" ref="E18" si="4">IFERROR(H18*1000/$C18,"NA")</f>
        <v>68.852733180338817</v>
      </c>
      <c r="F18" s="1938">
        <f t="shared" ref="F18:G23" si="5">IFERROR(I18*1000000/$C18,"NA")</f>
        <v>1.8465920452417597</v>
      </c>
      <c r="G18" s="1938">
        <f t="shared" si="5"/>
        <v>1.227754865699483</v>
      </c>
      <c r="H18" s="3087">
        <f>IF(SUM(H26,H33)=0,"NO",SUM(H26,H33))</f>
        <v>2395.6163218104912</v>
      </c>
      <c r="I18" s="3087">
        <f>IF(SUM(I26,I33)=0,"NO",SUM(I26,I33))</f>
        <v>6.4249098604698379E-2</v>
      </c>
      <c r="J18" s="3087">
        <f>IF(SUM(J26,J33)=0,"NO",SUM(J26,J33))</f>
        <v>4.2717688312361862E-2</v>
      </c>
      <c r="K18" s="3064" t="str">
        <f>IF(SUM(K26,K33)=0,"NO",SUM(K26,K33))</f>
        <v>NO</v>
      </c>
    </row>
    <row r="19" spans="2:11" ht="18" customHeight="1" x14ac:dyDescent="0.2">
      <c r="B19" s="282" t="s">
        <v>245</v>
      </c>
      <c r="C19" s="3087">
        <f t="shared" ref="C19:C21" si="6">IF(SUM(C27,C34)=0,"NO",SUM(C27,C34))</f>
        <v>974.23875379274807</v>
      </c>
      <c r="D19" s="3087" t="s">
        <v>97</v>
      </c>
      <c r="E19" s="1938">
        <f t="shared" ref="E19:E23" si="7">IFERROR(H19*1000/$C19,"NA")</f>
        <v>94.007311447766511</v>
      </c>
      <c r="F19" s="1938">
        <f t="shared" si="5"/>
        <v>0.95238095238095244</v>
      </c>
      <c r="G19" s="1938">
        <f t="shared" si="5"/>
        <v>0.66666666666666674</v>
      </c>
      <c r="H19" s="3087">
        <f t="shared" ref="H19:K21" si="8">IF(SUM(H27,H34)=0,"NO",SUM(H27,H34))</f>
        <v>91.585565952278785</v>
      </c>
      <c r="I19" s="3087">
        <f t="shared" si="8"/>
        <v>9.2784643218356961E-4</v>
      </c>
      <c r="J19" s="3087">
        <f t="shared" si="8"/>
        <v>6.4949250252849873E-4</v>
      </c>
      <c r="K19" s="3064" t="str">
        <f t="shared" si="8"/>
        <v>NO</v>
      </c>
    </row>
    <row r="20" spans="2:11" ht="18" customHeight="1" x14ac:dyDescent="0.2">
      <c r="B20" s="282" t="s">
        <v>246</v>
      </c>
      <c r="C20" s="3087">
        <f t="shared" si="6"/>
        <v>51496.762044549316</v>
      </c>
      <c r="D20" s="3087" t="s">
        <v>97</v>
      </c>
      <c r="E20" s="1938">
        <f t="shared" si="7"/>
        <v>51.429674421076733</v>
      </c>
      <c r="F20" s="1938">
        <f t="shared" si="5"/>
        <v>0.90909090909090895</v>
      </c>
      <c r="G20" s="1938">
        <f t="shared" si="5"/>
        <v>0.90909090909090895</v>
      </c>
      <c r="H20" s="3087">
        <f t="shared" si="8"/>
        <v>2648.4617056908332</v>
      </c>
      <c r="I20" s="3087">
        <f t="shared" si="8"/>
        <v>4.6815238222317555E-2</v>
      </c>
      <c r="J20" s="3087">
        <f t="shared" si="8"/>
        <v>4.6815238222317548E-2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1123.149364319891</v>
      </c>
      <c r="D23" s="3087" t="s">
        <v>97</v>
      </c>
      <c r="E23" s="1938">
        <f t="shared" si="7"/>
        <v>61.430160261227947</v>
      </c>
      <c r="F23" s="1938">
        <f t="shared" si="5"/>
        <v>3.067472734628252</v>
      </c>
      <c r="G23" s="1938">
        <f t="shared" si="5"/>
        <v>2.1974126652201522</v>
      </c>
      <c r="H23" s="3087">
        <f>IF(SUM(H31,H37)=0,"NO",SUM(H31,H37))</f>
        <v>68.995245447467198</v>
      </c>
      <c r="I23" s="3087">
        <f>IF(SUM(I31,I37)=0,"NO",SUM(I31,I37))</f>
        <v>3.4452300519663189E-3</v>
      </c>
      <c r="J23" s="3087">
        <f>IF(SUM(J31,J37)=0,"NO",SUM(J31,J37))</f>
        <v>2.4680226380904913E-3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88387.486769008465</v>
      </c>
      <c r="D25" s="3057" t="s">
        <v>97</v>
      </c>
      <c r="E25" s="615"/>
      <c r="F25" s="615"/>
      <c r="G25" s="615"/>
      <c r="H25" s="3057">
        <f>IF(SUM(H26:H30)=0,"NO",SUM(H26:H30))</f>
        <v>5135.6635934536025</v>
      </c>
      <c r="I25" s="3057">
        <f>IF(SUM(I26:I31)=0,"NO",SUM(I26:I31))</f>
        <v>0.1154374133111658</v>
      </c>
      <c r="J25" s="3088">
        <f>IF(SUM(J26:J31)=0,"NO",SUM(J26:J31))</f>
        <v>9.2650441675298414E-2</v>
      </c>
      <c r="K25" s="3064" t="str">
        <f>IF(SUM(K26:K31)=0,"NO",SUM(K26:K31))</f>
        <v>NO</v>
      </c>
    </row>
    <row r="26" spans="2:11" ht="18" customHeight="1" x14ac:dyDescent="0.2">
      <c r="B26" s="282" t="s">
        <v>243</v>
      </c>
      <c r="C26" s="699">
        <v>34793.336606346507</v>
      </c>
      <c r="D26" s="3057" t="s">
        <v>97</v>
      </c>
      <c r="E26" s="1938">
        <f t="shared" ref="E26:E31" si="9">IFERROR(H26*1000/$C26,"NA")</f>
        <v>68.852733180338817</v>
      </c>
      <c r="F26" s="1938">
        <f t="shared" ref="F26:G31" si="10">IFERROR(I26*1000000/$C26,"NA")</f>
        <v>1.8465920452417597</v>
      </c>
      <c r="G26" s="1938">
        <f t="shared" si="10"/>
        <v>1.227754865699483</v>
      </c>
      <c r="H26" s="699">
        <v>2395.6163218104912</v>
      </c>
      <c r="I26" s="699">
        <v>6.4249098604698379E-2</v>
      </c>
      <c r="J26" s="699">
        <v>4.2717688312361862E-2</v>
      </c>
      <c r="K26" s="2921" t="s">
        <v>199</v>
      </c>
    </row>
    <row r="27" spans="2:11" ht="18" customHeight="1" x14ac:dyDescent="0.2">
      <c r="B27" s="282" t="s">
        <v>245</v>
      </c>
      <c r="C27" s="699">
        <v>974.23875379274807</v>
      </c>
      <c r="D27" s="3057" t="s">
        <v>97</v>
      </c>
      <c r="E27" s="1938">
        <f t="shared" si="9"/>
        <v>94.007311447766511</v>
      </c>
      <c r="F27" s="1938">
        <f t="shared" si="10"/>
        <v>0.95238095238095244</v>
      </c>
      <c r="G27" s="1938">
        <f t="shared" si="10"/>
        <v>0.66666666666666674</v>
      </c>
      <c r="H27" s="699">
        <v>91.585565952278785</v>
      </c>
      <c r="I27" s="699">
        <v>9.2784643218356961E-4</v>
      </c>
      <c r="J27" s="699">
        <v>6.4949250252849873E-4</v>
      </c>
      <c r="K27" s="2921" t="s">
        <v>199</v>
      </c>
    </row>
    <row r="28" spans="2:11" ht="18" customHeight="1" x14ac:dyDescent="0.2">
      <c r="B28" s="282" t="s">
        <v>246</v>
      </c>
      <c r="C28" s="699">
        <v>51496.762044549316</v>
      </c>
      <c r="D28" s="3057" t="s">
        <v>97</v>
      </c>
      <c r="E28" s="1938">
        <f t="shared" si="9"/>
        <v>51.429674421076733</v>
      </c>
      <c r="F28" s="1938">
        <f t="shared" si="10"/>
        <v>0.90909090909090895</v>
      </c>
      <c r="G28" s="1938">
        <f t="shared" si="10"/>
        <v>0.90909090909090895</v>
      </c>
      <c r="H28" s="699">
        <v>2648.4617056908332</v>
      </c>
      <c r="I28" s="699">
        <v>4.6815238222317555E-2</v>
      </c>
      <c r="J28" s="699">
        <v>4.6815238222317548E-2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1123.149364319891</v>
      </c>
      <c r="D31" s="3057" t="s">
        <v>97</v>
      </c>
      <c r="E31" s="1938">
        <f t="shared" si="9"/>
        <v>61.430160261227947</v>
      </c>
      <c r="F31" s="1938">
        <f t="shared" si="10"/>
        <v>3.067472734628252</v>
      </c>
      <c r="G31" s="1938">
        <f t="shared" si="10"/>
        <v>2.1974126652201522</v>
      </c>
      <c r="H31" s="699">
        <v>68.995245447467198</v>
      </c>
      <c r="I31" s="699">
        <v>3.4452300519663189E-3</v>
      </c>
      <c r="J31" s="699">
        <v>2.4680226380904913E-3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221850.8716613256</v>
      </c>
      <c r="D38" s="3057" t="s">
        <v>97</v>
      </c>
      <c r="E38" s="615"/>
      <c r="F38" s="615"/>
      <c r="G38" s="615"/>
      <c r="H38" s="1938">
        <f>IF(SUM(H39:H43)=0,"NO",SUM(H39:H43))</f>
        <v>8918.9751062927826</v>
      </c>
      <c r="I38" s="1938">
        <f>IF(SUM(I39:I44)=0,"NO",SUM(I39:I44))</f>
        <v>38.55304054215231</v>
      </c>
      <c r="J38" s="1938">
        <f>IF(SUM(J39:J44)=0,"NO",SUM(J39:J44))</f>
        <v>0.24523906532820783</v>
      </c>
      <c r="K38" s="3064" t="str">
        <f>IF(SUM(K39:K44)=0,"NO",SUM(K39:K44))</f>
        <v>NO</v>
      </c>
    </row>
    <row r="39" spans="2:11" ht="18" customHeight="1" x14ac:dyDescent="0.2">
      <c r="B39" s="282" t="s">
        <v>243</v>
      </c>
      <c r="C39" s="3087">
        <f>IF(SUM(C47,C54)=0,"NO",SUM(C47,C54))</f>
        <v>20810.969768377177</v>
      </c>
      <c r="D39" s="3057" t="s">
        <v>97</v>
      </c>
      <c r="E39" s="1938">
        <f t="shared" ref="E39:E44" si="13">IFERROR(H39*1000/$C39,"NA")</f>
        <v>62.3678589054539</v>
      </c>
      <c r="F39" s="1938">
        <f t="shared" ref="F39:G44" si="14">IFERROR(I39*1000000/$C39,"NA")</f>
        <v>36.292758410836129</v>
      </c>
      <c r="G39" s="1938">
        <f t="shared" si="14"/>
        <v>0.58048035652139929</v>
      </c>
      <c r="H39" s="1938">
        <f>IF(SUM(H47,H54)=0,"NO",SUM(H47,H54))</f>
        <v>1297.9356261998146</v>
      </c>
      <c r="I39" s="1938">
        <f>IF(SUM(I47,I54)=0,"NO",SUM(I47,I54))</f>
        <v>0.75528749809892715</v>
      </c>
      <c r="J39" s="1938">
        <f>IF(SUM(J47,J54)=0,"NO",SUM(J47,J54))</f>
        <v>1.2080359150703646E-2</v>
      </c>
      <c r="K39" s="3064" t="str">
        <f>IF(SUM(K47,K54)=0,"NO",SUM(K47,K54))</f>
        <v>NO</v>
      </c>
    </row>
    <row r="40" spans="2:11" ht="18" customHeight="1" x14ac:dyDescent="0.2">
      <c r="B40" s="282" t="s">
        <v>245</v>
      </c>
      <c r="C40" s="3087">
        <f t="shared" ref="C40:C42" si="15">IF(SUM(C48,C55)=0,"NO",SUM(C48,C55))</f>
        <v>25.999999999999996</v>
      </c>
      <c r="D40" s="3057" t="s">
        <v>97</v>
      </c>
      <c r="E40" s="1938">
        <f t="shared" si="13"/>
        <v>95</v>
      </c>
      <c r="F40" s="1938">
        <f t="shared" si="14"/>
        <v>0.95238095238095222</v>
      </c>
      <c r="G40" s="1938">
        <f t="shared" si="14"/>
        <v>0.66666666666666663</v>
      </c>
      <c r="H40" s="1938">
        <f t="shared" ref="H40:K42" si="16">IF(SUM(H48,H55)=0,"NO",SUM(H48,H55))</f>
        <v>2.4699999999999998</v>
      </c>
      <c r="I40" s="1938">
        <f t="shared" si="16"/>
        <v>2.4761904761904756E-5</v>
      </c>
      <c r="J40" s="1938">
        <f t="shared" si="16"/>
        <v>1.7333333333333329E-5</v>
      </c>
      <c r="K40" s="3064" t="str">
        <f t="shared" si="16"/>
        <v>NO</v>
      </c>
    </row>
    <row r="41" spans="2:11" ht="18" customHeight="1" x14ac:dyDescent="0.2">
      <c r="B41" s="282" t="s">
        <v>246</v>
      </c>
      <c r="C41" s="3087">
        <f t="shared" si="15"/>
        <v>148167.09291306065</v>
      </c>
      <c r="D41" s="3057" t="s">
        <v>97</v>
      </c>
      <c r="E41" s="1938">
        <f t="shared" si="13"/>
        <v>51.41876870435248</v>
      </c>
      <c r="F41" s="1938">
        <f t="shared" si="14"/>
        <v>0.90909090909090917</v>
      </c>
      <c r="G41" s="1938">
        <f t="shared" si="14"/>
        <v>0.90909090909090917</v>
      </c>
      <c r="H41" s="1938">
        <f t="shared" si="16"/>
        <v>7618.5694800929687</v>
      </c>
      <c r="I41" s="1938">
        <f t="shared" si="16"/>
        <v>0.1346973571936915</v>
      </c>
      <c r="J41" s="1938">
        <f t="shared" si="16"/>
        <v>0.1346973571936915</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52846.808979887777</v>
      </c>
      <c r="D44" s="3057" t="s">
        <v>97</v>
      </c>
      <c r="E44" s="1938">
        <f t="shared" si="13"/>
        <v>77.524823465996263</v>
      </c>
      <c r="F44" s="1938">
        <f t="shared" si="14"/>
        <v>712.68316199164587</v>
      </c>
      <c r="G44" s="1938">
        <f t="shared" si="14"/>
        <v>1.8628185419472494</v>
      </c>
      <c r="H44" s="1938">
        <f>IF(SUM(H52,H58)=0,"NO",SUM(H52,H58))</f>
        <v>4096.9395369070262</v>
      </c>
      <c r="I44" s="1938">
        <f>IF(SUM(I52,I58)=0,"NO",SUM(I52,I58))</f>
        <v>37.663030924954931</v>
      </c>
      <c r="J44" s="1938">
        <f>IF(SUM(J52,J58)=0,"NO",SUM(J52,J58))</f>
        <v>9.8444015650479361E-2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217707.58558982276</v>
      </c>
      <c r="D46" s="3057" t="s">
        <v>97</v>
      </c>
      <c r="E46" s="615"/>
      <c r="F46" s="615"/>
      <c r="G46" s="615"/>
      <c r="H46" s="1938">
        <f>IF(SUM(H47:H51)=0,"NO",SUM(H47:H51))</f>
        <v>8637.7367545700636</v>
      </c>
      <c r="I46" s="1938">
        <f>IF(SUM(I47:I52)=0,"NO",SUM(I47:I52))</f>
        <v>37.783645857912347</v>
      </c>
      <c r="J46" s="1938">
        <f>IF(SUM(J47:J52)=0,"NO",SUM(J47:J52))</f>
        <v>0.24338786754192906</v>
      </c>
      <c r="K46" s="3064" t="str">
        <f>IF(SUM(K47:K52)=0,"NO",SUM(K47:K52))</f>
        <v>NO</v>
      </c>
    </row>
    <row r="47" spans="2:11" ht="18" customHeight="1" x14ac:dyDescent="0.2">
      <c r="B47" s="282" t="s">
        <v>243</v>
      </c>
      <c r="C47" s="699">
        <v>16709.832252891199</v>
      </c>
      <c r="D47" s="3057" t="s">
        <v>97</v>
      </c>
      <c r="E47" s="1938">
        <f t="shared" ref="E47:E52" si="17">IFERROR(H47*1000/$C47,"NA")</f>
        <v>60.84425379561678</v>
      </c>
      <c r="F47" s="1938">
        <f t="shared" ref="F47:G52" si="18">IFERROR(I47*1000000/$C47,"NA")</f>
        <v>1.0223169839718504</v>
      </c>
      <c r="G47" s="1938">
        <f t="shared" si="18"/>
        <v>0.62477611902434882</v>
      </c>
      <c r="H47" s="699">
        <v>1016.697274477095</v>
      </c>
      <c r="I47" s="699">
        <v>1.7082745311451281E-2</v>
      </c>
      <c r="J47" s="699">
        <v>1.0439904144509255E-2</v>
      </c>
      <c r="K47" s="2921" t="s">
        <v>199</v>
      </c>
    </row>
    <row r="48" spans="2:11" ht="18" customHeight="1" x14ac:dyDescent="0.2">
      <c r="B48" s="282" t="s">
        <v>245</v>
      </c>
      <c r="C48" s="699">
        <v>25.999999999999996</v>
      </c>
      <c r="D48" s="3057" t="s">
        <v>97</v>
      </c>
      <c r="E48" s="1938">
        <f t="shared" si="17"/>
        <v>95</v>
      </c>
      <c r="F48" s="1938">
        <f t="shared" si="18"/>
        <v>0.95238095238095222</v>
      </c>
      <c r="G48" s="1938">
        <f t="shared" si="18"/>
        <v>0.66666666666666663</v>
      </c>
      <c r="H48" s="699">
        <v>2.4699999999999998</v>
      </c>
      <c r="I48" s="699">
        <v>2.4761904761904756E-5</v>
      </c>
      <c r="J48" s="699">
        <v>1.7333333333333329E-5</v>
      </c>
      <c r="K48" s="2921" t="s">
        <v>199</v>
      </c>
    </row>
    <row r="49" spans="2:11" ht="18" customHeight="1" x14ac:dyDescent="0.2">
      <c r="B49" s="282" t="s">
        <v>246</v>
      </c>
      <c r="C49" s="699">
        <v>148167.09291306065</v>
      </c>
      <c r="D49" s="3057" t="s">
        <v>97</v>
      </c>
      <c r="E49" s="1938">
        <f t="shared" si="17"/>
        <v>51.41876870435248</v>
      </c>
      <c r="F49" s="1938">
        <f t="shared" si="18"/>
        <v>0.90909090909090917</v>
      </c>
      <c r="G49" s="1938">
        <f t="shared" si="18"/>
        <v>0.90909090909090917</v>
      </c>
      <c r="H49" s="699">
        <v>7618.5694800929687</v>
      </c>
      <c r="I49" s="699">
        <v>0.1346973571936915</v>
      </c>
      <c r="J49" s="699">
        <v>0.1346973571936915</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52804.660423870904</v>
      </c>
      <c r="D52" s="3057" t="s">
        <v>97</v>
      </c>
      <c r="E52" s="1938">
        <f t="shared" si="17"/>
        <v>77.533016823995112</v>
      </c>
      <c r="F52" s="1938">
        <f t="shared" si="18"/>
        <v>712.66135775566079</v>
      </c>
      <c r="G52" s="1938">
        <f t="shared" si="18"/>
        <v>1.8603144510704512</v>
      </c>
      <c r="H52" s="699">
        <v>4094.1046250293316</v>
      </c>
      <c r="I52" s="699">
        <v>37.631840993502443</v>
      </c>
      <c r="J52" s="699">
        <v>9.8233272870394989E-2</v>
      </c>
      <c r="K52" s="2921" t="s">
        <v>199</v>
      </c>
    </row>
    <row r="53" spans="2:11" ht="18" customHeight="1" x14ac:dyDescent="0.2">
      <c r="B53" s="1241" t="s">
        <v>329</v>
      </c>
      <c r="C53" s="3057">
        <f>IF(SUM(C54:C58)=0,"NO",SUM(C54:C58))</f>
        <v>4143.2860715028519</v>
      </c>
      <c r="D53" s="3057" t="s">
        <v>97</v>
      </c>
      <c r="E53" s="615"/>
      <c r="F53" s="615"/>
      <c r="G53" s="615"/>
      <c r="H53" s="3057">
        <f>IF(SUM(H54:H57)=0,"NO",SUM(H54:H57))</f>
        <v>281.23835172271947</v>
      </c>
      <c r="I53" s="3057">
        <f>IF(SUM(I54:I58)=0,"NO",SUM(I54:I58))</f>
        <v>0.7693946842399626</v>
      </c>
      <c r="J53" s="3057">
        <f>IF(SUM(J54:J58)=0,"NO",SUM(J54:J58))</f>
        <v>1.851197786278761E-3</v>
      </c>
      <c r="K53" s="2931"/>
    </row>
    <row r="54" spans="2:11" ht="18" customHeight="1" x14ac:dyDescent="0.2">
      <c r="B54" s="282" t="s">
        <v>243</v>
      </c>
      <c r="C54" s="699">
        <v>4101.1375154859779</v>
      </c>
      <c r="D54" s="3057" t="s">
        <v>97</v>
      </c>
      <c r="E54" s="1938">
        <f t="shared" ref="E54:E58" si="19">IFERROR(H54*1000/$C54,"NA")</f>
        <v>68.575694099687666</v>
      </c>
      <c r="F54" s="1938">
        <f t="shared" ref="F54:G58" si="20">IFERROR(I54*1000000/$C54,"NA")</f>
        <v>179.99999999999997</v>
      </c>
      <c r="G54" s="1938">
        <f t="shared" si="20"/>
        <v>0.39999999999999997</v>
      </c>
      <c r="H54" s="699">
        <v>281.23835172271947</v>
      </c>
      <c r="I54" s="699">
        <v>0.73820475278747588</v>
      </c>
      <c r="J54" s="699">
        <v>1.640455006194391E-3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42.148556016873997</v>
      </c>
      <c r="D58" s="3057" t="s">
        <v>97</v>
      </c>
      <c r="E58" s="1938">
        <f t="shared" si="19"/>
        <v>67.260000000000019</v>
      </c>
      <c r="F58" s="1938">
        <f t="shared" si="20"/>
        <v>740.00000000000023</v>
      </c>
      <c r="G58" s="1938">
        <f t="shared" si="20"/>
        <v>5</v>
      </c>
      <c r="H58" s="699">
        <v>2.834911877694946</v>
      </c>
      <c r="I58" s="699">
        <v>3.1189931452486767E-2</v>
      </c>
      <c r="J58" s="699">
        <v>2.1074278008436999E-4</v>
      </c>
      <c r="K58" s="2931"/>
    </row>
    <row r="59" spans="2:11" ht="18" customHeight="1" x14ac:dyDescent="0.2">
      <c r="B59" s="1244" t="s">
        <v>330</v>
      </c>
      <c r="C59" s="3057">
        <f>IF(SUM(C60:C65)=0,"NO",SUM(C60:C65))</f>
        <v>88138.4</v>
      </c>
      <c r="D59" s="3057" t="s">
        <v>97</v>
      </c>
      <c r="E59" s="615"/>
      <c r="F59" s="615"/>
      <c r="G59" s="615"/>
      <c r="H59" s="1938">
        <f>IF(SUM(H60:H64)=0,"NO",SUM(H60:H64))</f>
        <v>6125.3137445597449</v>
      </c>
      <c r="I59" s="1938">
        <f>IF(SUM(I60:I65)=0,"NO",SUM(I60:I65))</f>
        <v>0.59160059047619029</v>
      </c>
      <c r="J59" s="1938">
        <f>IF(SUM(J60:J65)=0,"NO",SUM(J60:J65))</f>
        <v>0.31598849523809519</v>
      </c>
      <c r="K59" s="3064" t="str">
        <f>IF(SUM(K60:K65)=0,"NO",SUM(K60:K65))</f>
        <v>NO</v>
      </c>
    </row>
    <row r="60" spans="2:11" ht="18" customHeight="1" x14ac:dyDescent="0.2">
      <c r="B60" s="282" t="s">
        <v>243</v>
      </c>
      <c r="C60" s="1938">
        <f>IF(SUM(C67,C74:C77,C84:C87)=0,"NO",SUM(C67,C74:C77,C84:C87))</f>
        <v>88013</v>
      </c>
      <c r="D60" s="3057" t="s">
        <v>97</v>
      </c>
      <c r="E60" s="1938">
        <f t="shared" ref="E60:E65" si="21">IFERROR(H60*1000/$C60,"NA")</f>
        <v>69.522305682115146</v>
      </c>
      <c r="F60" s="1938">
        <f t="shared" ref="F60:G65" si="22">IFERROR(I60*1000000/$C60,"NA")</f>
        <v>6.7204457350185809</v>
      </c>
      <c r="G60" s="1938">
        <f t="shared" si="22"/>
        <v>3.5889527142364783</v>
      </c>
      <c r="H60" s="1938">
        <f>IF(SUM(H67,H74:H77,H84:H87)=0,"NO",SUM(H67,H74:H77,H84:H87))</f>
        <v>6118.8666900000007</v>
      </c>
      <c r="I60" s="1938">
        <f>IF(SUM(I67,I74:I77,I84:I87)=0,"NO",SUM(I67,I74:I77,I84:I87))</f>
        <v>0.59148659047619034</v>
      </c>
      <c r="J60" s="1938">
        <f>IF(SUM(J67,J74:J77,J84:J87)=0,"NO",SUM(J67,J74:J77,J84:J87))</f>
        <v>0.31587449523809519</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125.4</v>
      </c>
      <c r="D62" s="3057" t="s">
        <v>97</v>
      </c>
      <c r="E62" s="1938">
        <f t="shared" si="21"/>
        <v>51.411918339264993</v>
      </c>
      <c r="F62" s="1938">
        <f t="shared" si="22"/>
        <v>0.90909090909090906</v>
      </c>
      <c r="G62" s="1938">
        <f t="shared" si="22"/>
        <v>0.90909090909090906</v>
      </c>
      <c r="H62" s="1938">
        <f>IF(SUM(H69,H79,H89)=0,"NO",SUM(H69,H79,H89))</f>
        <v>6.4470545597438305</v>
      </c>
      <c r="I62" s="1938">
        <f>IF(SUM(I69,I79,I89)=0,"NO",SUM(I69,I79,I89))</f>
        <v>1.1400000000000001E-4</v>
      </c>
      <c r="J62" s="1938">
        <f>IF(SUM(J69,J79,J89)=0,"NO",SUM(J69,J79,J89))</f>
        <v>1.1400000000000001E-4</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88138.4</v>
      </c>
      <c r="D66" s="3057" t="s">
        <v>97</v>
      </c>
      <c r="E66" s="2135"/>
      <c r="F66" s="2135"/>
      <c r="G66" s="2135"/>
      <c r="H66" s="1938">
        <f>IF(SUM(H67:H71)=0,"NO",SUM(H67:H71))</f>
        <v>6125.3137445597449</v>
      </c>
      <c r="I66" s="1938">
        <f>IF(SUM(I67:I72)=0,"NO",SUM(I67:I72))</f>
        <v>0.59160059047619029</v>
      </c>
      <c r="J66" s="1938">
        <f>IF(SUM(J67:J72)=0,"NO",SUM(J67:J72))</f>
        <v>0.31598849523809519</v>
      </c>
      <c r="K66" s="3064" t="str">
        <f>IF(SUM(K67:K72)=0,"NO",SUM(K67:K72))</f>
        <v>NO</v>
      </c>
    </row>
    <row r="67" spans="2:11" ht="18" customHeight="1" x14ac:dyDescent="0.2">
      <c r="B67" s="282" t="s">
        <v>243</v>
      </c>
      <c r="C67" s="699">
        <v>88013</v>
      </c>
      <c r="D67" s="3057" t="s">
        <v>97</v>
      </c>
      <c r="E67" s="1938">
        <f t="shared" ref="E67:E72" si="23">IFERROR(H67*1000/$C67,"NA")</f>
        <v>69.522305682115146</v>
      </c>
      <c r="F67" s="1938">
        <f t="shared" ref="F67:G72" si="24">IFERROR(I67*1000000/$C67,"NA")</f>
        <v>6.7204457350185809</v>
      </c>
      <c r="G67" s="1938">
        <f t="shared" si="24"/>
        <v>3.5889527142364783</v>
      </c>
      <c r="H67" s="699">
        <v>6118.8666900000007</v>
      </c>
      <c r="I67" s="699">
        <v>0.59148659047619034</v>
      </c>
      <c r="J67" s="699">
        <v>0.31587449523809519</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125.4</v>
      </c>
      <c r="D69" s="3057" t="s">
        <v>97</v>
      </c>
      <c r="E69" s="1938">
        <f t="shared" si="23"/>
        <v>51.411918339264993</v>
      </c>
      <c r="F69" s="1938">
        <f t="shared" si="24"/>
        <v>0.90909090909090906</v>
      </c>
      <c r="G69" s="1938">
        <f t="shared" si="24"/>
        <v>0.90909090909090906</v>
      </c>
      <c r="H69" s="699">
        <v>6.4470545597438305</v>
      </c>
      <c r="I69" s="699">
        <v>1.1400000000000001E-4</v>
      </c>
      <c r="J69" s="699">
        <v>1.1400000000000001E-4</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12775.695377588201</v>
      </c>
      <c r="D93" s="3057" t="s">
        <v>97</v>
      </c>
      <c r="E93" s="2160"/>
      <c r="F93" s="2160"/>
      <c r="G93" s="2160"/>
      <c r="H93" s="3087">
        <f>IF(SUM(H94:H98)=0,"NO",SUM(H94:H98))</f>
        <v>890.39167033567935</v>
      </c>
      <c r="I93" s="3087">
        <f>IF(SUM(I94:I99)=0,"NO",SUM(I94:I99))</f>
        <v>3.1497578694525415E-2</v>
      </c>
      <c r="J93" s="3091">
        <f>IF(SUM(J94:J99)=0,"NO",SUM(J94:J99))</f>
        <v>2.5277202091223118E-2</v>
      </c>
      <c r="K93" s="442" t="str">
        <f>IF(SUM(K94:K99)=0,"NO",SUM(K94:K99))</f>
        <v>NO</v>
      </c>
    </row>
    <row r="94" spans="2:11" ht="18" customHeight="1" x14ac:dyDescent="0.2">
      <c r="B94" s="282" t="s">
        <v>243</v>
      </c>
      <c r="C94" s="1938">
        <f>IF(SUM(C102,C110)=0,"NO",SUM(C102,C110))</f>
        <v>12775.622078859746</v>
      </c>
      <c r="D94" s="1938" t="s">
        <v>97</v>
      </c>
      <c r="E94" s="1938">
        <f t="shared" ref="E94:E99" si="32">IFERROR(H94*1000/$C94,"NA")</f>
        <v>69.694584329403469</v>
      </c>
      <c r="F94" s="1938">
        <f t="shared" ref="F94:G99" si="33">IFERROR(I94*1000000/$C94,"NA")</f>
        <v>2.4608940847494787</v>
      </c>
      <c r="G94" s="1938">
        <f t="shared" si="33"/>
        <v>1.9785323985799823</v>
      </c>
      <c r="H94" s="1938">
        <f t="shared" ref="H94:K97" si="34">IF(SUM(H102,H110)=0,"NO",SUM(H102,H110))</f>
        <v>890.39167033567935</v>
      </c>
      <c r="I94" s="1938">
        <f t="shared" si="34"/>
        <v>3.1439452802860784E-2</v>
      </c>
      <c r="J94" s="1938">
        <f t="shared" si="34"/>
        <v>2.5276982195037753E-2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7.3298728454768203E-2</v>
      </c>
      <c r="D99" s="1938" t="s">
        <v>97</v>
      </c>
      <c r="E99" s="1938">
        <f t="shared" si="32"/>
        <v>67.260000000000019</v>
      </c>
      <c r="F99" s="1938">
        <f t="shared" si="33"/>
        <v>793.00000000000011</v>
      </c>
      <c r="G99" s="1938">
        <f t="shared" si="33"/>
        <v>3.0000000000000004</v>
      </c>
      <c r="H99" s="1938">
        <f>IF(SUM(H107,H114)=0,"NO",SUM(H107,H114))</f>
        <v>4.9300724758677104E-3</v>
      </c>
      <c r="I99" s="1938">
        <f>IF(SUM(I107,I114)=0,"NO",SUM(I107,I114))</f>
        <v>5.8125891664631193E-5</v>
      </c>
      <c r="J99" s="1938">
        <f>IF(SUM(J107,J114)=0,"NO",SUM(J107,J114))</f>
        <v>2.1989618536430464E-7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12775.695377588201</v>
      </c>
      <c r="D108" s="1938" t="s">
        <v>97</v>
      </c>
      <c r="E108" s="1957"/>
      <c r="F108" s="1957"/>
      <c r="G108" s="1957"/>
      <c r="H108" s="3057">
        <f>H109</f>
        <v>890.39167033567935</v>
      </c>
      <c r="I108" s="3057">
        <f>I109</f>
        <v>3.1497578694525415E-2</v>
      </c>
      <c r="J108" s="3088">
        <f>J109</f>
        <v>2.5277202091223118E-2</v>
      </c>
      <c r="K108" s="2931"/>
    </row>
    <row r="109" spans="2:11" ht="18" customHeight="1" x14ac:dyDescent="0.2">
      <c r="B109" s="3103" t="s">
        <v>339</v>
      </c>
      <c r="C109" s="3077">
        <f>IF(SUM(C110:C114)=0,"NO",SUM(C110:C114))</f>
        <v>12775.695377588201</v>
      </c>
      <c r="D109" s="1938" t="s">
        <v>97</v>
      </c>
      <c r="E109" s="615"/>
      <c r="F109" s="615"/>
      <c r="G109" s="615"/>
      <c r="H109" s="3077">
        <f>IF(SUM(H110:H113)=0,"NO",SUM(H110:H113))</f>
        <v>890.39167033567935</v>
      </c>
      <c r="I109" s="3077">
        <f>IF(SUM(I110:I114)=0,"NO",SUM(I110:I114))</f>
        <v>3.1497578694525415E-2</v>
      </c>
      <c r="J109" s="3077">
        <f>IF(SUM(J110:J114)=0,"NO",SUM(J110:J114))</f>
        <v>2.5277202091223118E-2</v>
      </c>
      <c r="K109" s="2931"/>
    </row>
    <row r="110" spans="2:11" ht="18" customHeight="1" x14ac:dyDescent="0.2">
      <c r="B110" s="282" t="s">
        <v>243</v>
      </c>
      <c r="C110" s="699">
        <v>12775.622078859746</v>
      </c>
      <c r="D110" s="1938" t="s">
        <v>97</v>
      </c>
      <c r="E110" s="1938">
        <f t="shared" ref="E110:E114" si="37">IFERROR(H110*1000/$C110,"NA")</f>
        <v>69.694584329403469</v>
      </c>
      <c r="F110" s="1938">
        <f t="shared" ref="F110:G114" si="38">IFERROR(I110*1000000/$C110,"NA")</f>
        <v>2.4608940847494787</v>
      </c>
      <c r="G110" s="1938">
        <f t="shared" si="38"/>
        <v>1.9785323985799823</v>
      </c>
      <c r="H110" s="699">
        <v>890.39167033567935</v>
      </c>
      <c r="I110" s="699">
        <v>3.1439452802860784E-2</v>
      </c>
      <c r="J110" s="699">
        <v>2.5276982195037753E-2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7.3298728454768203E-2</v>
      </c>
      <c r="D114" s="2891" t="s">
        <v>97</v>
      </c>
      <c r="E114" s="2891">
        <f t="shared" si="37"/>
        <v>67.260000000000019</v>
      </c>
      <c r="F114" s="2891">
        <f t="shared" si="38"/>
        <v>793.00000000000011</v>
      </c>
      <c r="G114" s="2891">
        <f t="shared" si="38"/>
        <v>3.0000000000000004</v>
      </c>
      <c r="H114" s="1562">
        <v>4.9300724758677104E-3</v>
      </c>
      <c r="I114" s="1562">
        <v>5.8125891664631193E-5</v>
      </c>
      <c r="J114" s="1562">
        <v>2.1989618536430464E-7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7" t="s">
        <v>344</v>
      </c>
      <c r="C152" s="4498"/>
      <c r="D152" s="4498"/>
      <c r="E152" s="4498"/>
      <c r="F152" s="4498"/>
      <c r="G152" s="4498"/>
      <c r="H152" s="4498"/>
      <c r="I152" s="4498"/>
      <c r="J152" s="4498"/>
      <c r="K152" s="44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953562.77899999998</v>
      </c>
      <c r="G11" s="3326">
        <v>1192332.5850000002</v>
      </c>
      <c r="H11" s="3326">
        <v>726592.77996141999</v>
      </c>
      <c r="I11" s="3346"/>
      <c r="J11" s="3326">
        <v>-13359.876000000004</v>
      </c>
      <c r="K11" s="3334">
        <f t="shared" ref="K11:K28" si="0">IF((SUM(F11:G11)-SUM(H11:J11))=0,"NO",(SUM(F11:G11)-SUM(H11:J11)))</f>
        <v>1432662.46003858</v>
      </c>
      <c r="L11" s="2597">
        <f>IF(K11="NO","NA",1)</f>
        <v>1</v>
      </c>
      <c r="M11" s="5" t="s">
        <v>97</v>
      </c>
      <c r="N11" s="3334">
        <f>K11</f>
        <v>1432662.46003858</v>
      </c>
      <c r="O11" s="3307">
        <v>18.980716253443529</v>
      </c>
      <c r="P11" s="3334">
        <f>IFERROR(N11*O11/1000,"NA")</f>
        <v>27192.959640952664</v>
      </c>
      <c r="Q11" s="3334" t="str">
        <f>'Table1.A(d)'!G11</f>
        <v>NA</v>
      </c>
      <c r="R11" s="3334">
        <f>IF(SUM(P11,-SUM(Q11))=0,"NO",SUM(P11,-SUM(Q11)))</f>
        <v>27192.959640952664</v>
      </c>
      <c r="S11" s="2597">
        <f>IF(R11="NO","NA",1)</f>
        <v>1</v>
      </c>
      <c r="T11" s="3340">
        <f>IF(R11="NO","NO",R11*S11*44/12)</f>
        <v>99707.518683493094</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126139.69500000001</v>
      </c>
      <c r="G13" s="3326" t="s">
        <v>199</v>
      </c>
      <c r="H13" s="3326" t="s">
        <v>199</v>
      </c>
      <c r="I13" s="3346"/>
      <c r="J13" s="3326" t="s">
        <v>199</v>
      </c>
      <c r="K13" s="3334">
        <f t="shared" si="0"/>
        <v>126139.69500000001</v>
      </c>
      <c r="L13" s="2597">
        <f t="shared" si="1"/>
        <v>1</v>
      </c>
      <c r="M13" s="5" t="s">
        <v>97</v>
      </c>
      <c r="N13" s="3334">
        <f t="shared" si="2"/>
        <v>126139.69500000001</v>
      </c>
      <c r="O13" s="3307">
        <v>16.230981022306619</v>
      </c>
      <c r="P13" s="3334">
        <f t="shared" si="3"/>
        <v>2047.3709957045451</v>
      </c>
      <c r="Q13" s="3334" t="str">
        <f>'Table1.A(d)'!G13</f>
        <v>NA</v>
      </c>
      <c r="R13" s="3334">
        <f>IF(SUM(P13,-SUM(Q13))=0,"NO",SUM(P13,-SUM(Q13)))</f>
        <v>2047.3709957045451</v>
      </c>
      <c r="S13" s="2597">
        <f t="shared" si="4"/>
        <v>1</v>
      </c>
      <c r="T13" s="3340">
        <f t="shared" si="5"/>
        <v>7507.0269842499983</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100681.85880000002</v>
      </c>
      <c r="H15" s="3326">
        <v>6623.1862000000001</v>
      </c>
      <c r="I15" s="3326" t="s">
        <v>199</v>
      </c>
      <c r="J15" s="3326">
        <v>2217.0319999999974</v>
      </c>
      <c r="K15" s="3334">
        <f t="shared" si="0"/>
        <v>91841.640600000013</v>
      </c>
      <c r="L15" s="2597">
        <f>IF(K15="NO","NA",1)</f>
        <v>1</v>
      </c>
      <c r="M15" s="5" t="s">
        <v>97</v>
      </c>
      <c r="N15" s="3334">
        <f t="shared" si="2"/>
        <v>91841.640600000013</v>
      </c>
      <c r="O15" s="3307">
        <v>18.382601896674672</v>
      </c>
      <c r="P15" s="3334">
        <f t="shared" si="3"/>
        <v>1688.2883166872739</v>
      </c>
      <c r="Q15" s="3334" t="str">
        <f>'Table1.A(d)'!G15</f>
        <v>NA</v>
      </c>
      <c r="R15" s="3334">
        <f>IF(SUM(P15,-SUM(Q15))=0,"NO",SUM(P15,-SUM(Q15)))</f>
        <v>1688.2883166872739</v>
      </c>
      <c r="S15" s="2597">
        <f>IF(R15="NO","NA",1)</f>
        <v>1</v>
      </c>
      <c r="T15" s="3340">
        <f>IF(R15="NO","NO",R15*S15*44/12)</f>
        <v>6190.3904945200047</v>
      </c>
    </row>
    <row r="16" spans="2:20" ht="18" customHeight="1" x14ac:dyDescent="0.2">
      <c r="B16" s="1730"/>
      <c r="C16" s="1570"/>
      <c r="D16" s="36" t="s">
        <v>293</v>
      </c>
      <c r="E16" s="2595" t="s">
        <v>374</v>
      </c>
      <c r="F16" s="3347"/>
      <c r="G16" s="3326">
        <v>76761.635200000004</v>
      </c>
      <c r="H16" s="3326">
        <v>435.49119999999999</v>
      </c>
      <c r="I16" s="3326">
        <v>149760.6912</v>
      </c>
      <c r="J16" s="3326">
        <v>2230.9119999999989</v>
      </c>
      <c r="K16" s="3334">
        <f t="shared" si="0"/>
        <v>-75665.459199999998</v>
      </c>
      <c r="L16" s="2597">
        <f t="shared" ref="L16:L28" si="6">IF(K16="NO","NA",1)</f>
        <v>1</v>
      </c>
      <c r="M16" s="5" t="s">
        <v>97</v>
      </c>
      <c r="N16" s="3334">
        <f t="shared" si="2"/>
        <v>-75665.459199999998</v>
      </c>
      <c r="O16" s="3307">
        <v>18.981818181818181</v>
      </c>
      <c r="P16" s="3334">
        <f t="shared" si="3"/>
        <v>-1436.2679891781816</v>
      </c>
      <c r="Q16" s="3334" t="str">
        <f>'Table1.A(d)'!G16</f>
        <v>NA</v>
      </c>
      <c r="R16" s="3334">
        <f t="shared" ref="R16:R44" si="7">IF(SUM(P16,-SUM(Q16))=0,"NO",SUM(P16,-SUM(Q16)))</f>
        <v>-1436.2679891781816</v>
      </c>
      <c r="S16" s="2597">
        <f t="shared" ref="S16:S28" si="8">IF(R16="NO","NA",1)</f>
        <v>1</v>
      </c>
      <c r="T16" s="3340">
        <f t="shared" ref="T16:T28" si="9">IF(R16="NO","NO",R16*S16*44/12)</f>
        <v>-5266.3159603199992</v>
      </c>
    </row>
    <row r="17" spans="2:20" ht="18" customHeight="1" x14ac:dyDescent="0.2">
      <c r="B17" s="1730"/>
      <c r="C17" s="1570"/>
      <c r="D17" s="36" t="s">
        <v>379</v>
      </c>
      <c r="E17" s="2595" t="s">
        <v>374</v>
      </c>
      <c r="F17" s="3346"/>
      <c r="G17" s="3326" t="s">
        <v>199</v>
      </c>
      <c r="H17" s="3326" t="s">
        <v>199</v>
      </c>
      <c r="I17" s="3326" t="s">
        <v>199</v>
      </c>
      <c r="J17" s="3326">
        <v>-45.104999999999997</v>
      </c>
      <c r="K17" s="3334">
        <f t="shared" si="0"/>
        <v>45.104999999999997</v>
      </c>
      <c r="L17" s="2597">
        <f t="shared" si="6"/>
        <v>1</v>
      </c>
      <c r="M17" s="5" t="s">
        <v>97</v>
      </c>
      <c r="N17" s="3334">
        <f t="shared" si="2"/>
        <v>45.104999999999997</v>
      </c>
      <c r="O17" s="3307">
        <v>18.790909090909089</v>
      </c>
      <c r="P17" s="3334">
        <f t="shared" si="3"/>
        <v>0.84756395454545441</v>
      </c>
      <c r="Q17" s="3334" t="str">
        <f>'Table1.A(d)'!G17</f>
        <v>NA</v>
      </c>
      <c r="R17" s="3334">
        <f t="shared" si="7"/>
        <v>0.84756395454545441</v>
      </c>
      <c r="S17" s="2597">
        <f t="shared" si="8"/>
        <v>1</v>
      </c>
      <c r="T17" s="3340">
        <f t="shared" si="9"/>
        <v>3.1077344999999994</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340462.49920000008</v>
      </c>
      <c r="H19" s="3326">
        <v>4525.2709999999997</v>
      </c>
      <c r="I19" s="3326">
        <v>1280</v>
      </c>
      <c r="J19" s="3326">
        <v>5845.9200000000019</v>
      </c>
      <c r="K19" s="3334">
        <f t="shared" si="0"/>
        <v>328811.30820000009</v>
      </c>
      <c r="L19" s="2597">
        <f t="shared" si="6"/>
        <v>1</v>
      </c>
      <c r="M19" s="5" t="s">
        <v>97</v>
      </c>
      <c r="N19" s="3334">
        <f t="shared" si="2"/>
        <v>328811.30820000009</v>
      </c>
      <c r="O19" s="3307">
        <v>19.06363636363637</v>
      </c>
      <c r="P19" s="3334">
        <f t="shared" si="3"/>
        <v>6268.3392117763669</v>
      </c>
      <c r="Q19" s="3334" t="str">
        <f>'Table1.A(d)'!G19</f>
        <v>NA</v>
      </c>
      <c r="R19" s="3334">
        <f t="shared" si="7"/>
        <v>6268.3392117763669</v>
      </c>
      <c r="S19" s="2597">
        <f t="shared" si="8"/>
        <v>1</v>
      </c>
      <c r="T19" s="3340">
        <f t="shared" si="9"/>
        <v>22983.910443180011</v>
      </c>
    </row>
    <row r="20" spans="2:20" ht="18" customHeight="1" x14ac:dyDescent="0.2">
      <c r="B20" s="1730"/>
      <c r="C20" s="1570"/>
      <c r="D20" s="36" t="s">
        <v>306</v>
      </c>
      <c r="E20" s="2595" t="s">
        <v>374</v>
      </c>
      <c r="F20" s="3346"/>
      <c r="G20" s="3326">
        <v>61896.150900000008</v>
      </c>
      <c r="H20" s="3326">
        <v>7721.0941999999995</v>
      </c>
      <c r="I20" s="3326">
        <v>24120</v>
      </c>
      <c r="J20" s="3326">
        <v>-80.040000000000134</v>
      </c>
      <c r="K20" s="3334">
        <f t="shared" si="0"/>
        <v>30135.096700000009</v>
      </c>
      <c r="L20" s="2597">
        <f t="shared" si="6"/>
        <v>1</v>
      </c>
      <c r="M20" s="5" t="s">
        <v>97</v>
      </c>
      <c r="N20" s="3334">
        <f t="shared" si="2"/>
        <v>30135.096700000009</v>
      </c>
      <c r="O20" s="3307">
        <v>20.072727272727271</v>
      </c>
      <c r="P20" s="3334">
        <f t="shared" si="3"/>
        <v>604.89357739636375</v>
      </c>
      <c r="Q20" s="3334" t="str">
        <f>'Table1.A(d)'!G20</f>
        <v>NA</v>
      </c>
      <c r="R20" s="3334">
        <f t="shared" si="7"/>
        <v>604.89357739636375</v>
      </c>
      <c r="S20" s="2597">
        <f t="shared" si="8"/>
        <v>1</v>
      </c>
      <c r="T20" s="3340">
        <f t="shared" si="9"/>
        <v>2217.9431171200004</v>
      </c>
    </row>
    <row r="21" spans="2:20" ht="18" customHeight="1" x14ac:dyDescent="0.2">
      <c r="B21" s="1730"/>
      <c r="C21" s="1570"/>
      <c r="D21" s="36" t="s">
        <v>283</v>
      </c>
      <c r="E21" s="2595" t="s">
        <v>374</v>
      </c>
      <c r="F21" s="3346"/>
      <c r="G21" s="3326">
        <v>22826.8171</v>
      </c>
      <c r="H21" s="3326">
        <v>64981.757406500008</v>
      </c>
      <c r="I21" s="3346"/>
      <c r="J21" s="3326">
        <v>-2506.7839999999997</v>
      </c>
      <c r="K21" s="3334">
        <f t="shared" si="0"/>
        <v>-39648.156306500008</v>
      </c>
      <c r="L21" s="2597">
        <f t="shared" si="6"/>
        <v>1</v>
      </c>
      <c r="M21" s="5" t="s">
        <v>97</v>
      </c>
      <c r="N21" s="3334">
        <f t="shared" si="2"/>
        <v>-39648.156306500008</v>
      </c>
      <c r="O21" s="3307">
        <v>16.418181818181822</v>
      </c>
      <c r="P21" s="3334">
        <f t="shared" si="3"/>
        <v>-650.95063899580941</v>
      </c>
      <c r="Q21" s="3334" t="str">
        <f>'Table1.A(d)'!G21</f>
        <v>NA</v>
      </c>
      <c r="R21" s="3334">
        <f t="shared" si="7"/>
        <v>-650.95063899580941</v>
      </c>
      <c r="S21" s="2597">
        <f t="shared" si="8"/>
        <v>1</v>
      </c>
      <c r="T21" s="3340">
        <f t="shared" si="9"/>
        <v>-2386.8190096513013</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349.7925580909091</v>
      </c>
      <c r="R22" s="3334">
        <f t="shared" si="7"/>
        <v>-349.7925580909091</v>
      </c>
      <c r="S22" s="2597">
        <f t="shared" si="8"/>
        <v>1</v>
      </c>
      <c r="T22" s="3340">
        <f t="shared" si="9"/>
        <v>-1282.572713</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15444.993600000002</v>
      </c>
      <c r="H24" s="3326" t="s">
        <v>199</v>
      </c>
      <c r="I24" s="3346"/>
      <c r="J24" s="3326">
        <v>-2.9890000000000101</v>
      </c>
      <c r="K24" s="3334">
        <f t="shared" si="0"/>
        <v>15447.982600000001</v>
      </c>
      <c r="L24" s="2597">
        <f t="shared" si="6"/>
        <v>1</v>
      </c>
      <c r="M24" s="5" t="s">
        <v>97</v>
      </c>
      <c r="N24" s="3334">
        <f t="shared" si="2"/>
        <v>15447.982600000001</v>
      </c>
      <c r="O24" s="3307">
        <v>22.009090909090911</v>
      </c>
      <c r="P24" s="3334">
        <f t="shared" si="3"/>
        <v>339.99605340545463</v>
      </c>
      <c r="Q24" s="3334">
        <f>'Table1.A(d)'!G24</f>
        <v>697.68818181818176</v>
      </c>
      <c r="R24" s="3334">
        <f t="shared" si="7"/>
        <v>-357.69212841272713</v>
      </c>
      <c r="S24" s="2597">
        <f t="shared" si="8"/>
        <v>1</v>
      </c>
      <c r="T24" s="3340">
        <f t="shared" si="9"/>
        <v>-1311.5378041799995</v>
      </c>
    </row>
    <row r="25" spans="2:20" ht="18" customHeight="1" x14ac:dyDescent="0.2">
      <c r="B25" s="1730"/>
      <c r="C25" s="1570"/>
      <c r="D25" s="36" t="s">
        <v>297</v>
      </c>
      <c r="E25" s="2595" t="s">
        <v>374</v>
      </c>
      <c r="F25" s="3346"/>
      <c r="G25" s="3326">
        <v>17951.983999999997</v>
      </c>
      <c r="H25" s="3326">
        <v>7751.7743999999993</v>
      </c>
      <c r="I25" s="3326" t="s">
        <v>199</v>
      </c>
      <c r="J25" s="3326">
        <v>-995.16200000000003</v>
      </c>
      <c r="K25" s="3334">
        <f t="shared" si="0"/>
        <v>11195.371599999999</v>
      </c>
      <c r="L25" s="2597">
        <f t="shared" si="6"/>
        <v>1</v>
      </c>
      <c r="M25" s="5" t="s">
        <v>97</v>
      </c>
      <c r="N25" s="3334">
        <f t="shared" si="2"/>
        <v>11195.371599999999</v>
      </c>
      <c r="O25" s="3307">
        <v>18.991363636363641</v>
      </c>
      <c r="P25" s="3334">
        <f t="shared" si="3"/>
        <v>212.61537309981821</v>
      </c>
      <c r="Q25" s="3334">
        <f>'Table1.A(d)'!G25</f>
        <v>317.15577272727273</v>
      </c>
      <c r="R25" s="3334">
        <f t="shared" si="7"/>
        <v>-104.54039962745452</v>
      </c>
      <c r="S25" s="2597">
        <f t="shared" si="8"/>
        <v>1</v>
      </c>
      <c r="T25" s="3340">
        <f t="shared" si="9"/>
        <v>-383.31479863399994</v>
      </c>
    </row>
    <row r="26" spans="2:20" ht="18" customHeight="1" x14ac:dyDescent="0.2">
      <c r="B26" s="1730"/>
      <c r="C26" s="1570"/>
      <c r="D26" s="36" t="s">
        <v>384</v>
      </c>
      <c r="E26" s="2595" t="s">
        <v>374</v>
      </c>
      <c r="F26" s="3346"/>
      <c r="G26" s="3326">
        <v>30305.981972834936</v>
      </c>
      <c r="H26" s="3326" t="s">
        <v>199</v>
      </c>
      <c r="I26" s="3346"/>
      <c r="J26" s="3326" t="s">
        <v>199</v>
      </c>
      <c r="K26" s="3334">
        <f t="shared" si="0"/>
        <v>30305.981972834936</v>
      </c>
      <c r="L26" s="2597">
        <f t="shared" si="6"/>
        <v>1</v>
      </c>
      <c r="M26" s="5" t="s">
        <v>97</v>
      </c>
      <c r="N26" s="3334">
        <f t="shared" si="2"/>
        <v>30305.981972834936</v>
      </c>
      <c r="O26" s="3307">
        <v>25.26136363636364</v>
      </c>
      <c r="P26" s="3334">
        <f t="shared" si="3"/>
        <v>765.57043097286453</v>
      </c>
      <c r="Q26" s="3334">
        <f>'Table1.A(d)'!G26</f>
        <v>765.57043097286441</v>
      </c>
      <c r="R26" s="3334">
        <f t="shared" si="7"/>
        <v>1.1368683772161603E-13</v>
      </c>
      <c r="S26" s="2597">
        <f t="shared" si="8"/>
        <v>1</v>
      </c>
      <c r="T26" s="3340">
        <f t="shared" si="9"/>
        <v>4.1685173831259209E-13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6369.1944000000012</v>
      </c>
      <c r="H28" s="3326">
        <v>1342.256137619119</v>
      </c>
      <c r="I28" s="3346"/>
      <c r="J28" s="3326">
        <v>-8391.2300000000014</v>
      </c>
      <c r="K28" s="3334">
        <f t="shared" si="0"/>
        <v>13418.168262380885</v>
      </c>
      <c r="L28" s="2597">
        <f t="shared" si="6"/>
        <v>1</v>
      </c>
      <c r="M28" s="5" t="s">
        <v>97</v>
      </c>
      <c r="N28" s="3334">
        <f t="shared" si="2"/>
        <v>13418.168262380885</v>
      </c>
      <c r="O28" s="3307">
        <v>19.03653735605133</v>
      </c>
      <c r="P28" s="3334">
        <f t="shared" si="3"/>
        <v>255.43546137659607</v>
      </c>
      <c r="Q28" s="3334">
        <f>'Table1.A(d)'!G28</f>
        <v>476.83010452363635</v>
      </c>
      <c r="R28" s="3334">
        <f t="shared" si="7"/>
        <v>-221.39464314704028</v>
      </c>
      <c r="S28" s="2597">
        <f t="shared" si="8"/>
        <v>1</v>
      </c>
      <c r="T28" s="3340">
        <f t="shared" si="9"/>
        <v>-811.78035820581442</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1964689.1944672961</v>
      </c>
      <c r="O31" s="3329"/>
      <c r="P31" s="3336">
        <f>SUM(P11:P29)</f>
        <v>37289.097997152508</v>
      </c>
      <c r="Q31" s="3336">
        <f>SUM(Q11:Q29)</f>
        <v>2607.0370481328641</v>
      </c>
      <c r="R31" s="3334">
        <f t="shared" si="7"/>
        <v>34682.060949019644</v>
      </c>
      <c r="S31" s="2598"/>
      <c r="T31" s="3342">
        <f>SUM(T11:T29)</f>
        <v>127167.55681307199</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9182439.3218658902</v>
      </c>
      <c r="G35" s="3326" t="s">
        <v>199</v>
      </c>
      <c r="H35" s="3326">
        <v>8052500</v>
      </c>
      <c r="I35" s="3326" t="s">
        <v>199</v>
      </c>
      <c r="J35" s="3326">
        <v>-307300</v>
      </c>
      <c r="K35" s="3334">
        <f t="shared" si="10"/>
        <v>1437239.3218658902</v>
      </c>
      <c r="L35" s="2597">
        <f t="shared" si="11"/>
        <v>1</v>
      </c>
      <c r="M35" s="55" t="s">
        <v>97</v>
      </c>
      <c r="N35" s="3334">
        <f t="shared" si="12"/>
        <v>1437239.3218658902</v>
      </c>
      <c r="O35" s="3307">
        <v>24.383738605481089</v>
      </c>
      <c r="P35" s="3334">
        <f t="shared" si="13"/>
        <v>35045.267937896766</v>
      </c>
      <c r="Q35" s="3334">
        <f>'Table1.A(d)'!G35</f>
        <v>842.17918825636366</v>
      </c>
      <c r="R35" s="3334">
        <f t="shared" si="7"/>
        <v>34203.088749640403</v>
      </c>
      <c r="S35" s="2597">
        <f t="shared" si="14"/>
        <v>1</v>
      </c>
      <c r="T35" s="3340">
        <f t="shared" si="15"/>
        <v>125411.32541534815</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693618.33933445392</v>
      </c>
      <c r="G37" s="3326" t="s">
        <v>199</v>
      </c>
      <c r="H37" s="3326" t="s">
        <v>199</v>
      </c>
      <c r="I37" s="3346"/>
      <c r="J37" s="3326">
        <v>-27300</v>
      </c>
      <c r="K37" s="3334">
        <f t="shared" si="10"/>
        <v>720918.33933445392</v>
      </c>
      <c r="L37" s="2597">
        <f t="shared" si="11"/>
        <v>1</v>
      </c>
      <c r="M37" s="55" t="s">
        <v>97</v>
      </c>
      <c r="N37" s="3334">
        <f t="shared" si="12"/>
        <v>720918.33933445392</v>
      </c>
      <c r="O37" s="3307">
        <v>25.42625784643965</v>
      </c>
      <c r="P37" s="3334">
        <f t="shared" si="13"/>
        <v>18330.255582144902</v>
      </c>
      <c r="Q37" s="3334">
        <f>'Table1.A(d)'!G37</f>
        <v>1.2929102727272701</v>
      </c>
      <c r="R37" s="3334">
        <f t="shared" si="7"/>
        <v>18328.962671872174</v>
      </c>
      <c r="S37" s="2597">
        <f t="shared" si="14"/>
        <v>1</v>
      </c>
      <c r="T37" s="3340">
        <f t="shared" si="15"/>
        <v>67206.196463531305</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1600</v>
      </c>
      <c r="H41" s="3326" t="s">
        <v>199</v>
      </c>
      <c r="I41" s="3346"/>
      <c r="J41" s="3326">
        <v>2600</v>
      </c>
      <c r="K41" s="3334">
        <f t="shared" si="16"/>
        <v>-1000</v>
      </c>
      <c r="L41" s="2597">
        <f t="shared" si="17"/>
        <v>1</v>
      </c>
      <c r="M41" s="55" t="s">
        <v>97</v>
      </c>
      <c r="N41" s="3334">
        <f t="shared" si="18"/>
        <v>-1000</v>
      </c>
      <c r="O41" s="3307">
        <v>29.151704654242678</v>
      </c>
      <c r="P41" s="3334">
        <f t="shared" si="19"/>
        <v>-29.151704654242678</v>
      </c>
      <c r="Q41" s="3334">
        <f>'Table1.A(d)'!G41</f>
        <v>2108.2305968773439</v>
      </c>
      <c r="R41" s="3334">
        <f t="shared" si="7"/>
        <v>-2137.3823015315866</v>
      </c>
      <c r="S41" s="2597">
        <f t="shared" si="20"/>
        <v>1</v>
      </c>
      <c r="T41" s="3340">
        <f t="shared" si="21"/>
        <v>-7837.0684389491507</v>
      </c>
    </row>
    <row r="42" spans="2:20" ht="18" customHeight="1" x14ac:dyDescent="0.2">
      <c r="B42" s="1730"/>
      <c r="C42" s="1571"/>
      <c r="D42" s="31" t="s">
        <v>398</v>
      </c>
      <c r="E42" s="2595" t="s">
        <v>374</v>
      </c>
      <c r="F42" s="3346"/>
      <c r="G42" s="3326" t="s">
        <v>199</v>
      </c>
      <c r="H42" s="3326" t="s">
        <v>199</v>
      </c>
      <c r="I42" s="3346"/>
      <c r="J42" s="3326">
        <v>1600</v>
      </c>
      <c r="K42" s="3334">
        <f t="shared" si="16"/>
        <v>-1600</v>
      </c>
      <c r="L42" s="2597">
        <f t="shared" si="17"/>
        <v>1</v>
      </c>
      <c r="M42" s="55" t="s">
        <v>97</v>
      </c>
      <c r="N42" s="3334">
        <f t="shared" si="18"/>
        <v>-1600</v>
      </c>
      <c r="O42" s="3307">
        <v>22.309090909090909</v>
      </c>
      <c r="P42" s="3334">
        <f t="shared" si="19"/>
        <v>-35.694545454545455</v>
      </c>
      <c r="Q42" s="3334">
        <f>'Table1.A(d)'!G42</f>
        <v>255.82179067617244</v>
      </c>
      <c r="R42" s="3334">
        <f t="shared" si="7"/>
        <v>-291.51633613071789</v>
      </c>
      <c r="S42" s="2597">
        <f t="shared" si="20"/>
        <v>1</v>
      </c>
      <c r="T42" s="3340">
        <f t="shared" si="21"/>
        <v>-1068.8932324792988</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2155557.6612003441</v>
      </c>
      <c r="O45" s="3329"/>
      <c r="P45" s="3336">
        <f>SUM(P33:P43)</f>
        <v>53310.677269932879</v>
      </c>
      <c r="Q45" s="3336">
        <f>SUM(Q33:Q43)</f>
        <v>3207.5244860826074</v>
      </c>
      <c r="R45" s="3336">
        <f>SUM(R33:R43)</f>
        <v>50103.152783850266</v>
      </c>
      <c r="S45" s="41"/>
      <c r="T45" s="3342">
        <f>SUM(T33:T43)</f>
        <v>183711.560207451</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2184647.0449999999</v>
      </c>
      <c r="G47" s="3326">
        <v>261000</v>
      </c>
      <c r="H47" s="3326">
        <v>1085700</v>
      </c>
      <c r="I47" s="3326" t="s">
        <v>199</v>
      </c>
      <c r="J47" s="3326">
        <v>101498.52000647706</v>
      </c>
      <c r="K47" s="3334">
        <f t="shared" ref="K47" si="22">IF((SUM(F47:G47)-SUM(H47:J47))=0,"NO",(SUM(F47:G47)-SUM(H47:J47)))</f>
        <v>1258448.5249935228</v>
      </c>
      <c r="L47" s="2597">
        <f t="shared" ref="L47" si="23">IF(K47="NO","NA",1)</f>
        <v>1</v>
      </c>
      <c r="M47" s="55" t="s">
        <v>97</v>
      </c>
      <c r="N47" s="3334">
        <f t="shared" ref="N47" si="24">K47</f>
        <v>1258448.5249935228</v>
      </c>
      <c r="O47" s="3307">
        <v>13.986378441468529</v>
      </c>
      <c r="P47" s="3334">
        <f t="shared" ref="P47" si="25">IFERROR(N47*O47/1000,"NA")</f>
        <v>17601.137319667276</v>
      </c>
      <c r="Q47" s="3334">
        <f>'Table1.A(d)'!G47</f>
        <v>688.51840856399815</v>
      </c>
      <c r="R47" s="3334">
        <f t="shared" ref="R47" si="26">IF(SUM(P47,-SUM(Q47))=0,"NO",SUM(P47,-SUM(Q47)))</f>
        <v>16912.618911103276</v>
      </c>
      <c r="S47" s="2597">
        <f t="shared" ref="S47" si="27">IF(R47="NO","NA",1)</f>
        <v>1</v>
      </c>
      <c r="T47" s="3340">
        <f t="shared" ref="T47" si="28">IF(R47="NO","NO",R47*S47*44/12)</f>
        <v>62012.936007378681</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1258448.5249935228</v>
      </c>
      <c r="O50" s="3331"/>
      <c r="P50" s="3336">
        <f>SUM(P47:P48)</f>
        <v>17601.137319667276</v>
      </c>
      <c r="Q50" s="3336">
        <f>SUM(Q47:Q48)</f>
        <v>688.51840856399815</v>
      </c>
      <c r="R50" s="3336">
        <f>SUM(R47:R48)</f>
        <v>16912.618911103276</v>
      </c>
      <c r="S50" s="2379"/>
      <c r="T50" s="3342">
        <f>SUM(T47:T48)</f>
        <v>62012.936007378681</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-471.69</v>
      </c>
      <c r="K52" s="3334">
        <f t="shared" ref="K52:K53" si="29">IF((SUM(F52:G52)-SUM(H52:J52))=0,"NO",(SUM(F52:G52)-SUM(H52:J52)))</f>
        <v>471.69</v>
      </c>
      <c r="L52" s="2597">
        <f t="shared" ref="L52:L53" si="30">IF(K52="NO","NA",1)</f>
        <v>1</v>
      </c>
      <c r="M52" s="55" t="s">
        <v>97</v>
      </c>
      <c r="N52" s="3334">
        <f t="shared" ref="N52:N53" si="31">K52</f>
        <v>471.69</v>
      </c>
      <c r="O52" s="3307">
        <v>1.1205377935045937</v>
      </c>
      <c r="P52" s="3334">
        <f t="shared" ref="P52:P53" si="32">IFERROR(N52*O52/1000,"NA")</f>
        <v>0.52854647181818182</v>
      </c>
      <c r="Q52" s="3339" t="str">
        <f>'Table1.A(d)'!G52</f>
        <v>NA</v>
      </c>
      <c r="R52" s="3334">
        <f t="shared" ref="R52:R53" si="33">IF(SUM(P52,-SUM(Q52))=0,"NO",SUM(P52,-SUM(Q52)))</f>
        <v>0.52854647181818182</v>
      </c>
      <c r="S52" s="2597">
        <f t="shared" ref="S52:S53" si="34">IF(R52="NO","NA",1)</f>
        <v>1</v>
      </c>
      <c r="T52" s="3340">
        <f t="shared" ref="T52:T53" si="35">IF(R52="NO","NO",R52*S52*44/12)</f>
        <v>1.9380037300000001</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471.69</v>
      </c>
      <c r="O54" s="3332"/>
      <c r="P54" s="3338">
        <f>SUM(P51:P53)</f>
        <v>0.52854647181818182</v>
      </c>
      <c r="Q54" s="3338">
        <f>SUM(Q51:Q53)</f>
        <v>0</v>
      </c>
      <c r="R54" s="3338">
        <f>SUM(R51:R53)</f>
        <v>0.52854647181818182</v>
      </c>
      <c r="S54" s="2399"/>
      <c r="T54" s="3344">
        <f>SUM(T51:T53)</f>
        <v>1.9380037300000001</v>
      </c>
    </row>
    <row r="55" spans="2:20" ht="18" customHeight="1" thickBot="1" x14ac:dyDescent="0.25">
      <c r="B55" s="2395" t="s">
        <v>409</v>
      </c>
      <c r="C55" s="2396"/>
      <c r="D55" s="2396"/>
      <c r="E55" s="100"/>
      <c r="F55" s="3356"/>
      <c r="G55" s="3356"/>
      <c r="H55" s="3356"/>
      <c r="I55" s="3356"/>
      <c r="J55" s="3356"/>
      <c r="K55" s="3357"/>
      <c r="L55" s="2397"/>
      <c r="M55" s="2398"/>
      <c r="N55" s="3338">
        <f>SUM(N31,N45,N50,N54)</f>
        <v>5379167.0706611639</v>
      </c>
      <c r="O55" s="3332"/>
      <c r="P55" s="3338">
        <f>SUM(P31,P45,P50,P54)</f>
        <v>108201.44113322448</v>
      </c>
      <c r="Q55" s="3338">
        <f>SUM(Q31,Q45,Q50,Q54)</f>
        <v>6503.07994277947</v>
      </c>
      <c r="R55" s="3338">
        <f>SUM(R31,R45,R50,R54)</f>
        <v>101698.36119044501</v>
      </c>
      <c r="S55" s="2399"/>
      <c r="T55" s="3344">
        <f>SUM(T31,T45,T50,T54)</f>
        <v>372893.99103163171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1964.6891944672961</v>
      </c>
      <c r="D10" s="4127">
        <f>C10-'Table1.A(d)'!E31/1000</f>
        <v>1836.7010464978509</v>
      </c>
      <c r="E10" s="4126">
        <f>'Table1.A(b)'!T31</f>
        <v>127167.55681307199</v>
      </c>
      <c r="F10" s="4126">
        <f>'Table1.A(a)s1'!C11/1000</f>
        <v>1847.2391448926539</v>
      </c>
      <c r="G10" s="4126">
        <f>'Table1.A(a)s1'!H11</f>
        <v>126247.89549624141</v>
      </c>
      <c r="H10" s="4126">
        <f>100*((D10-F10)/F10)</f>
        <v>-0.57047829589034538</v>
      </c>
      <c r="I10" s="4128">
        <f>100*((E10-G10)/G10)</f>
        <v>0.72845675028139945</v>
      </c>
      <c r="L10"/>
    </row>
    <row r="11" spans="2:12" ht="18" customHeight="1" x14ac:dyDescent="0.2">
      <c r="B11" s="50" t="s">
        <v>430</v>
      </c>
      <c r="C11" s="4126">
        <f>'Table1.A(b)'!N45/1000</f>
        <v>2155.5576612003442</v>
      </c>
      <c r="D11" s="4126">
        <f>C11-'Table1.A(d)'!E45/1000</f>
        <v>2036.3870959022599</v>
      </c>
      <c r="E11" s="4126">
        <f>'Table1.A(b)'!T45</f>
        <v>183711.560207451</v>
      </c>
      <c r="F11" s="4126">
        <f>'Table1.A(a)s1'!C12/1000</f>
        <v>2004.4485422953644</v>
      </c>
      <c r="G11" s="4126">
        <f>'Table1.A(a)s1'!H12</f>
        <v>180657.26110268431</v>
      </c>
      <c r="H11" s="4126">
        <f t="shared" ref="H11:H13" si="0">100*((D11-F11)/F11)</f>
        <v>1.5933835632578317</v>
      </c>
      <c r="I11" s="4128">
        <f t="shared" ref="I11:I13" si="1">100*((E11-G11)/G11)</f>
        <v>1.6906594764716627</v>
      </c>
      <c r="L11"/>
    </row>
    <row r="12" spans="2:12" ht="18" customHeight="1" x14ac:dyDescent="0.2">
      <c r="B12" s="50" t="s">
        <v>431</v>
      </c>
      <c r="C12" s="4126">
        <f>'Table1.A(b)'!N50/1000</f>
        <v>1258.4485249935228</v>
      </c>
      <c r="D12" s="4126">
        <f>C12-'Table1.A(d)'!E50/1000</f>
        <v>1209.3438119305229</v>
      </c>
      <c r="E12" s="4126">
        <f>'Table1.A(b)'!T50</f>
        <v>62012.936007378681</v>
      </c>
      <c r="F12" s="4126">
        <f>'Table1.A(a)s1'!C13/1000</f>
        <v>1220.6517358689382</v>
      </c>
      <c r="G12" s="4126">
        <f>'Table1.A(a)s1'!H13</f>
        <v>62523.772848036257</v>
      </c>
      <c r="H12" s="4126">
        <f t="shared" si="0"/>
        <v>-0.92638412793192293</v>
      </c>
      <c r="I12" s="4128">
        <f t="shared" si="1"/>
        <v>-0.81702817566553787</v>
      </c>
      <c r="L12"/>
    </row>
    <row r="13" spans="2:12" ht="18" customHeight="1" x14ac:dyDescent="0.2">
      <c r="B13" s="50" t="s">
        <v>432</v>
      </c>
      <c r="C13" s="4126">
        <f>'Table1.A(b)'!N54/1000</f>
        <v>0.47169</v>
      </c>
      <c r="D13" s="4126">
        <f>C13-SUM('Table1.A(d)'!E54)/1000</f>
        <v>0.47169</v>
      </c>
      <c r="E13" s="4126">
        <f>'Table1.A(b)'!T54</f>
        <v>1.9380037300000001</v>
      </c>
      <c r="F13" s="4126">
        <f>'Table1.A(a)s1'!C14/1000</f>
        <v>3.4296838747753804</v>
      </c>
      <c r="G13" s="4126">
        <f>'Table1.A(a)s1'!H14</f>
        <v>267.85666155103536</v>
      </c>
      <c r="H13" s="4126">
        <f t="shared" si="0"/>
        <v>-86.24683739894563</v>
      </c>
      <c r="I13" s="4128">
        <f t="shared" si="1"/>
        <v>-99.276477307386017</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5379.167070661164</v>
      </c>
      <c r="D15" s="4196">
        <f>SUM(D10:D14)</f>
        <v>5082.9036443306341</v>
      </c>
      <c r="E15" s="4196">
        <f>SUM(E10:E14)</f>
        <v>372893.99103163171</v>
      </c>
      <c r="F15" s="4196">
        <f>SUM(F10:F14)</f>
        <v>5075.7691069317316</v>
      </c>
      <c r="G15" s="4196">
        <f>SUM(G10:G14)</f>
        <v>369696.78610851301</v>
      </c>
      <c r="H15" s="4197">
        <f t="shared" ref="H15" si="2">100*((D15-F15)/F15)</f>
        <v>0.14056071599394021</v>
      </c>
      <c r="I15" s="4198">
        <f t="shared" ref="I15" si="3">100*((E15-G15)/G15)</f>
        <v>0.86481815456741828</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500" t="s">
        <v>435</v>
      </c>
      <c r="C35" s="4501"/>
      <c r="D35" s="4501"/>
      <c r="E35" s="4501"/>
      <c r="F35" s="4501"/>
      <c r="G35" s="4501"/>
      <c r="H35" s="4501"/>
      <c r="I35" s="45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