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4" documentId="13_ncr:1_{28371352-E979-4C2A-AA72-B089CFC20225}" xr6:coauthVersionLast="47" xr6:coauthVersionMax="47" xr10:uidLastSave="{09DCF787-C5A0-4D9F-80E1-C32469E9C938}"/>
  <bookViews>
    <workbookView xWindow="315" yWindow="585" windowWidth="27870" windowHeight="1375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22" l="1"/>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29" i="125"/>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E11" i="125" l="1"/>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E22" i="125"/>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AH71" i="75" l="1"/>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I10" i="73"/>
  <c r="U10" i="73" l="1"/>
  <c r="C30" i="70"/>
  <c r="Q26" i="70"/>
  <c r="O50" i="70"/>
  <c r="I50" i="70"/>
  <c r="I18" i="70"/>
  <c r="I30" i="70"/>
  <c r="I22" i="70" l="1"/>
  <c r="O12" i="70"/>
  <c r="C41" i="70"/>
  <c r="C18" i="70"/>
  <c r="O30" i="70"/>
  <c r="O18" i="70"/>
  <c r="I12" i="70"/>
  <c r="I11" i="70" s="1"/>
  <c r="I10" i="70" s="1"/>
  <c r="S26" i="70"/>
  <c r="R26" i="70"/>
  <c r="T26" i="70"/>
  <c r="O22" i="70"/>
  <c r="O41" i="70"/>
  <c r="C12" i="70"/>
  <c r="C11" i="70" s="1"/>
  <c r="C10" i="70" s="1"/>
  <c r="I41" i="70"/>
  <c r="C22" i="70"/>
  <c r="O11" i="70" l="1"/>
  <c r="O10" i="70" s="1"/>
  <c r="C10" i="73" l="1"/>
  <c r="E34" i="73" s="1"/>
  <c r="E35" i="73" s="1"/>
  <c r="D282" i="56" l="1"/>
  <c r="D302" i="56"/>
  <c r="D281" i="56"/>
  <c r="D423" i="56"/>
  <c r="D415" i="56"/>
  <c r="C17" i="124"/>
  <c r="C11" i="124" l="1"/>
  <c r="C10" i="124" s="1"/>
  <c r="D277" i="56"/>
  <c r="D411" i="56"/>
  <c r="D331" i="56"/>
  <c r="D327" i="56" s="1"/>
  <c r="R18" i="50"/>
  <c r="R13" i="50" s="1"/>
  <c r="R10" i="50" s="1"/>
  <c r="Q17" i="52"/>
  <c r="Q11" i="52" s="1"/>
  <c r="Q10" i="52" s="1"/>
  <c r="Q11" i="53"/>
  <c r="P11" i="53"/>
  <c r="R21" i="51"/>
  <c r="R15" i="51" s="1"/>
  <c r="R10" i="51" s="1"/>
  <c r="I35" i="47"/>
  <c r="D18" i="52" l="1"/>
  <c r="K18" i="52"/>
  <c r="D22" i="51"/>
  <c r="E21" i="51"/>
  <c r="K22" i="51"/>
  <c r="F21" i="51"/>
  <c r="L22" i="51"/>
  <c r="F18" i="50"/>
  <c r="L19" i="50"/>
  <c r="N11" i="53"/>
  <c r="D16" i="52"/>
  <c r="K16" i="52"/>
  <c r="S19" i="50"/>
  <c r="S18" i="50" s="1"/>
  <c r="Q18" i="50"/>
  <c r="E14" i="52"/>
  <c r="D15" i="52"/>
  <c r="K15" i="52"/>
  <c r="D19" i="50"/>
  <c r="E18" i="50"/>
  <c r="K19" i="50"/>
  <c r="Q21" i="51"/>
  <c r="S22" i="51"/>
  <c r="S21" i="51" s="1"/>
  <c r="K12" i="51"/>
  <c r="D12" i="51"/>
  <c r="P17" i="52"/>
  <c r="P11" i="52" s="1"/>
  <c r="P10" i="52" s="1"/>
  <c r="P11" i="51"/>
  <c r="P14" i="49" l="1"/>
  <c r="K14" i="52"/>
  <c r="L18" i="50"/>
  <c r="F13" i="50"/>
  <c r="N11" i="51"/>
  <c r="J15" i="52"/>
  <c r="D14" i="52"/>
  <c r="G15" i="52"/>
  <c r="H15" i="52"/>
  <c r="I15" i="52"/>
  <c r="K21" i="51"/>
  <c r="P15" i="49"/>
  <c r="U15" i="49" s="1"/>
  <c r="J22" i="51"/>
  <c r="H22" i="51"/>
  <c r="G22" i="51"/>
  <c r="I22" i="51"/>
  <c r="D21" i="51"/>
  <c r="F15" i="51"/>
  <c r="L21" i="51"/>
  <c r="O19" i="52"/>
  <c r="S19" i="52" s="1"/>
  <c r="N17" i="52"/>
  <c r="N11" i="52" s="1"/>
  <c r="G12" i="51"/>
  <c r="H12" i="51"/>
  <c r="J12" i="51"/>
  <c r="O12" i="51"/>
  <c r="M11" i="51"/>
  <c r="O18" i="51"/>
  <c r="S18" i="51" s="1"/>
  <c r="O18" i="52"/>
  <c r="M17" i="52"/>
  <c r="M11" i="52" s="1"/>
  <c r="K18" i="50"/>
  <c r="J16" i="52"/>
  <c r="G16" i="52"/>
  <c r="H16" i="52"/>
  <c r="I16" i="52"/>
  <c r="D18" i="50"/>
  <c r="G19" i="50"/>
  <c r="J19" i="50"/>
  <c r="I19" i="50"/>
  <c r="H19" i="50"/>
  <c r="M11" i="53"/>
  <c r="O12" i="53"/>
  <c r="H18" i="52"/>
  <c r="G18" i="52"/>
  <c r="J18" i="52"/>
  <c r="I18" i="52"/>
  <c r="G45" i="59"/>
  <c r="G22" i="59"/>
  <c r="G16" i="59"/>
  <c r="F17" i="59" l="1"/>
  <c r="G17" i="59" s="1"/>
  <c r="G18" i="59"/>
  <c r="L15" i="51"/>
  <c r="F10" i="51"/>
  <c r="L10" i="51" s="1"/>
  <c r="H14" i="52"/>
  <c r="I14" i="52"/>
  <c r="J14" i="52"/>
  <c r="G14" i="52"/>
  <c r="F50" i="59"/>
  <c r="G51" i="59"/>
  <c r="I21" i="51"/>
  <c r="J21" i="51"/>
  <c r="H21" i="51"/>
  <c r="G21" i="51"/>
  <c r="G14" i="59"/>
  <c r="J18" i="50"/>
  <c r="I18" i="50"/>
  <c r="G18" i="50"/>
  <c r="H18" i="50"/>
  <c r="L13" i="50"/>
  <c r="F10" i="50"/>
  <c r="L10" i="50" s="1"/>
  <c r="P22" i="49"/>
  <c r="U22" i="49" s="1"/>
  <c r="S12" i="51"/>
  <c r="O11" i="51"/>
  <c r="G24" i="59"/>
  <c r="F23" i="59"/>
  <c r="G23" i="59" s="1"/>
  <c r="O14" i="51"/>
  <c r="S14" i="51" s="1"/>
  <c r="I12" i="51"/>
  <c r="F38" i="59"/>
  <c r="G39" i="59"/>
  <c r="S12" i="53"/>
  <c r="S11" i="53" s="1"/>
  <c r="O11" i="53"/>
  <c r="S18" i="52"/>
  <c r="S17" i="52" s="1"/>
  <c r="S11" i="52" s="1"/>
  <c r="O17" i="52"/>
  <c r="O11" i="52" s="1"/>
  <c r="F49" i="59" l="1"/>
  <c r="G50" i="59"/>
  <c r="G38" i="59"/>
  <c r="F37" i="59"/>
  <c r="C21" i="47"/>
  <c r="C24" i="47"/>
  <c r="T23" i="49"/>
  <c r="T16" i="49" s="1"/>
  <c r="T10" i="49" s="1"/>
  <c r="Q16" i="51"/>
  <c r="Q15" i="51" s="1"/>
  <c r="D21" i="49"/>
  <c r="Q14" i="53"/>
  <c r="Q13" i="53" s="1"/>
  <c r="Q10" i="53" s="1"/>
  <c r="R14" i="53"/>
  <c r="R13" i="53" s="1"/>
  <c r="R10" i="53" s="1"/>
  <c r="Q14" i="50"/>
  <c r="Q13" i="50" s="1"/>
  <c r="S25" i="49"/>
  <c r="S17" i="49"/>
  <c r="S11" i="49"/>
  <c r="E25" i="49" l="1"/>
  <c r="D26" i="49"/>
  <c r="L26" i="49"/>
  <c r="D15" i="53"/>
  <c r="F14" i="53"/>
  <c r="L15" i="53"/>
  <c r="E16" i="51"/>
  <c r="D17" i="51"/>
  <c r="K17" i="51"/>
  <c r="L13" i="49"/>
  <c r="D13" i="49"/>
  <c r="F23" i="49"/>
  <c r="D24" i="49"/>
  <c r="M24" i="49"/>
  <c r="F32" i="59"/>
  <c r="G33" i="59"/>
  <c r="D12" i="49"/>
  <c r="L12" i="49"/>
  <c r="G37" i="59"/>
  <c r="D18" i="49"/>
  <c r="E17" i="49"/>
  <c r="L18" i="49"/>
  <c r="K15" i="50"/>
  <c r="D15" i="50"/>
  <c r="E14" i="50"/>
  <c r="F43" i="59"/>
  <c r="G44" i="59"/>
  <c r="K16" i="53"/>
  <c r="D16" i="53"/>
  <c r="E14" i="53"/>
  <c r="K37" i="52"/>
  <c r="E36" i="52"/>
  <c r="D37" i="52"/>
  <c r="F20" i="59"/>
  <c r="G21" i="59"/>
  <c r="H21" i="59"/>
  <c r="I21" i="59"/>
  <c r="F48" i="59"/>
  <c r="G48" i="59" s="1"/>
  <c r="G49" i="59"/>
  <c r="Q17" i="49"/>
  <c r="R25" i="49"/>
  <c r="R17" i="49"/>
  <c r="R16" i="49" s="1"/>
  <c r="J16" i="53"/>
  <c r="O25" i="49"/>
  <c r="N14" i="50"/>
  <c r="N13" i="50" s="1"/>
  <c r="N16" i="51"/>
  <c r="N15" i="51" s="1"/>
  <c r="N10" i="51" s="1"/>
  <c r="N36" i="52"/>
  <c r="N35" i="52" s="1"/>
  <c r="N23" i="52" s="1"/>
  <c r="N10" i="52" s="1"/>
  <c r="O17" i="49"/>
  <c r="P14" i="50"/>
  <c r="P13" i="50" s="1"/>
  <c r="P10" i="50" s="1"/>
  <c r="O23" i="49"/>
  <c r="Q23" i="49"/>
  <c r="Q25" i="49"/>
  <c r="Q19" i="49"/>
  <c r="J21" i="49"/>
  <c r="R23" i="49"/>
  <c r="R11" i="49"/>
  <c r="R19" i="49"/>
  <c r="K21" i="49"/>
  <c r="S19" i="49"/>
  <c r="S16" i="49" s="1"/>
  <c r="S10" i="49" s="1"/>
  <c r="L21" i="49"/>
  <c r="F19" i="59" l="1"/>
  <c r="G20" i="59"/>
  <c r="P13" i="49"/>
  <c r="U13" i="49" s="1"/>
  <c r="O37" i="52"/>
  <c r="M36" i="52"/>
  <c r="M35" i="52" s="1"/>
  <c r="M23" i="52" s="1"/>
  <c r="M10" i="52" s="1"/>
  <c r="L22" i="52"/>
  <c r="D22" i="52"/>
  <c r="F21" i="52"/>
  <c r="J37" i="52"/>
  <c r="D36" i="52"/>
  <c r="H37" i="52"/>
  <c r="G37" i="52"/>
  <c r="Q16" i="49"/>
  <c r="H15" i="50"/>
  <c r="J15" i="50"/>
  <c r="I15" i="50"/>
  <c r="D14" i="50"/>
  <c r="G15" i="50"/>
  <c r="N17" i="49"/>
  <c r="P18" i="49"/>
  <c r="H17" i="51"/>
  <c r="G17" i="51"/>
  <c r="D16" i="51"/>
  <c r="H16" i="53"/>
  <c r="G16" i="53"/>
  <c r="K16" i="51"/>
  <c r="E15" i="51"/>
  <c r="K15" i="51" s="1"/>
  <c r="C32" i="57"/>
  <c r="L20" i="49"/>
  <c r="E19" i="49"/>
  <c r="D20" i="49"/>
  <c r="L17" i="49"/>
  <c r="C15" i="57"/>
  <c r="G32" i="59"/>
  <c r="F31" i="59"/>
  <c r="E35" i="52"/>
  <c r="K36" i="52"/>
  <c r="C50" i="57"/>
  <c r="K14" i="53"/>
  <c r="E13" i="53"/>
  <c r="K13" i="53" s="1"/>
  <c r="O11" i="49"/>
  <c r="D17" i="49"/>
  <c r="H18" i="49"/>
  <c r="J18" i="49"/>
  <c r="G18" i="49"/>
  <c r="K18" i="49"/>
  <c r="F13" i="53"/>
  <c r="L14" i="53"/>
  <c r="R10" i="49"/>
  <c r="H21" i="49"/>
  <c r="P14" i="53"/>
  <c r="P13" i="53" s="1"/>
  <c r="P10" i="53" s="1"/>
  <c r="O15" i="50"/>
  <c r="M14" i="50"/>
  <c r="M13" i="50" s="1"/>
  <c r="N25" i="49"/>
  <c r="P26" i="49"/>
  <c r="J15" i="53"/>
  <c r="G15" i="53"/>
  <c r="H15" i="53"/>
  <c r="D14" i="53"/>
  <c r="I15" i="53"/>
  <c r="M14" i="53"/>
  <c r="M13" i="53" s="1"/>
  <c r="M10" i="53" s="1"/>
  <c r="O15" i="53"/>
  <c r="G15" i="59"/>
  <c r="F13" i="59"/>
  <c r="C23" i="57"/>
  <c r="E13" i="50"/>
  <c r="K13" i="50" s="1"/>
  <c r="K14" i="50"/>
  <c r="H12" i="49"/>
  <c r="K12" i="49"/>
  <c r="J12" i="49"/>
  <c r="G12" i="49"/>
  <c r="N11" i="49"/>
  <c r="P12" i="49"/>
  <c r="J24" i="49"/>
  <c r="K24" i="49"/>
  <c r="G24" i="49"/>
  <c r="D23" i="49"/>
  <c r="H24" i="49"/>
  <c r="O16" i="53"/>
  <c r="S16" i="53" s="1"/>
  <c r="F42" i="59"/>
  <c r="G43" i="59"/>
  <c r="F16" i="49"/>
  <c r="M23" i="49"/>
  <c r="D25" i="49"/>
  <c r="G26" i="49"/>
  <c r="K26" i="49"/>
  <c r="J26" i="49"/>
  <c r="H26" i="49"/>
  <c r="I26" i="49"/>
  <c r="O17" i="51"/>
  <c r="M16" i="51"/>
  <c r="M15" i="51" s="1"/>
  <c r="M10" i="51" s="1"/>
  <c r="N23" i="49"/>
  <c r="P24" i="49"/>
  <c r="N14" i="53"/>
  <c r="N13" i="53" s="1"/>
  <c r="N10" i="53" s="1"/>
  <c r="P16" i="51"/>
  <c r="P15" i="51" s="1"/>
  <c r="P10" i="51" s="1"/>
  <c r="F66" i="59"/>
  <c r="G67" i="59"/>
  <c r="H13" i="49"/>
  <c r="G13" i="49"/>
  <c r="K13" i="49"/>
  <c r="J13" i="49"/>
  <c r="I13" i="49"/>
  <c r="L25" i="49"/>
  <c r="C18" i="57"/>
  <c r="C48" i="57" l="1"/>
  <c r="P23" i="49"/>
  <c r="I23" i="49" s="1"/>
  <c r="U24" i="49"/>
  <c r="U23" i="49" s="1"/>
  <c r="F10" i="49"/>
  <c r="M10" i="49" s="1"/>
  <c r="M16" i="49"/>
  <c r="U12" i="49"/>
  <c r="P11" i="49"/>
  <c r="E16" i="49"/>
  <c r="L16" i="49" s="1"/>
  <c r="L19" i="49"/>
  <c r="C16" i="57"/>
  <c r="G36" i="52"/>
  <c r="H36" i="52"/>
  <c r="D35" i="52"/>
  <c r="J36" i="52"/>
  <c r="S15" i="53"/>
  <c r="S14" i="53" s="1"/>
  <c r="S13" i="53" s="1"/>
  <c r="O14" i="53"/>
  <c r="O13" i="53" s="1"/>
  <c r="O10" i="53" s="1"/>
  <c r="P21" i="49"/>
  <c r="G21" i="49"/>
  <c r="I18" i="49"/>
  <c r="U18" i="49"/>
  <c r="U17" i="49" s="1"/>
  <c r="P17" i="49"/>
  <c r="S17" i="51"/>
  <c r="S16" i="51" s="1"/>
  <c r="S15" i="51" s="1"/>
  <c r="C19" i="47" s="1"/>
  <c r="O16" i="51"/>
  <c r="O15" i="51" s="1"/>
  <c r="O10" i="51" s="1"/>
  <c r="G42" i="59"/>
  <c r="F36" i="59"/>
  <c r="G36" i="59" s="1"/>
  <c r="D13" i="53"/>
  <c r="H14" i="53"/>
  <c r="G14" i="53"/>
  <c r="I14" i="53"/>
  <c r="J14" i="53"/>
  <c r="K35" i="52"/>
  <c r="E23" i="52"/>
  <c r="K23" i="52" s="1"/>
  <c r="D13" i="50"/>
  <c r="G14" i="50"/>
  <c r="J14" i="50"/>
  <c r="H14" i="50"/>
  <c r="L13" i="53"/>
  <c r="F10" i="53"/>
  <c r="L10" i="53" s="1"/>
  <c r="I24" i="49"/>
  <c r="S37" i="52"/>
  <c r="S36" i="52" s="1"/>
  <c r="S35" i="52" s="1"/>
  <c r="S23" i="52" s="1"/>
  <c r="O36" i="52"/>
  <c r="O35" i="52" s="1"/>
  <c r="O23" i="52" s="1"/>
  <c r="O10" i="52" s="1"/>
  <c r="C30" i="57"/>
  <c r="L21" i="52"/>
  <c r="F17" i="52"/>
  <c r="J22" i="52"/>
  <c r="D21" i="52"/>
  <c r="I22" i="52"/>
  <c r="G22" i="52"/>
  <c r="H22" i="52"/>
  <c r="I16" i="53"/>
  <c r="I12" i="49"/>
  <c r="G31" i="59"/>
  <c r="F25" i="59"/>
  <c r="G25" i="59" s="1"/>
  <c r="H23" i="49"/>
  <c r="K23" i="49"/>
  <c r="J23" i="49"/>
  <c r="G23" i="49"/>
  <c r="P25" i="49"/>
  <c r="I25" i="49" s="1"/>
  <c r="U26" i="49"/>
  <c r="U25" i="49" s="1"/>
  <c r="J16" i="51"/>
  <c r="H16" i="51"/>
  <c r="G16" i="51"/>
  <c r="D15" i="51"/>
  <c r="I16" i="51"/>
  <c r="N19" i="49"/>
  <c r="N16" i="49" s="1"/>
  <c r="N10" i="49" s="1"/>
  <c r="P20" i="49"/>
  <c r="I17" i="51"/>
  <c r="I37" i="52"/>
  <c r="J17" i="49"/>
  <c r="G17" i="49"/>
  <c r="K17" i="49"/>
  <c r="H17" i="49"/>
  <c r="D16" i="49"/>
  <c r="I17" i="49"/>
  <c r="F65" i="59"/>
  <c r="G66" i="59"/>
  <c r="O19" i="49"/>
  <c r="O16" i="49" s="1"/>
  <c r="O10" i="49" s="1"/>
  <c r="H25" i="49"/>
  <c r="K25" i="49"/>
  <c r="J25" i="49"/>
  <c r="G25" i="49"/>
  <c r="C21" i="57"/>
  <c r="G13" i="59"/>
  <c r="F12" i="59"/>
  <c r="S15" i="50"/>
  <c r="S14" i="50" s="1"/>
  <c r="S13" i="50" s="1"/>
  <c r="C16" i="47" s="1"/>
  <c r="O14" i="50"/>
  <c r="O13" i="50" s="1"/>
  <c r="D19" i="49"/>
  <c r="J20" i="49"/>
  <c r="K20" i="49"/>
  <c r="G20" i="49"/>
  <c r="H20" i="49"/>
  <c r="I20" i="49"/>
  <c r="J17" i="51"/>
  <c r="F59" i="59" l="1"/>
  <c r="G65" i="59"/>
  <c r="G12" i="59"/>
  <c r="F11" i="59"/>
  <c r="G13" i="50"/>
  <c r="J13" i="50"/>
  <c r="I13" i="50"/>
  <c r="H13" i="50"/>
  <c r="C13" i="57"/>
  <c r="C20" i="57"/>
  <c r="C22" i="47"/>
  <c r="C20" i="47" s="1"/>
  <c r="S10" i="52"/>
  <c r="U21" i="49"/>
  <c r="I21" i="49"/>
  <c r="J19" i="49"/>
  <c r="K19" i="49"/>
  <c r="H19" i="49"/>
  <c r="G19" i="49"/>
  <c r="G13" i="53"/>
  <c r="I13" i="53"/>
  <c r="H13" i="53"/>
  <c r="J13" i="53"/>
  <c r="C25" i="47"/>
  <c r="S10" i="53"/>
  <c r="I14" i="50"/>
  <c r="I36" i="52"/>
  <c r="H16" i="49"/>
  <c r="G16" i="49"/>
  <c r="J16" i="49"/>
  <c r="K16" i="49"/>
  <c r="J21" i="52"/>
  <c r="G21" i="52"/>
  <c r="H21" i="52"/>
  <c r="I21" i="52"/>
  <c r="G15" i="51"/>
  <c r="J15" i="51"/>
  <c r="I15" i="51"/>
  <c r="H15" i="51"/>
  <c r="J35" i="52"/>
  <c r="G35" i="52"/>
  <c r="D23" i="52"/>
  <c r="H35" i="52"/>
  <c r="I35" i="52"/>
  <c r="E11" i="53"/>
  <c r="D12" i="53"/>
  <c r="K12" i="53"/>
  <c r="U20" i="49"/>
  <c r="U19" i="49" s="1"/>
  <c r="U16" i="49" s="1"/>
  <c r="C13" i="47" s="1"/>
  <c r="P19" i="49"/>
  <c r="I19" i="49" s="1"/>
  <c r="L17" i="52"/>
  <c r="F11" i="52"/>
  <c r="E20" i="48"/>
  <c r="M13" i="48" l="1"/>
  <c r="M18" i="48"/>
  <c r="K20" i="48"/>
  <c r="K21" i="48" s="1"/>
  <c r="E10" i="54"/>
  <c r="D11" i="54"/>
  <c r="D10" i="54" s="1"/>
  <c r="D13" i="51"/>
  <c r="E11" i="51"/>
  <c r="D11" i="53"/>
  <c r="H12" i="53"/>
  <c r="J12" i="53"/>
  <c r="I12" i="53"/>
  <c r="G12" i="53"/>
  <c r="C47" i="57"/>
  <c r="E10" i="53"/>
  <c r="K10" i="53" s="1"/>
  <c r="K11" i="53"/>
  <c r="C23" i="47"/>
  <c r="F20" i="48"/>
  <c r="F21" i="48" s="1"/>
  <c r="H20" i="48"/>
  <c r="C46" i="109"/>
  <c r="F10" i="59"/>
  <c r="M12" i="48"/>
  <c r="E21" i="48" s="1"/>
  <c r="M17" i="48"/>
  <c r="J20" i="48"/>
  <c r="J21" i="48" s="1"/>
  <c r="H30" i="57"/>
  <c r="D32" i="57"/>
  <c r="D30" i="57" s="1"/>
  <c r="D14" i="49"/>
  <c r="L14" i="49"/>
  <c r="E11" i="49"/>
  <c r="D12" i="50"/>
  <c r="E11" i="50"/>
  <c r="G23" i="52"/>
  <c r="J23" i="52"/>
  <c r="H23" i="52"/>
  <c r="I23" i="52"/>
  <c r="D20" i="52"/>
  <c r="K20" i="52"/>
  <c r="E17" i="52"/>
  <c r="M15" i="48"/>
  <c r="C20" i="48"/>
  <c r="M10" i="48"/>
  <c r="L11" i="52"/>
  <c r="F10" i="52"/>
  <c r="L10" i="52" s="1"/>
  <c r="P16" i="49"/>
  <c r="G59" i="59"/>
  <c r="H70" i="34"/>
  <c r="G72" i="34"/>
  <c r="H74" i="34"/>
  <c r="I65" i="34"/>
  <c r="G67" i="34"/>
  <c r="H67" i="34"/>
  <c r="I76" i="34"/>
  <c r="I67" i="34"/>
  <c r="I69" i="34"/>
  <c r="H66" i="34"/>
  <c r="H73" i="34"/>
  <c r="H75" i="34"/>
  <c r="G65" i="34"/>
  <c r="I66" i="34"/>
  <c r="G68" i="34"/>
  <c r="H68" i="34"/>
  <c r="G80" i="34"/>
  <c r="G82" i="34"/>
  <c r="G84" i="34"/>
  <c r="G86" i="34"/>
  <c r="G88" i="34"/>
  <c r="G78" i="34"/>
  <c r="H80" i="34"/>
  <c r="I78" i="34"/>
  <c r="I80" i="34"/>
  <c r="I82" i="34"/>
  <c r="I86" i="34"/>
  <c r="G79" i="34"/>
  <c r="G81" i="34"/>
  <c r="G83" i="34"/>
  <c r="G85" i="34"/>
  <c r="G87" i="34"/>
  <c r="G89" i="34"/>
  <c r="I83" i="34"/>
  <c r="I87" i="34"/>
  <c r="I89" i="34"/>
  <c r="I55" i="34"/>
  <c r="I57" i="34"/>
  <c r="G61" i="34"/>
  <c r="G63" i="34"/>
  <c r="I61" i="34"/>
  <c r="I52" i="34"/>
  <c r="G54" i="34"/>
  <c r="G56" i="34"/>
  <c r="H54" i="34"/>
  <c r="H56" i="34"/>
  <c r="K51" i="34"/>
  <c r="I54" i="34"/>
  <c r="I56" i="34"/>
  <c r="H60" i="34"/>
  <c r="H62" i="34"/>
  <c r="G52" i="34"/>
  <c r="H53" i="34"/>
  <c r="G55" i="34"/>
  <c r="G57" i="34"/>
  <c r="I53" i="34"/>
  <c r="H55" i="34"/>
  <c r="G59" i="34"/>
  <c r="I92" i="34"/>
  <c r="I94" i="34"/>
  <c r="I96" i="34"/>
  <c r="I98" i="34"/>
  <c r="I100" i="34"/>
  <c r="J107" i="34"/>
  <c r="J111" i="34"/>
  <c r="K107" i="34"/>
  <c r="K109" i="34"/>
  <c r="K111" i="34"/>
  <c r="K113" i="34"/>
  <c r="K115" i="34"/>
  <c r="M107" i="34"/>
  <c r="M109" i="34"/>
  <c r="M111" i="34"/>
  <c r="M113" i="34"/>
  <c r="M115" i="34"/>
  <c r="I93" i="34"/>
  <c r="I95" i="34"/>
  <c r="I97" i="34"/>
  <c r="I99" i="34"/>
  <c r="I101" i="34"/>
  <c r="J106" i="34"/>
  <c r="J108" i="34"/>
  <c r="J110" i="34"/>
  <c r="K106" i="34"/>
  <c r="K108" i="34"/>
  <c r="K110" i="34"/>
  <c r="K112" i="34"/>
  <c r="K114" i="34"/>
  <c r="K116" i="34"/>
  <c r="M106" i="34"/>
  <c r="M108" i="34"/>
  <c r="M110" i="34"/>
  <c r="M112" i="34"/>
  <c r="M114" i="34"/>
  <c r="M116" i="34"/>
  <c r="H118" i="34"/>
  <c r="H125" i="34"/>
  <c r="I121" i="34"/>
  <c r="I123" i="34"/>
  <c r="I127" i="34"/>
  <c r="I129" i="34"/>
  <c r="G129" i="34"/>
  <c r="G119" i="34"/>
  <c r="G125" i="34"/>
  <c r="G127" i="34"/>
  <c r="G120" i="34"/>
  <c r="G122" i="34"/>
  <c r="G126" i="34"/>
  <c r="I119" i="34"/>
  <c r="H120" i="34"/>
  <c r="H124" i="34"/>
  <c r="H128" i="34"/>
  <c r="I120" i="34"/>
  <c r="I122" i="34"/>
  <c r="I124" i="34"/>
  <c r="G128" i="34"/>
  <c r="I128" i="34"/>
  <c r="G121" i="34"/>
  <c r="I118" i="34"/>
  <c r="H132" i="34"/>
  <c r="G30" i="25"/>
  <c r="G137" i="34"/>
  <c r="H137" i="34"/>
  <c r="G134" i="34"/>
  <c r="H134" i="34"/>
  <c r="G139" i="34"/>
  <c r="H139" i="34"/>
  <c r="G132" i="34"/>
  <c r="H136" i="34"/>
  <c r="H141" i="34"/>
  <c r="M131" i="34"/>
  <c r="M130" i="34" s="1"/>
  <c r="G136" i="34"/>
  <c r="G141" i="34"/>
  <c r="M30" i="25"/>
  <c r="G133" i="34"/>
  <c r="G138" i="34"/>
  <c r="G140" i="34"/>
  <c r="H30" i="25"/>
  <c r="R30" i="25"/>
  <c r="G143" i="34"/>
  <c r="G135" i="34"/>
  <c r="H143" i="34"/>
  <c r="D30" i="25"/>
  <c r="H135" i="34"/>
  <c r="K30" i="25"/>
  <c r="O30" i="25"/>
  <c r="G142" i="34"/>
  <c r="H147" i="34"/>
  <c r="I154" i="34"/>
  <c r="I147" i="34"/>
  <c r="I156" i="34"/>
  <c r="H149" i="34"/>
  <c r="I149" i="34"/>
  <c r="I153" i="34"/>
  <c r="H148" i="34"/>
  <c r="I157" i="34"/>
  <c r="I150" i="34"/>
  <c r="H152" i="34"/>
  <c r="I152" i="34"/>
  <c r="H154" i="34"/>
  <c r="I16" i="59"/>
  <c r="D18" i="57"/>
  <c r="J41" i="34"/>
  <c r="M48" i="34"/>
  <c r="K50" i="34"/>
  <c r="L41" i="34"/>
  <c r="M50" i="34"/>
  <c r="M41" i="34"/>
  <c r="K43" i="34"/>
  <c r="M43" i="34"/>
  <c r="K45" i="34"/>
  <c r="K47" i="34"/>
  <c r="M47" i="34"/>
  <c r="K42" i="34"/>
  <c r="M45" i="34"/>
  <c r="L47" i="34"/>
  <c r="K49" i="34"/>
  <c r="J44" i="34"/>
  <c r="K40" i="34"/>
  <c r="J42" i="34"/>
  <c r="M49" i="34"/>
  <c r="M40" i="34"/>
  <c r="K41" i="34"/>
  <c r="L50" i="34"/>
  <c r="M42" i="34"/>
  <c r="K44" i="34"/>
  <c r="M46" i="34"/>
  <c r="L44" i="34"/>
  <c r="K46" i="34"/>
  <c r="J48" i="34"/>
  <c r="M44" i="34"/>
  <c r="K48" i="34"/>
  <c r="L42" i="34"/>
  <c r="L45" i="34"/>
  <c r="L43" i="34"/>
  <c r="L48" i="34"/>
  <c r="L49" i="34"/>
  <c r="L46" i="34"/>
  <c r="L40" i="34"/>
  <c r="I29" i="34"/>
  <c r="H31" i="34"/>
  <c r="H33" i="34"/>
  <c r="H35" i="34"/>
  <c r="G37" i="34"/>
  <c r="I37" i="34"/>
  <c r="G28" i="34"/>
  <c r="H28" i="34"/>
  <c r="G30" i="34"/>
  <c r="G32" i="34"/>
  <c r="J25" i="34"/>
  <c r="I28" i="34"/>
  <c r="G34" i="34"/>
  <c r="K25" i="34"/>
  <c r="I32" i="34"/>
  <c r="H34" i="34"/>
  <c r="G36" i="34"/>
  <c r="G27" i="34"/>
  <c r="H27" i="34"/>
  <c r="H29" i="34"/>
  <c r="G31" i="34"/>
  <c r="D16" i="57"/>
  <c r="I22" i="59"/>
  <c r="I45" i="59"/>
  <c r="K20" i="59"/>
  <c r="I15" i="59"/>
  <c r="H16" i="59"/>
  <c r="H22" i="59"/>
  <c r="H15" i="59"/>
  <c r="H45" i="59"/>
  <c r="D12" i="57"/>
  <c r="L20" i="59"/>
  <c r="Q11" i="50"/>
  <c r="Q10" i="50" s="1"/>
  <c r="L25" i="34" l="1"/>
  <c r="H14" i="34"/>
  <c r="E40" i="34"/>
  <c r="H40" i="34" s="1"/>
  <c r="G21" i="57"/>
  <c r="I23" i="57"/>
  <c r="E23" i="57"/>
  <c r="G30" i="57"/>
  <c r="I32" i="57"/>
  <c r="E32" i="57"/>
  <c r="I36" i="34"/>
  <c r="M25" i="34"/>
  <c r="H32" i="34"/>
  <c r="I24" i="34"/>
  <c r="F50" i="34"/>
  <c r="I50" i="34" s="1"/>
  <c r="H22" i="34"/>
  <c r="E48" i="34"/>
  <c r="H48" i="34" s="1"/>
  <c r="I19" i="34"/>
  <c r="F45" i="34"/>
  <c r="I45" i="34" s="1"/>
  <c r="M146" i="34"/>
  <c r="I126" i="34"/>
  <c r="T29" i="25"/>
  <c r="D114" i="34"/>
  <c r="G114" i="34" s="1"/>
  <c r="G101" i="34"/>
  <c r="G102" i="34"/>
  <c r="D115" i="34"/>
  <c r="G115" i="34" s="1"/>
  <c r="M51" i="34"/>
  <c r="G74" i="34"/>
  <c r="M20" i="48"/>
  <c r="M21" i="48"/>
  <c r="C21" i="48"/>
  <c r="J12" i="50"/>
  <c r="D11" i="50"/>
  <c r="G22" i="34"/>
  <c r="D48" i="34"/>
  <c r="G48" i="34" s="1"/>
  <c r="G147" i="34"/>
  <c r="C31" i="25"/>
  <c r="J146" i="34"/>
  <c r="E49" i="34"/>
  <c r="H49" i="34" s="1"/>
  <c r="H23" i="34"/>
  <c r="J47" i="34"/>
  <c r="O27" i="25"/>
  <c r="I29" i="57"/>
  <c r="K17" i="59"/>
  <c r="H17" i="59" s="1"/>
  <c r="H18" i="59"/>
  <c r="D15" i="57"/>
  <c r="D13" i="57" s="1"/>
  <c r="F13" i="57" s="1"/>
  <c r="H13" i="57"/>
  <c r="H11" i="57" s="1"/>
  <c r="G26" i="34"/>
  <c r="H30" i="34"/>
  <c r="I27" i="34"/>
  <c r="R27" i="25"/>
  <c r="J43" i="34"/>
  <c r="H27" i="25"/>
  <c r="F39" i="34"/>
  <c r="I39" i="34" s="1"/>
  <c r="I13" i="34"/>
  <c r="G148" i="34"/>
  <c r="D31" i="25"/>
  <c r="H155" i="34"/>
  <c r="I158" i="34"/>
  <c r="I31" i="25"/>
  <c r="G152" i="34"/>
  <c r="F30" i="25"/>
  <c r="H142" i="34"/>
  <c r="H122" i="34"/>
  <c r="I125" i="34"/>
  <c r="D112" i="34"/>
  <c r="G112" i="34" s="1"/>
  <c r="G99" i="34"/>
  <c r="G100" i="34"/>
  <c r="D113" i="34"/>
  <c r="G113" i="34" s="1"/>
  <c r="G58" i="34"/>
  <c r="H59" i="34"/>
  <c r="I85" i="34"/>
  <c r="I84" i="34"/>
  <c r="G70" i="34"/>
  <c r="K64" i="34"/>
  <c r="G69" i="34"/>
  <c r="I72" i="34"/>
  <c r="E10" i="49"/>
  <c r="L10" i="49" s="1"/>
  <c r="L11" i="49"/>
  <c r="C12" i="57"/>
  <c r="D111" i="34"/>
  <c r="G111" i="34" s="1"/>
  <c r="G98" i="34"/>
  <c r="G96" i="34"/>
  <c r="D109" i="34"/>
  <c r="G109" i="34" s="1"/>
  <c r="I81" i="34"/>
  <c r="I71" i="34"/>
  <c r="I68" i="34"/>
  <c r="K17" i="52"/>
  <c r="E11" i="52"/>
  <c r="G14" i="49"/>
  <c r="J14" i="49"/>
  <c r="K14" i="49"/>
  <c r="I14" i="49"/>
  <c r="H14" i="49"/>
  <c r="D11" i="49"/>
  <c r="C46" i="65"/>
  <c r="G11" i="53"/>
  <c r="J11" i="53"/>
  <c r="H11" i="53"/>
  <c r="I11" i="53"/>
  <c r="D10" i="53"/>
  <c r="K23" i="59"/>
  <c r="H23" i="59" s="1"/>
  <c r="H24" i="59"/>
  <c r="D106" i="34"/>
  <c r="G106" i="34" s="1"/>
  <c r="G93" i="34"/>
  <c r="K105" i="34"/>
  <c r="K104" i="34" s="1"/>
  <c r="K91" i="34"/>
  <c r="K90" i="34" s="1"/>
  <c r="G94" i="34"/>
  <c r="D107" i="34"/>
  <c r="G107" i="34" s="1"/>
  <c r="I75" i="34"/>
  <c r="G76" i="34"/>
  <c r="F30" i="57"/>
  <c r="H21" i="48"/>
  <c r="C29" i="57"/>
  <c r="E10" i="51"/>
  <c r="K10" i="51" s="1"/>
  <c r="M39" i="34"/>
  <c r="M38" i="34" s="1"/>
  <c r="M12" i="34"/>
  <c r="D108" i="34"/>
  <c r="G108" i="34" s="1"/>
  <c r="G95" i="34"/>
  <c r="E45" i="34"/>
  <c r="H45" i="34" s="1"/>
  <c r="H19" i="34"/>
  <c r="J117" i="34"/>
  <c r="C29" i="25"/>
  <c r="I79" i="34"/>
  <c r="K77" i="34"/>
  <c r="I33" i="34"/>
  <c r="I30" i="34"/>
  <c r="H26" i="34"/>
  <c r="I31" i="34"/>
  <c r="H15" i="34"/>
  <c r="E41" i="34"/>
  <c r="H41" i="34" s="1"/>
  <c r="G27" i="25"/>
  <c r="D50" i="34"/>
  <c r="G50" i="34" s="1"/>
  <c r="G24" i="34"/>
  <c r="L146" i="34"/>
  <c r="H151" i="34"/>
  <c r="U29" i="25"/>
  <c r="R29" i="25"/>
  <c r="J116" i="34"/>
  <c r="U28" i="25" s="1"/>
  <c r="H103" i="34"/>
  <c r="E116" i="34"/>
  <c r="H116" i="34" s="1"/>
  <c r="J115" i="34"/>
  <c r="T28" i="25" s="1"/>
  <c r="H102" i="34"/>
  <c r="E115" i="34"/>
  <c r="H115" i="34" s="1"/>
  <c r="G53" i="34"/>
  <c r="I63" i="34"/>
  <c r="L77" i="34"/>
  <c r="H89" i="34"/>
  <c r="H88" i="34"/>
  <c r="I73" i="34"/>
  <c r="G71" i="34"/>
  <c r="H20" i="52"/>
  <c r="G20" i="52"/>
  <c r="I20" i="52"/>
  <c r="J20" i="52"/>
  <c r="D17" i="52"/>
  <c r="H13" i="51"/>
  <c r="J13" i="51"/>
  <c r="I13" i="51"/>
  <c r="G13" i="51"/>
  <c r="D11" i="51"/>
  <c r="G16" i="34"/>
  <c r="D42" i="34"/>
  <c r="G42" i="34" s="1"/>
  <c r="H57" i="34"/>
  <c r="K13" i="51"/>
  <c r="S13" i="51"/>
  <c r="S11" i="51" s="1"/>
  <c r="Q11" i="51"/>
  <c r="Q10" i="51" s="1"/>
  <c r="E42" i="34"/>
  <c r="H42" i="34" s="1"/>
  <c r="H16" i="34"/>
  <c r="L13" i="59"/>
  <c r="I14" i="59"/>
  <c r="H37" i="34"/>
  <c r="H13" i="34"/>
  <c r="E39" i="34"/>
  <c r="H39" i="34" s="1"/>
  <c r="H21" i="34"/>
  <c r="E47" i="34"/>
  <c r="H47" i="34" s="1"/>
  <c r="G150" i="34"/>
  <c r="G31" i="25"/>
  <c r="I155" i="34"/>
  <c r="U31" i="25"/>
  <c r="G158" i="34"/>
  <c r="U30" i="25"/>
  <c r="H138" i="34"/>
  <c r="O29" i="25"/>
  <c r="M29" i="25"/>
  <c r="H127" i="34"/>
  <c r="J114" i="34"/>
  <c r="R28" i="25"/>
  <c r="E114" i="34"/>
  <c r="H114" i="34" s="1"/>
  <c r="H101" i="34"/>
  <c r="J113" i="34"/>
  <c r="O28" i="25"/>
  <c r="H100" i="34"/>
  <c r="E113" i="34"/>
  <c r="H113" i="34" s="1"/>
  <c r="H52" i="34"/>
  <c r="H58" i="34"/>
  <c r="H61" i="34"/>
  <c r="H87" i="34"/>
  <c r="H86" i="34"/>
  <c r="G75" i="34"/>
  <c r="M64" i="34"/>
  <c r="H69" i="34"/>
  <c r="C47" i="109"/>
  <c r="L38" i="59"/>
  <c r="I39" i="59"/>
  <c r="J45" i="34"/>
  <c r="K27" i="25"/>
  <c r="K26" i="25" s="1"/>
  <c r="K13" i="59"/>
  <c r="H14" i="59"/>
  <c r="D11" i="57"/>
  <c r="H36" i="34"/>
  <c r="L12" i="34"/>
  <c r="L39" i="34"/>
  <c r="L38" i="34" s="1"/>
  <c r="G153" i="34"/>
  <c r="K31" i="25"/>
  <c r="T30" i="25"/>
  <c r="I30" i="25"/>
  <c r="C30" i="25"/>
  <c r="F49" i="22" s="1"/>
  <c r="J131" i="34"/>
  <c r="J130" i="34" s="1"/>
  <c r="L117" i="34"/>
  <c r="K29" i="25"/>
  <c r="I29" i="25"/>
  <c r="J112" i="34"/>
  <c r="M28" i="25"/>
  <c r="H99" i="34"/>
  <c r="E112" i="34"/>
  <c r="H112" i="34" s="1"/>
  <c r="K28" i="25"/>
  <c r="E111" i="34"/>
  <c r="H111" i="34" s="1"/>
  <c r="H98" i="34"/>
  <c r="I62" i="34"/>
  <c r="L51" i="34"/>
  <c r="I59" i="34"/>
  <c r="H85" i="34"/>
  <c r="H84" i="34"/>
  <c r="G73" i="34"/>
  <c r="H72" i="34"/>
  <c r="I17" i="34"/>
  <c r="F43" i="34"/>
  <c r="I43" i="34" s="1"/>
  <c r="J40" i="34"/>
  <c r="D27" i="25" s="1"/>
  <c r="D26" i="25" s="1"/>
  <c r="G14" i="34"/>
  <c r="D40" i="34"/>
  <c r="G40" i="34" s="1"/>
  <c r="G21" i="34"/>
  <c r="D47" i="34"/>
  <c r="G47" i="34" s="1"/>
  <c r="H150" i="34"/>
  <c r="K146" i="34"/>
  <c r="I34" i="34"/>
  <c r="I35" i="34"/>
  <c r="J50" i="34"/>
  <c r="U27" i="25"/>
  <c r="I15" i="34"/>
  <c r="F41" i="34"/>
  <c r="I41" i="34" s="1"/>
  <c r="I27" i="25"/>
  <c r="I26" i="25" s="1"/>
  <c r="G20" i="34"/>
  <c r="D46" i="34"/>
  <c r="G46" i="34" s="1"/>
  <c r="D39" i="34"/>
  <c r="G39" i="34" s="1"/>
  <c r="G13" i="34"/>
  <c r="D45" i="34"/>
  <c r="G45" i="34" s="1"/>
  <c r="G19" i="34"/>
  <c r="T31" i="25"/>
  <c r="G157" i="34"/>
  <c r="I148" i="34"/>
  <c r="H158" i="34"/>
  <c r="H140" i="34"/>
  <c r="F29" i="25"/>
  <c r="H29" i="25"/>
  <c r="G124" i="34"/>
  <c r="H119" i="34"/>
  <c r="G29" i="25"/>
  <c r="H123" i="34"/>
  <c r="I28" i="25"/>
  <c r="E110" i="34"/>
  <c r="H110" i="34" s="1"/>
  <c r="H97" i="34"/>
  <c r="J109" i="34"/>
  <c r="H28" i="25"/>
  <c r="H96" i="34"/>
  <c r="E109" i="34"/>
  <c r="H109" i="34" s="1"/>
  <c r="I60" i="34"/>
  <c r="H83" i="34"/>
  <c r="H82" i="34"/>
  <c r="J64" i="34"/>
  <c r="I70" i="34"/>
  <c r="I16" i="49"/>
  <c r="P10" i="49"/>
  <c r="L43" i="59"/>
  <c r="I44" i="59"/>
  <c r="I18" i="34"/>
  <c r="F44" i="34"/>
  <c r="I44" i="34" s="1"/>
  <c r="L17" i="59"/>
  <c r="I17" i="59" s="1"/>
  <c r="I18" i="59"/>
  <c r="I12" i="57"/>
  <c r="G11" i="57"/>
  <c r="G35" i="34"/>
  <c r="E50" i="34"/>
  <c r="H50" i="34" s="1"/>
  <c r="H24" i="34"/>
  <c r="K12" i="34"/>
  <c r="K39" i="34"/>
  <c r="K38" i="34" s="1"/>
  <c r="I16" i="34"/>
  <c r="F42" i="34"/>
  <c r="I42" i="34" s="1"/>
  <c r="H17" i="34"/>
  <c r="E43" i="34"/>
  <c r="H43" i="34" s="1"/>
  <c r="G156" i="34"/>
  <c r="R31" i="25"/>
  <c r="G118" i="34"/>
  <c r="D29" i="25"/>
  <c r="H121" i="34"/>
  <c r="G28" i="25"/>
  <c r="H95" i="34"/>
  <c r="E108" i="34"/>
  <c r="H108" i="34" s="1"/>
  <c r="F28" i="25"/>
  <c r="E107" i="34"/>
  <c r="H107" i="34" s="1"/>
  <c r="H94" i="34"/>
  <c r="G62" i="34"/>
  <c r="J51" i="34"/>
  <c r="H81" i="34"/>
  <c r="L64" i="34"/>
  <c r="H76" i="34"/>
  <c r="K38" i="59"/>
  <c r="H39" i="59"/>
  <c r="D41" i="34"/>
  <c r="G41" i="34" s="1"/>
  <c r="G15" i="34"/>
  <c r="D44" i="34"/>
  <c r="G44" i="34" s="1"/>
  <c r="G18" i="34"/>
  <c r="H20" i="59"/>
  <c r="H20" i="34"/>
  <c r="E46" i="34"/>
  <c r="H46" i="34" s="1"/>
  <c r="H31" i="25"/>
  <c r="G151" i="34"/>
  <c r="M117" i="34"/>
  <c r="F40" i="34"/>
  <c r="I40" i="34" s="1"/>
  <c r="I14" i="34"/>
  <c r="G154" i="34"/>
  <c r="M31" i="25"/>
  <c r="D23" i="57"/>
  <c r="D21" i="57" s="1"/>
  <c r="H21" i="57"/>
  <c r="H20" i="57" s="1"/>
  <c r="L23" i="59"/>
  <c r="I23" i="59" s="1"/>
  <c r="I24" i="59"/>
  <c r="H153" i="34"/>
  <c r="H133" i="34"/>
  <c r="G13" i="57"/>
  <c r="I15" i="57"/>
  <c r="E15" i="57"/>
  <c r="I16" i="57"/>
  <c r="E16" i="57"/>
  <c r="G29" i="34"/>
  <c r="I26" i="34"/>
  <c r="G33" i="34"/>
  <c r="F48" i="34"/>
  <c r="I48" i="34" s="1"/>
  <c r="I22" i="34"/>
  <c r="F46" i="34"/>
  <c r="I46" i="34" s="1"/>
  <c r="I20" i="34"/>
  <c r="H18" i="34"/>
  <c r="E44" i="34"/>
  <c r="H44" i="34" s="1"/>
  <c r="I23" i="34"/>
  <c r="F49" i="34"/>
  <c r="I49" i="34" s="1"/>
  <c r="D49" i="34"/>
  <c r="G49" i="34" s="1"/>
  <c r="G23" i="34"/>
  <c r="F27" i="25"/>
  <c r="H157" i="34"/>
  <c r="I151" i="34"/>
  <c r="K131" i="34"/>
  <c r="K130" i="34" s="1"/>
  <c r="K117" i="34"/>
  <c r="G123" i="34"/>
  <c r="L91" i="34"/>
  <c r="L90" i="34" s="1"/>
  <c r="D28" i="25"/>
  <c r="E106" i="34"/>
  <c r="H106" i="34" s="1"/>
  <c r="H93" i="34"/>
  <c r="M91" i="34"/>
  <c r="M105" i="34"/>
  <c r="M104" i="34" s="1"/>
  <c r="J105" i="34"/>
  <c r="J104" i="34" s="1"/>
  <c r="J90" i="34" s="1"/>
  <c r="J91" i="34"/>
  <c r="C28" i="25"/>
  <c r="E105" i="34"/>
  <c r="H105" i="34" s="1"/>
  <c r="H92" i="34"/>
  <c r="G60" i="34"/>
  <c r="H79" i="34"/>
  <c r="M77" i="34"/>
  <c r="J77" i="34"/>
  <c r="H78" i="34"/>
  <c r="H71" i="34"/>
  <c r="I74" i="34"/>
  <c r="H65" i="34"/>
  <c r="K12" i="50"/>
  <c r="C46" i="57"/>
  <c r="D110" i="34"/>
  <c r="G110" i="34" s="1"/>
  <c r="G97" i="34"/>
  <c r="I18" i="57"/>
  <c r="E18" i="57"/>
  <c r="I20" i="59"/>
  <c r="U14" i="49"/>
  <c r="U11" i="49" s="1"/>
  <c r="Q11" i="49"/>
  <c r="Q10" i="49" s="1"/>
  <c r="G17" i="34"/>
  <c r="D43" i="34"/>
  <c r="G43" i="34" s="1"/>
  <c r="J46" i="34"/>
  <c r="M27" i="25"/>
  <c r="M26" i="25" s="1"/>
  <c r="J49" i="34"/>
  <c r="T27" i="25" s="1"/>
  <c r="T26" i="25" s="1"/>
  <c r="F47" i="34"/>
  <c r="I47" i="34" s="1"/>
  <c r="I21" i="34"/>
  <c r="J12" i="34"/>
  <c r="J39" i="34"/>
  <c r="C27" i="25" s="1"/>
  <c r="G155" i="34"/>
  <c r="O31" i="25"/>
  <c r="G149" i="34"/>
  <c r="F31" i="25"/>
  <c r="H156" i="34"/>
  <c r="H126" i="34"/>
  <c r="H129" i="34"/>
  <c r="I103" i="34"/>
  <c r="G103" i="34"/>
  <c r="D116" i="34"/>
  <c r="G116" i="34" s="1"/>
  <c r="I102" i="34"/>
  <c r="D105" i="34"/>
  <c r="G105" i="34" s="1"/>
  <c r="G92" i="34"/>
  <c r="I58" i="34"/>
  <c r="H63" i="34"/>
  <c r="I88" i="34"/>
  <c r="G66" i="34"/>
  <c r="K11" i="50"/>
  <c r="E10" i="50"/>
  <c r="K10" i="50" s="1"/>
  <c r="F14" i="124"/>
  <c r="D14" i="124" s="1"/>
  <c r="T10" i="25" l="1"/>
  <c r="T43" i="25"/>
  <c r="T39" i="25" s="1"/>
  <c r="D10" i="25"/>
  <c r="D43" i="25"/>
  <c r="D39" i="25" s="1"/>
  <c r="F46" i="22"/>
  <c r="C26" i="25"/>
  <c r="C43" i="25" s="1"/>
  <c r="K43" i="59"/>
  <c r="H44" i="59"/>
  <c r="I13" i="57"/>
  <c r="E13" i="47" s="1"/>
  <c r="E13" i="57"/>
  <c r="K10" i="25"/>
  <c r="K43" i="25"/>
  <c r="K39" i="25" s="1"/>
  <c r="I10" i="25"/>
  <c r="I43" i="25"/>
  <c r="I39" i="25" s="1"/>
  <c r="L12" i="59"/>
  <c r="I13" i="59"/>
  <c r="I11" i="57"/>
  <c r="K12" i="59"/>
  <c r="H13" i="59"/>
  <c r="J11" i="51"/>
  <c r="I11" i="51"/>
  <c r="H11" i="51"/>
  <c r="G11" i="51"/>
  <c r="D10" i="51"/>
  <c r="K11" i="51"/>
  <c r="J415" i="56"/>
  <c r="J423" i="56"/>
  <c r="J416" i="56" s="1"/>
  <c r="G427" i="56"/>
  <c r="K19" i="59"/>
  <c r="L37" i="59"/>
  <c r="I38" i="59"/>
  <c r="F48" i="22"/>
  <c r="K11" i="52"/>
  <c r="E10" i="52"/>
  <c r="K10" i="52" s="1"/>
  <c r="H26" i="25"/>
  <c r="G28" i="57"/>
  <c r="I30" i="57"/>
  <c r="E30" i="57"/>
  <c r="J11" i="50"/>
  <c r="D10" i="50"/>
  <c r="J10" i="50" s="1"/>
  <c r="F21" i="57"/>
  <c r="D20" i="57"/>
  <c r="F20" i="57" s="1"/>
  <c r="U26" i="25"/>
  <c r="G17" i="52"/>
  <c r="J17" i="52"/>
  <c r="H17" i="52"/>
  <c r="I17" i="52"/>
  <c r="D11" i="52"/>
  <c r="M43" i="25"/>
  <c r="M39" i="25" s="1"/>
  <c r="M10" i="25"/>
  <c r="G10" i="53"/>
  <c r="H10" i="53"/>
  <c r="J10" i="53"/>
  <c r="I10" i="53"/>
  <c r="F26" i="25"/>
  <c r="C47" i="65"/>
  <c r="R26" i="25"/>
  <c r="J302" i="56"/>
  <c r="J281" i="56"/>
  <c r="G306" i="56"/>
  <c r="G281" i="56" s="1"/>
  <c r="K50" i="59"/>
  <c r="H51" i="59"/>
  <c r="K32" i="59"/>
  <c r="H33" i="59"/>
  <c r="I31" i="47"/>
  <c r="E30" i="47"/>
  <c r="E50" i="109" s="1"/>
  <c r="E50" i="65" s="1"/>
  <c r="P49" i="70" s="1"/>
  <c r="Q49" i="70" s="1"/>
  <c r="C12" i="47"/>
  <c r="U10" i="49"/>
  <c r="M90" i="34"/>
  <c r="L42" i="59"/>
  <c r="I42" i="59" s="1"/>
  <c r="I43" i="59"/>
  <c r="S10" i="51"/>
  <c r="C18" i="47"/>
  <c r="C17" i="47" s="1"/>
  <c r="G26" i="25"/>
  <c r="G20" i="57"/>
  <c r="I21" i="57"/>
  <c r="E21" i="57"/>
  <c r="E12" i="57"/>
  <c r="C11" i="57"/>
  <c r="J282" i="56"/>
  <c r="G307" i="56"/>
  <c r="G282" i="56" s="1"/>
  <c r="J38" i="34"/>
  <c r="J11" i="34" s="1"/>
  <c r="J10" i="34" s="1"/>
  <c r="K11" i="34"/>
  <c r="L11" i="34"/>
  <c r="L10" i="34" s="1"/>
  <c r="F50" i="22"/>
  <c r="O49" i="22"/>
  <c r="D24" i="73"/>
  <c r="E24" i="73" s="1"/>
  <c r="C28" i="57"/>
  <c r="E28" i="57" s="1"/>
  <c r="E29" i="57"/>
  <c r="O26" i="25"/>
  <c r="L32" i="59"/>
  <c r="I33" i="59"/>
  <c r="L50" i="59"/>
  <c r="I51" i="59"/>
  <c r="L19" i="59"/>
  <c r="I19" i="59" s="1"/>
  <c r="K10" i="34"/>
  <c r="D45" i="70"/>
  <c r="E45" i="70" s="1"/>
  <c r="E12" i="47"/>
  <c r="F47" i="22"/>
  <c r="C10" i="127"/>
  <c r="H28" i="57"/>
  <c r="I28" i="57" s="1"/>
  <c r="D29" i="57"/>
  <c r="D28" i="57" s="1"/>
  <c r="F28" i="57" s="1"/>
  <c r="I32" i="47"/>
  <c r="C30" i="47"/>
  <c r="K37" i="59"/>
  <c r="H38" i="59"/>
  <c r="F11" i="57"/>
  <c r="M11" i="34"/>
  <c r="M10" i="34" s="1"/>
  <c r="I11" i="49"/>
  <c r="G11" i="49"/>
  <c r="H11" i="49"/>
  <c r="K11" i="49"/>
  <c r="J11" i="49"/>
  <c r="D10" i="49"/>
  <c r="F11" i="126"/>
  <c r="F10" i="126" s="1"/>
  <c r="D12" i="1" s="1"/>
  <c r="G10" i="126"/>
  <c r="H10" i="126"/>
  <c r="C30" i="128"/>
  <c r="C23" i="128"/>
  <c r="C67" i="109"/>
  <c r="C11" i="126"/>
  <c r="F16" i="124"/>
  <c r="D16" i="124" s="1"/>
  <c r="D22" i="73" l="1"/>
  <c r="E22" i="73" s="1"/>
  <c r="O47" i="22"/>
  <c r="E11" i="47"/>
  <c r="F24" i="73"/>
  <c r="I20" i="57"/>
  <c r="E20" i="57"/>
  <c r="K31" i="59"/>
  <c r="H32" i="59"/>
  <c r="O48" i="22"/>
  <c r="D23" i="73"/>
  <c r="E23" i="73" s="1"/>
  <c r="I30" i="47"/>
  <c r="C50" i="109"/>
  <c r="D13" i="47"/>
  <c r="I13" i="47" s="1"/>
  <c r="H19" i="59"/>
  <c r="C45" i="109"/>
  <c r="G10" i="49"/>
  <c r="K10" i="49"/>
  <c r="J10" i="49"/>
  <c r="H10" i="49"/>
  <c r="I10" i="49"/>
  <c r="G423" i="56"/>
  <c r="G415" i="56"/>
  <c r="K42" i="59"/>
  <c r="H43" i="59"/>
  <c r="G11" i="124"/>
  <c r="F13" i="124"/>
  <c r="J277" i="56"/>
  <c r="J295" i="56"/>
  <c r="G302" i="56"/>
  <c r="J11" i="52"/>
  <c r="D10" i="52"/>
  <c r="G11" i="52"/>
  <c r="H11" i="52"/>
  <c r="I11" i="52"/>
  <c r="O12" i="50"/>
  <c r="M11" i="50"/>
  <c r="G12" i="50"/>
  <c r="O50" i="22"/>
  <c r="D25" i="73"/>
  <c r="E25" i="73" s="1"/>
  <c r="D12" i="47"/>
  <c r="D11" i="47" s="1"/>
  <c r="K11" i="59"/>
  <c r="H12" i="59"/>
  <c r="R43" i="25"/>
  <c r="R39" i="25" s="1"/>
  <c r="R10" i="25"/>
  <c r="J331" i="56"/>
  <c r="J327" i="56" s="1"/>
  <c r="J320" i="56" s="1"/>
  <c r="D22" i="47" s="1"/>
  <c r="I22" i="47" s="1"/>
  <c r="J411" i="56"/>
  <c r="J404" i="56" s="1"/>
  <c r="N11" i="50"/>
  <c r="H12" i="50"/>
  <c r="F45" i="22"/>
  <c r="O46" i="22"/>
  <c r="D21" i="73"/>
  <c r="E21" i="73" s="1"/>
  <c r="K49" i="59"/>
  <c r="H50" i="59"/>
  <c r="L36" i="59"/>
  <c r="I36" i="59" s="1"/>
  <c r="I37" i="59"/>
  <c r="C21" i="128"/>
  <c r="C10" i="128" s="1"/>
  <c r="E11" i="126"/>
  <c r="C10" i="126"/>
  <c r="E10" i="126" s="1"/>
  <c r="L49" i="59"/>
  <c r="I50" i="59"/>
  <c r="L31" i="59"/>
  <c r="E16" i="47" s="1"/>
  <c r="E14" i="47" s="1"/>
  <c r="E44" i="109" s="1"/>
  <c r="E44" i="65" s="1"/>
  <c r="P43" i="70" s="1"/>
  <c r="Q43" i="70" s="1"/>
  <c r="I32" i="59"/>
  <c r="E18" i="47"/>
  <c r="E19" i="47"/>
  <c r="C66" i="65"/>
  <c r="O67" i="109"/>
  <c r="G43" i="25"/>
  <c r="G39" i="25" s="1"/>
  <c r="G10" i="25"/>
  <c r="D18" i="47"/>
  <c r="K36" i="59"/>
  <c r="H36" i="59" s="1"/>
  <c r="H37" i="59"/>
  <c r="O10" i="25"/>
  <c r="O43" i="25"/>
  <c r="O39" i="25" s="1"/>
  <c r="C10" i="57"/>
  <c r="E11" i="57"/>
  <c r="C11" i="47"/>
  <c r="D46" i="70"/>
  <c r="E46" i="70" s="1"/>
  <c r="J10" i="51"/>
  <c r="I10" i="51"/>
  <c r="G10" i="51"/>
  <c r="H10" i="51"/>
  <c r="L11" i="59"/>
  <c r="I12" i="59"/>
  <c r="F45" i="70"/>
  <c r="R49" i="70"/>
  <c r="F43" i="25"/>
  <c r="F39" i="25" s="1"/>
  <c r="F10" i="25"/>
  <c r="H10" i="25"/>
  <c r="H43" i="25"/>
  <c r="H39" i="25" s="1"/>
  <c r="D11" i="1"/>
  <c r="J12" i="1"/>
  <c r="U10" i="25"/>
  <c r="U43" i="25"/>
  <c r="U39" i="25" s="1"/>
  <c r="F18" i="124"/>
  <c r="R43" i="70" l="1"/>
  <c r="C43" i="109"/>
  <c r="I11" i="47"/>
  <c r="K25" i="59"/>
  <c r="H25" i="59" s="1"/>
  <c r="D16" i="47"/>
  <c r="H31" i="59"/>
  <c r="F46" i="70"/>
  <c r="J10" i="52"/>
  <c r="H10" i="52"/>
  <c r="I10" i="52"/>
  <c r="G10" i="52"/>
  <c r="D18" i="124"/>
  <c r="D17" i="124" s="1"/>
  <c r="F17" i="124"/>
  <c r="G17" i="124" s="1"/>
  <c r="G10" i="124" s="1"/>
  <c r="C29" i="47" s="1"/>
  <c r="I12" i="47"/>
  <c r="K66" i="65"/>
  <c r="D65" i="70"/>
  <c r="E65" i="70" s="1"/>
  <c r="H11" i="59"/>
  <c r="D43" i="109"/>
  <c r="D43" i="65" s="1"/>
  <c r="J42" i="70" s="1"/>
  <c r="K42" i="70" s="1"/>
  <c r="F25" i="73"/>
  <c r="J270" i="56"/>
  <c r="J269" i="56" s="1"/>
  <c r="J10" i="56" s="1"/>
  <c r="G277" i="56"/>
  <c r="W43" i="25"/>
  <c r="D13" i="124"/>
  <c r="D11" i="124" s="1"/>
  <c r="D10" i="124" s="1"/>
  <c r="F11" i="124"/>
  <c r="F10" i="124" s="1"/>
  <c r="C45" i="65"/>
  <c r="K48" i="59"/>
  <c r="H48" i="59" s="1"/>
  <c r="D21" i="47"/>
  <c r="H49" i="59"/>
  <c r="I18" i="47"/>
  <c r="E17" i="47"/>
  <c r="E45" i="109" s="1"/>
  <c r="E45" i="65" s="1"/>
  <c r="P44" i="70" s="1"/>
  <c r="Q44" i="70" s="1"/>
  <c r="E21" i="47"/>
  <c r="E20" i="47" s="1"/>
  <c r="E46" i="109" s="1"/>
  <c r="E46" i="65" s="1"/>
  <c r="P45" i="70" s="1"/>
  <c r="Q45" i="70" s="1"/>
  <c r="L48" i="59"/>
  <c r="I48" i="59" s="1"/>
  <c r="I49" i="59"/>
  <c r="N10" i="50"/>
  <c r="H10" i="50" s="1"/>
  <c r="H11" i="50"/>
  <c r="M10" i="50"/>
  <c r="G10" i="50" s="1"/>
  <c r="G11" i="50"/>
  <c r="F21" i="73"/>
  <c r="L25" i="59"/>
  <c r="I25" i="59" s="1"/>
  <c r="I31" i="59"/>
  <c r="F28" i="109"/>
  <c r="O45" i="22"/>
  <c r="D52" i="109"/>
  <c r="J11" i="1"/>
  <c r="S12" i="50"/>
  <c r="S11" i="50" s="1"/>
  <c r="O11" i="50"/>
  <c r="I12" i="50"/>
  <c r="D19" i="47"/>
  <c r="I19" i="47" s="1"/>
  <c r="H42" i="59"/>
  <c r="I11" i="59"/>
  <c r="D17" i="47"/>
  <c r="G331" i="56"/>
  <c r="G327" i="56" s="1"/>
  <c r="G411" i="56"/>
  <c r="C50" i="65"/>
  <c r="O50" i="109"/>
  <c r="E43" i="109"/>
  <c r="E43" i="65" s="1"/>
  <c r="P42" i="70" s="1"/>
  <c r="Q42" i="70" s="1"/>
  <c r="F23" i="73"/>
  <c r="F22" i="73"/>
  <c r="D20" i="47" l="1"/>
  <c r="I21" i="47"/>
  <c r="C15" i="47"/>
  <c r="S10" i="50"/>
  <c r="L42" i="70"/>
  <c r="K50" i="65"/>
  <c r="D49" i="70"/>
  <c r="E49" i="70" s="1"/>
  <c r="F65" i="70"/>
  <c r="D14" i="47"/>
  <c r="I16" i="47"/>
  <c r="D44" i="70"/>
  <c r="E44" i="70" s="1"/>
  <c r="D52" i="65"/>
  <c r="O52" i="109"/>
  <c r="O10" i="50"/>
  <c r="I10" i="50" s="1"/>
  <c r="I11" i="50"/>
  <c r="R42" i="70"/>
  <c r="D45" i="109"/>
  <c r="I17" i="47"/>
  <c r="F28" i="65"/>
  <c r="K28" i="65" s="1"/>
  <c r="O28" i="109"/>
  <c r="R45" i="70"/>
  <c r="I29" i="47"/>
  <c r="C49" i="109"/>
  <c r="R44" i="70"/>
  <c r="C43" i="65"/>
  <c r="O43" i="109"/>
  <c r="F22" i="128" l="1"/>
  <c r="I21" i="128"/>
  <c r="F10" i="127"/>
  <c r="D11" i="127"/>
  <c r="D12" i="43"/>
  <c r="K43" i="65"/>
  <c r="D42" i="70"/>
  <c r="E42" i="70" s="1"/>
  <c r="D31" i="128"/>
  <c r="G30" i="128"/>
  <c r="D30" i="128" s="1"/>
  <c r="O49" i="109"/>
  <c r="C49" i="65"/>
  <c r="D27" i="128"/>
  <c r="F11" i="129"/>
  <c r="D23" i="1"/>
  <c r="J23" i="1" s="1"/>
  <c r="J51" i="70"/>
  <c r="K51" i="70" s="1"/>
  <c r="K52" i="65"/>
  <c r="F49" i="70"/>
  <c r="D22" i="128"/>
  <c r="G10" i="127"/>
  <c r="E11" i="127"/>
  <c r="F44" i="70"/>
  <c r="C14" i="47"/>
  <c r="I15" i="47"/>
  <c r="D22" i="1"/>
  <c r="F10" i="129"/>
  <c r="E17" i="43"/>
  <c r="D44" i="109"/>
  <c r="D44" i="65" s="1"/>
  <c r="J43" i="70" s="1"/>
  <c r="K43" i="70" s="1"/>
  <c r="H21" i="128"/>
  <c r="E22" i="128"/>
  <c r="G10" i="129"/>
  <c r="E22" i="1"/>
  <c r="E21" i="1" s="1"/>
  <c r="E55" i="109" s="1"/>
  <c r="E55" i="65" s="1"/>
  <c r="P54" i="70" s="1"/>
  <c r="Q54" i="70" s="1"/>
  <c r="E16" i="43"/>
  <c r="D45" i="65"/>
  <c r="O45" i="109"/>
  <c r="D46" i="109"/>
  <c r="I20" i="47"/>
  <c r="E11" i="43"/>
  <c r="F12" i="43"/>
  <c r="E36" i="38" s="1"/>
  <c r="J36" i="38" s="1"/>
  <c r="E14" i="43"/>
  <c r="C46" i="38"/>
  <c r="E38" i="38"/>
  <c r="J38" i="38" s="1"/>
  <c r="E37" i="38"/>
  <c r="J37" i="38" s="1"/>
  <c r="E23" i="43"/>
  <c r="D12" i="46"/>
  <c r="E22" i="43"/>
  <c r="E39" i="38"/>
  <c r="J39" i="38" s="1"/>
  <c r="D11" i="46" l="1"/>
  <c r="E10" i="46"/>
  <c r="C45" i="38" s="1"/>
  <c r="L43" i="70"/>
  <c r="D13" i="46"/>
  <c r="D46" i="65"/>
  <c r="O46" i="109"/>
  <c r="F42" i="70"/>
  <c r="F21" i="43"/>
  <c r="E42" i="38" s="1"/>
  <c r="J42" i="38" s="1"/>
  <c r="D21" i="1"/>
  <c r="J22" i="1"/>
  <c r="J44" i="70"/>
  <c r="K44" i="70" s="1"/>
  <c r="K45" i="65"/>
  <c r="L51" i="70"/>
  <c r="E13" i="43"/>
  <c r="I14" i="47"/>
  <c r="C44" i="109"/>
  <c r="C10" i="47"/>
  <c r="E12" i="43"/>
  <c r="R54" i="70"/>
  <c r="G23" i="128"/>
  <c r="D16" i="1"/>
  <c r="D10" i="127"/>
  <c r="J46" i="38"/>
  <c r="C39" i="109"/>
  <c r="I10" i="128"/>
  <c r="F21" i="128"/>
  <c r="E40" i="38"/>
  <c r="J40" i="38" s="1"/>
  <c r="E19" i="43"/>
  <c r="E21" i="128"/>
  <c r="H10" i="128"/>
  <c r="E16" i="1"/>
  <c r="E15" i="1" s="1"/>
  <c r="E10" i="127"/>
  <c r="D48" i="70"/>
  <c r="E48" i="70" s="1"/>
  <c r="K49" i="65"/>
  <c r="E35" i="38"/>
  <c r="F10" i="43"/>
  <c r="E18" i="43"/>
  <c r="P22" i="12"/>
  <c r="E45" i="15"/>
  <c r="K41" i="12"/>
  <c r="K25" i="12"/>
  <c r="K42" i="12"/>
  <c r="K19" i="12"/>
  <c r="F42" i="15"/>
  <c r="K26" i="12"/>
  <c r="K16" i="12"/>
  <c r="K13" i="12"/>
  <c r="K40" i="12"/>
  <c r="P34" i="12"/>
  <c r="E50" i="15"/>
  <c r="K37" i="12"/>
  <c r="F13" i="33"/>
  <c r="K21" i="12" l="1"/>
  <c r="K20" i="12"/>
  <c r="N25" i="12"/>
  <c r="P25" i="12" s="1"/>
  <c r="L25" i="12"/>
  <c r="E55" i="15"/>
  <c r="C53" i="11"/>
  <c r="J21" i="1"/>
  <c r="D55" i="109"/>
  <c r="L37" i="12"/>
  <c r="N37" i="12"/>
  <c r="P37" i="12" s="1"/>
  <c r="E19" i="1"/>
  <c r="E18" i="1" s="1"/>
  <c r="E54" i="109" s="1"/>
  <c r="E54" i="65" s="1"/>
  <c r="P53" i="70" s="1"/>
  <c r="F10" i="128"/>
  <c r="C42" i="109"/>
  <c r="F41" i="15"/>
  <c r="L16" i="12"/>
  <c r="N16" i="12"/>
  <c r="P16" i="12" s="1"/>
  <c r="R16" i="12" s="1"/>
  <c r="S16" i="12" s="1"/>
  <c r="T16" i="12" s="1"/>
  <c r="C44" i="65"/>
  <c r="O44" i="109"/>
  <c r="G50" i="15"/>
  <c r="H50" i="15" s="1"/>
  <c r="Q47" i="12"/>
  <c r="H47" i="15"/>
  <c r="L13" i="12"/>
  <c r="N13" i="12"/>
  <c r="P13" i="12" s="1"/>
  <c r="R13" i="12" s="1"/>
  <c r="S13" i="12" s="1"/>
  <c r="T13" i="12" s="1"/>
  <c r="H25" i="15"/>
  <c r="Q25" i="12"/>
  <c r="F28" i="15"/>
  <c r="Q42" i="12"/>
  <c r="H42" i="15"/>
  <c r="H35" i="15"/>
  <c r="Q35" i="12"/>
  <c r="J35" i="38"/>
  <c r="E34" i="38"/>
  <c r="N41" i="12"/>
  <c r="P41" i="12" s="1"/>
  <c r="R41" i="12" s="1"/>
  <c r="S41" i="12" s="1"/>
  <c r="T41" i="12" s="1"/>
  <c r="L41" i="12"/>
  <c r="N26" i="12"/>
  <c r="P26" i="12" s="1"/>
  <c r="L26" i="12"/>
  <c r="K24" i="12"/>
  <c r="K47" i="12"/>
  <c r="H24" i="15"/>
  <c r="Q24" i="12"/>
  <c r="C39" i="65"/>
  <c r="O39" i="109"/>
  <c r="J45" i="70"/>
  <c r="K45" i="70" s="1"/>
  <c r="K46" i="65"/>
  <c r="K11" i="12"/>
  <c r="L42" i="12"/>
  <c r="N42" i="12"/>
  <c r="P42" i="12" s="1"/>
  <c r="H22" i="15"/>
  <c r="Q22" i="12"/>
  <c r="G31" i="15"/>
  <c r="Q41" i="12"/>
  <c r="H41" i="15"/>
  <c r="L19" i="12"/>
  <c r="N19" i="12"/>
  <c r="P19" i="12" s="1"/>
  <c r="R19" i="12" s="1"/>
  <c r="S19" i="12" s="1"/>
  <c r="T19" i="12" s="1"/>
  <c r="F48" i="70"/>
  <c r="K52" i="12"/>
  <c r="E31" i="15"/>
  <c r="Q26" i="12"/>
  <c r="R26" i="12" s="1"/>
  <c r="S26" i="12" s="1"/>
  <c r="T26" i="12" s="1"/>
  <c r="H26" i="15"/>
  <c r="H28" i="15"/>
  <c r="Q28" i="12"/>
  <c r="K17" i="12"/>
  <c r="E64" i="132"/>
  <c r="H64" i="132"/>
  <c r="C31" i="22" s="1"/>
  <c r="I50" i="15"/>
  <c r="F50" i="15" s="1"/>
  <c r="F47" i="15"/>
  <c r="K35" i="12"/>
  <c r="K28" i="12"/>
  <c r="I45" i="15"/>
  <c r="F45" i="15" s="1"/>
  <c r="F35" i="15"/>
  <c r="E10" i="1"/>
  <c r="E51" i="109" s="1"/>
  <c r="E51" i="65" s="1"/>
  <c r="P50" i="70" s="1"/>
  <c r="Q50" i="70" s="1"/>
  <c r="E53" i="109"/>
  <c r="E53" i="65" s="1"/>
  <c r="P52" i="70" s="1"/>
  <c r="Q52" i="70" s="1"/>
  <c r="J16" i="1"/>
  <c r="D15" i="1"/>
  <c r="L40" i="12"/>
  <c r="N40" i="12"/>
  <c r="P40" i="12" s="1"/>
  <c r="R40" i="12" s="1"/>
  <c r="S40" i="12" s="1"/>
  <c r="T40" i="12" s="1"/>
  <c r="C13" i="25"/>
  <c r="C12" i="25" s="1"/>
  <c r="C11" i="25" s="1"/>
  <c r="G12" i="33"/>
  <c r="G11" i="33" s="1"/>
  <c r="G10" i="33" s="1"/>
  <c r="H35" i="132"/>
  <c r="C24" i="22" s="1"/>
  <c r="H39" i="132"/>
  <c r="H45" i="132"/>
  <c r="H42" i="132" s="1"/>
  <c r="H36" i="132"/>
  <c r="C25" i="42"/>
  <c r="Q34" i="12"/>
  <c r="G45" i="15"/>
  <c r="H45" i="15" s="1"/>
  <c r="H34" i="15"/>
  <c r="E10" i="128"/>
  <c r="D19" i="1"/>
  <c r="D18" i="1" s="1"/>
  <c r="D54" i="109" s="1"/>
  <c r="D54" i="65" s="1"/>
  <c r="J53" i="70" s="1"/>
  <c r="D23" i="128"/>
  <c r="G21" i="128"/>
  <c r="J45" i="38"/>
  <c r="C38" i="109"/>
  <c r="C10" i="38"/>
  <c r="Q37" i="12"/>
  <c r="H37" i="15"/>
  <c r="F26" i="15"/>
  <c r="I31" i="15"/>
  <c r="K15" i="12"/>
  <c r="L44" i="70"/>
  <c r="E33" i="132"/>
  <c r="K22" i="132"/>
  <c r="L22" i="132"/>
  <c r="I164" i="34"/>
  <c r="F28" i="33"/>
  <c r="J163" i="34"/>
  <c r="K163" i="34"/>
  <c r="K173" i="34"/>
  <c r="K170" i="34" s="1"/>
  <c r="K165" i="34" s="1"/>
  <c r="M163" i="34"/>
  <c r="M162" i="34" s="1"/>
  <c r="L163" i="34"/>
  <c r="L162" i="34" s="1"/>
  <c r="R34" i="41"/>
  <c r="H20" i="41"/>
  <c r="H15" i="41" s="1"/>
  <c r="H10" i="41" s="1"/>
  <c r="H48" i="41" s="1"/>
  <c r="N20" i="41"/>
  <c r="N15" i="41" s="1"/>
  <c r="N10" i="41" s="1"/>
  <c r="R35" i="41"/>
  <c r="I20" i="41"/>
  <c r="I15" i="41" s="1"/>
  <c r="I10" i="41" s="1"/>
  <c r="R36" i="41"/>
  <c r="J20" i="41"/>
  <c r="J15" i="41" s="1"/>
  <c r="J10" i="41" s="1"/>
  <c r="J48" i="41" s="1"/>
  <c r="R37" i="41"/>
  <c r="I28" i="41"/>
  <c r="I27" i="41" s="1"/>
  <c r="J28" i="41"/>
  <c r="J27" i="41" s="1"/>
  <c r="J30" i="41"/>
  <c r="K28" i="41"/>
  <c r="K27" i="41" s="1"/>
  <c r="K30" i="41"/>
  <c r="R22" i="41"/>
  <c r="L28" i="41"/>
  <c r="L27" i="41" s="1"/>
  <c r="L30" i="41"/>
  <c r="O28" i="41"/>
  <c r="O27" i="41" s="1"/>
  <c r="Q28" i="41"/>
  <c r="Q27" i="41" s="1"/>
  <c r="N30" i="41"/>
  <c r="N48" i="41" s="1"/>
  <c r="O30" i="41"/>
  <c r="O48" i="41" s="1"/>
  <c r="R33" i="41"/>
  <c r="Q30" i="41"/>
  <c r="G22" i="40"/>
  <c r="E22" i="41" s="1"/>
  <c r="G29" i="40"/>
  <c r="E29" i="41" s="1"/>
  <c r="G23" i="40"/>
  <c r="E23" i="41" s="1"/>
  <c r="G26" i="40"/>
  <c r="E26" i="41" s="1"/>
  <c r="G21" i="40"/>
  <c r="E21" i="41" s="1"/>
  <c r="J49" i="41"/>
  <c r="K49" i="41"/>
  <c r="L49" i="41"/>
  <c r="V47" i="41"/>
  <c r="C81" i="10"/>
  <c r="C104" i="10"/>
  <c r="H98" i="132"/>
  <c r="C58" i="22" s="1"/>
  <c r="G28" i="39"/>
  <c r="G27" i="39" s="1"/>
  <c r="D19" i="38" s="1"/>
  <c r="J19" i="38" s="1"/>
  <c r="G45" i="39"/>
  <c r="K28" i="40"/>
  <c r="K27" i="40" s="1"/>
  <c r="D29" i="38" s="1"/>
  <c r="C22" i="22"/>
  <c r="O22" i="22" s="1"/>
  <c r="K20" i="40"/>
  <c r="K15" i="40" s="1"/>
  <c r="G25" i="39"/>
  <c r="G24" i="39" s="1"/>
  <c r="D18" i="38" s="1"/>
  <c r="J18" i="38" s="1"/>
  <c r="K25" i="40"/>
  <c r="K24" i="40" s="1"/>
  <c r="D28" i="38" s="1"/>
  <c r="J28" i="38" s="1"/>
  <c r="K45" i="40"/>
  <c r="G39" i="39"/>
  <c r="G30" i="39"/>
  <c r="D20" i="38" s="1"/>
  <c r="J20" i="38" s="1"/>
  <c r="X30" i="41"/>
  <c r="E30" i="38" s="1"/>
  <c r="Y17" i="25"/>
  <c r="Y16" i="25" s="1"/>
  <c r="F26" i="39" l="1"/>
  <c r="C26" i="40"/>
  <c r="C25" i="39"/>
  <c r="C26" i="41"/>
  <c r="C25" i="41" s="1"/>
  <c r="C24" i="41" s="1"/>
  <c r="X17" i="25"/>
  <c r="X16" i="25" s="1"/>
  <c r="G24" i="33"/>
  <c r="G23" i="33" s="1"/>
  <c r="G22" i="33" s="1"/>
  <c r="C12" i="10"/>
  <c r="C96" i="10"/>
  <c r="C88" i="10" s="1"/>
  <c r="C33" i="40"/>
  <c r="J33" i="40" s="1"/>
  <c r="F33" i="39"/>
  <c r="C33" i="41"/>
  <c r="Q48" i="41"/>
  <c r="Q49" i="41" s="1"/>
  <c r="N28" i="12"/>
  <c r="P28" i="12" s="1"/>
  <c r="R28" i="12" s="1"/>
  <c r="S28" i="12" s="1"/>
  <c r="T28" i="12" s="1"/>
  <c r="L28" i="12"/>
  <c r="L52" i="12"/>
  <c r="N52" i="12"/>
  <c r="N11" i="12"/>
  <c r="L11" i="12"/>
  <c r="R37" i="12"/>
  <c r="S37" i="12" s="1"/>
  <c r="T37" i="12" s="1"/>
  <c r="AJ18" i="25"/>
  <c r="AJ16" i="25" s="1"/>
  <c r="I31" i="22"/>
  <c r="C50" i="10"/>
  <c r="C29" i="40"/>
  <c r="F29" i="39"/>
  <c r="C29" i="41"/>
  <c r="C28" i="41" s="1"/>
  <c r="C27" i="41" s="1"/>
  <c r="C28" i="39"/>
  <c r="R29" i="41"/>
  <c r="F28" i="41"/>
  <c r="D21" i="128"/>
  <c r="G10" i="128"/>
  <c r="L35" i="12"/>
  <c r="N35" i="12"/>
  <c r="J34" i="38"/>
  <c r="E33" i="38"/>
  <c r="Q50" i="12"/>
  <c r="K162" i="34"/>
  <c r="E73" i="132"/>
  <c r="N15" i="12"/>
  <c r="P15" i="12" s="1"/>
  <c r="R15" i="12" s="1"/>
  <c r="S15" i="12" s="1"/>
  <c r="T15" i="12" s="1"/>
  <c r="L15" i="12"/>
  <c r="L45" i="70"/>
  <c r="F20" i="41"/>
  <c r="R21" i="41"/>
  <c r="D43" i="70"/>
  <c r="E43" i="70" s="1"/>
  <c r="K44" i="65"/>
  <c r="M20" i="41"/>
  <c r="M15" i="41" s="1"/>
  <c r="M10" i="41" s="1"/>
  <c r="C100" i="10"/>
  <c r="C112" i="10"/>
  <c r="C111" i="10" s="1"/>
  <c r="C46" i="41"/>
  <c r="C45" i="41" s="1"/>
  <c r="C45" i="39"/>
  <c r="F45" i="39" s="1"/>
  <c r="C46" i="40"/>
  <c r="F46" i="39"/>
  <c r="N49" i="41"/>
  <c r="J162" i="34"/>
  <c r="I53" i="22"/>
  <c r="AJ34" i="25"/>
  <c r="AJ33" i="25" s="1"/>
  <c r="AJ44" i="25" s="1"/>
  <c r="F31" i="15"/>
  <c r="I55" i="15"/>
  <c r="F55" i="15" s="1"/>
  <c r="J15" i="1"/>
  <c r="D53" i="109"/>
  <c r="D10" i="1"/>
  <c r="N17" i="12"/>
  <c r="P17" i="12" s="1"/>
  <c r="R17" i="12" s="1"/>
  <c r="S17" i="12" s="1"/>
  <c r="T17" i="12" s="1"/>
  <c r="L17" i="12"/>
  <c r="R42" i="12"/>
  <c r="S42" i="12" s="1"/>
  <c r="T42" i="12" s="1"/>
  <c r="C32" i="40"/>
  <c r="F32" i="39"/>
  <c r="C32" i="41"/>
  <c r="F98" i="10"/>
  <c r="G98" i="10"/>
  <c r="G120" i="10"/>
  <c r="F120" i="10"/>
  <c r="C103" i="10"/>
  <c r="F21" i="39"/>
  <c r="C21" i="40"/>
  <c r="C21" i="41"/>
  <c r="C15" i="39"/>
  <c r="I54" i="22"/>
  <c r="AJ35" i="25"/>
  <c r="D38" i="70"/>
  <c r="E38" i="70" s="1"/>
  <c r="K39" i="65"/>
  <c r="F84" i="10"/>
  <c r="G84" i="10"/>
  <c r="X20" i="41"/>
  <c r="C16" i="10"/>
  <c r="C11" i="10"/>
  <c r="F22" i="39"/>
  <c r="C22" i="41"/>
  <c r="C22" i="40"/>
  <c r="J22" i="40" s="1"/>
  <c r="R46" i="41"/>
  <c r="M45" i="41"/>
  <c r="R45" i="41" s="1"/>
  <c r="E63" i="132"/>
  <c r="R34" i="12"/>
  <c r="Q45" i="12"/>
  <c r="H31" i="15"/>
  <c r="G55" i="15"/>
  <c r="H55" i="15" s="1"/>
  <c r="L47" i="12"/>
  <c r="N47" i="12"/>
  <c r="R25" i="12"/>
  <c r="S25" i="12" s="1"/>
  <c r="T25" i="12" s="1"/>
  <c r="K10" i="40"/>
  <c r="D27" i="38"/>
  <c r="C10" i="25"/>
  <c r="C40" i="25"/>
  <c r="C22" i="10"/>
  <c r="G20" i="39"/>
  <c r="G15" i="39" s="1"/>
  <c r="H48" i="57"/>
  <c r="D50" i="57"/>
  <c r="D48" i="57" s="1"/>
  <c r="F48" i="57" s="1"/>
  <c r="K39" i="40"/>
  <c r="K30" i="40" s="1"/>
  <c r="D30" i="38" s="1"/>
  <c r="J30" i="38" s="1"/>
  <c r="O58" i="22"/>
  <c r="C57" i="22"/>
  <c r="C27" i="10"/>
  <c r="C15" i="10" s="1"/>
  <c r="C26" i="10"/>
  <c r="W47" i="41"/>
  <c r="C43" i="41"/>
  <c r="C39" i="41" s="1"/>
  <c r="F43" i="39"/>
  <c r="C43" i="40"/>
  <c r="L20" i="41"/>
  <c r="L15" i="41" s="1"/>
  <c r="L10" i="41" s="1"/>
  <c r="L48" i="41" s="1"/>
  <c r="F26" i="33"/>
  <c r="F25" i="33"/>
  <c r="H164" i="34"/>
  <c r="F46" i="132"/>
  <c r="E46" i="132"/>
  <c r="R52" i="70"/>
  <c r="Q31" i="12"/>
  <c r="Q55" i="12" s="1"/>
  <c r="R22" i="12"/>
  <c r="S22" i="12" s="1"/>
  <c r="T22" i="12" s="1"/>
  <c r="N24" i="12"/>
  <c r="P24" i="12" s="1"/>
  <c r="R24" i="12" s="1"/>
  <c r="S24" i="12" s="1"/>
  <c r="T24" i="12" s="1"/>
  <c r="L24" i="12"/>
  <c r="L20" i="12"/>
  <c r="N20" i="12"/>
  <c r="P20" i="12" s="1"/>
  <c r="R20" i="12" s="1"/>
  <c r="S20" i="12" s="1"/>
  <c r="T20" i="12" s="1"/>
  <c r="C30" i="10"/>
  <c r="C21" i="10"/>
  <c r="J22" i="132"/>
  <c r="E18" i="22"/>
  <c r="R32" i="41"/>
  <c r="M25" i="41"/>
  <c r="R26" i="41"/>
  <c r="I35" i="132"/>
  <c r="I45" i="132"/>
  <c r="I42" i="132" s="1"/>
  <c r="L66" i="59"/>
  <c r="I67" i="59"/>
  <c r="C38" i="41"/>
  <c r="U38" i="41" s="1"/>
  <c r="C38" i="40"/>
  <c r="J38" i="40" s="1"/>
  <c r="R38" i="41"/>
  <c r="I30" i="41"/>
  <c r="I48" i="41" s="1"/>
  <c r="I49" i="41" s="1"/>
  <c r="F27" i="45"/>
  <c r="R50" i="70"/>
  <c r="C42" i="65"/>
  <c r="N21" i="12"/>
  <c r="P21" i="12" s="1"/>
  <c r="R21" i="12" s="1"/>
  <c r="S21" i="12" s="1"/>
  <c r="T21" i="12" s="1"/>
  <c r="L21" i="12"/>
  <c r="Y10" i="25"/>
  <c r="Y41" i="25"/>
  <c r="Y39" i="25" s="1"/>
  <c r="F14" i="45"/>
  <c r="F10" i="45" s="1"/>
  <c r="F23" i="39"/>
  <c r="C23" i="41"/>
  <c r="U23" i="41" s="1"/>
  <c r="C23" i="40"/>
  <c r="J23" i="40" s="1"/>
  <c r="C30" i="22"/>
  <c r="U29" i="41"/>
  <c r="X28" i="41"/>
  <c r="E31" i="38"/>
  <c r="J31" i="38" s="1"/>
  <c r="C36" i="22"/>
  <c r="H72" i="132"/>
  <c r="C68" i="10"/>
  <c r="C60" i="10" s="1"/>
  <c r="F69" i="10"/>
  <c r="G69" i="10"/>
  <c r="C29" i="10"/>
  <c r="C40" i="10"/>
  <c r="C36" i="40"/>
  <c r="J36" i="40" s="1"/>
  <c r="C36" i="41"/>
  <c r="F36" i="39"/>
  <c r="C37" i="41"/>
  <c r="C37" i="40"/>
  <c r="J37" i="40" s="1"/>
  <c r="F37" i="39"/>
  <c r="G164" i="34"/>
  <c r="E23" i="132"/>
  <c r="F23" i="132"/>
  <c r="G23" i="132"/>
  <c r="C31" i="109"/>
  <c r="D55" i="65"/>
  <c r="O55" i="109"/>
  <c r="C17" i="22"/>
  <c r="C105" i="10"/>
  <c r="C102" i="10"/>
  <c r="C23" i="10"/>
  <c r="C34" i="41"/>
  <c r="F34" i="39"/>
  <c r="C34" i="40"/>
  <c r="J34" i="40" s="1"/>
  <c r="C35" i="40"/>
  <c r="J35" i="40" s="1"/>
  <c r="C35" i="41"/>
  <c r="F35" i="39"/>
  <c r="R23" i="41"/>
  <c r="K20" i="41"/>
  <c r="K15" i="41" s="1"/>
  <c r="K10" i="41" s="1"/>
  <c r="K48" i="41" s="1"/>
  <c r="R43" i="41"/>
  <c r="M39" i="41"/>
  <c r="R39" i="41" s="1"/>
  <c r="F21" i="45"/>
  <c r="G24" i="132"/>
  <c r="O38" i="109"/>
  <c r="C38" i="65"/>
  <c r="C99" i="11"/>
  <c r="D16" i="20"/>
  <c r="C10" i="20"/>
  <c r="G24" i="114"/>
  <c r="E38" i="7"/>
  <c r="F23" i="114"/>
  <c r="G26" i="114"/>
  <c r="G23" i="114"/>
  <c r="F14" i="114"/>
  <c r="F26" i="114"/>
  <c r="G14" i="114"/>
  <c r="K32" i="114"/>
  <c r="F25" i="114"/>
  <c r="F38" i="114"/>
  <c r="G30" i="114"/>
  <c r="G38" i="114"/>
  <c r="F11" i="16"/>
  <c r="I27" i="114"/>
  <c r="J27" i="114"/>
  <c r="H38" i="114"/>
  <c r="F24" i="114"/>
  <c r="E15" i="16"/>
  <c r="E35" i="114"/>
  <c r="I70" i="132"/>
  <c r="I67" i="132" s="1"/>
  <c r="H70" i="132"/>
  <c r="H67" i="132" s="1"/>
  <c r="C34" i="22" s="1"/>
  <c r="J70" i="132"/>
  <c r="J67" i="132" s="1"/>
  <c r="H50" i="132"/>
  <c r="H47" i="132" s="1"/>
  <c r="C26" i="22" s="1"/>
  <c r="O26" i="22" s="1"/>
  <c r="F91" i="10"/>
  <c r="G94" i="10"/>
  <c r="E61" i="10"/>
  <c r="E19" i="132"/>
  <c r="E16" i="132"/>
  <c r="E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D41" i="70" l="1"/>
  <c r="E41" i="70" s="1"/>
  <c r="I23" i="10"/>
  <c r="F23" i="10" s="1"/>
  <c r="F33" i="10"/>
  <c r="H26" i="10"/>
  <c r="E36" i="10"/>
  <c r="C10" i="16"/>
  <c r="I10" i="20"/>
  <c r="E53" i="7" s="1"/>
  <c r="F11" i="20"/>
  <c r="J16" i="10"/>
  <c r="E25" i="7" s="1"/>
  <c r="G17" i="10"/>
  <c r="I96" i="10"/>
  <c r="I14" i="10" s="1"/>
  <c r="F97" i="10"/>
  <c r="J24" i="9"/>
  <c r="E18" i="7" s="1"/>
  <c r="I27" i="8"/>
  <c r="H103" i="10"/>
  <c r="E103" i="10" s="1"/>
  <c r="E120" i="10"/>
  <c r="J100" i="10"/>
  <c r="G113" i="10"/>
  <c r="J112" i="10"/>
  <c r="J111" i="10" s="1"/>
  <c r="I22" i="10"/>
  <c r="F22" i="10" s="1"/>
  <c r="F32" i="10"/>
  <c r="I50" i="10"/>
  <c r="F51" i="10"/>
  <c r="I61" i="9"/>
  <c r="E19" i="109"/>
  <c r="E19" i="65" s="1"/>
  <c r="P19" i="70" s="1"/>
  <c r="Q19" i="70" s="1"/>
  <c r="C27" i="22"/>
  <c r="N50" i="12"/>
  <c r="C12" i="13" s="1"/>
  <c r="D12" i="13" s="1"/>
  <c r="P47" i="12"/>
  <c r="C10" i="39"/>
  <c r="F10" i="39" s="1"/>
  <c r="F15" i="39"/>
  <c r="J32" i="40"/>
  <c r="I105" i="10"/>
  <c r="F108" i="10"/>
  <c r="I102" i="10"/>
  <c r="F102" i="10" s="1"/>
  <c r="J17" i="9"/>
  <c r="E17" i="7" s="1"/>
  <c r="J11" i="9"/>
  <c r="E114" i="11"/>
  <c r="H99" i="11"/>
  <c r="E99" i="11" s="1"/>
  <c r="H24" i="9"/>
  <c r="C18" i="7" s="1"/>
  <c r="F113" i="10"/>
  <c r="I112" i="10"/>
  <c r="I111" i="10" s="1"/>
  <c r="I100" i="10"/>
  <c r="G108" i="10"/>
  <c r="J105" i="10"/>
  <c r="J102" i="10"/>
  <c r="G102" i="10" s="1"/>
  <c r="E32" i="10"/>
  <c r="H22" i="10"/>
  <c r="E22" i="10" s="1"/>
  <c r="F37" i="10"/>
  <c r="I27" i="10"/>
  <c r="I67" i="9"/>
  <c r="I60" i="9"/>
  <c r="I119" i="9"/>
  <c r="I118" i="9" s="1"/>
  <c r="H102" i="9"/>
  <c r="I95" i="9"/>
  <c r="J102" i="9"/>
  <c r="H37" i="114"/>
  <c r="K36" i="114"/>
  <c r="K31" i="114" s="1"/>
  <c r="E45" i="7" s="1"/>
  <c r="K38" i="65"/>
  <c r="D37" i="70"/>
  <c r="E37" i="70" s="1"/>
  <c r="C31" i="65"/>
  <c r="C20" i="41"/>
  <c r="C15" i="41" s="1"/>
  <c r="C10" i="41" s="1"/>
  <c r="V14" i="73"/>
  <c r="I27" i="22"/>
  <c r="I81" i="9"/>
  <c r="L65" i="59"/>
  <c r="I66" i="59"/>
  <c r="D10" i="128"/>
  <c r="C19" i="1"/>
  <c r="H30" i="8"/>
  <c r="J52" i="9"/>
  <c r="E22" i="7" s="1"/>
  <c r="K21" i="114"/>
  <c r="E44" i="7" s="1"/>
  <c r="H22" i="114"/>
  <c r="E33" i="10"/>
  <c r="H23" i="10"/>
  <c r="E23" i="10" s="1"/>
  <c r="J104" i="10"/>
  <c r="G104" i="10" s="1"/>
  <c r="G121" i="10"/>
  <c r="I102" i="9"/>
  <c r="H61" i="9"/>
  <c r="I12" i="9"/>
  <c r="H67" i="9"/>
  <c r="H60" i="9"/>
  <c r="H40" i="10"/>
  <c r="E41" i="10"/>
  <c r="D13" i="16"/>
  <c r="D14" i="16"/>
  <c r="E15" i="19"/>
  <c r="C49" i="7" s="1"/>
  <c r="E27" i="19"/>
  <c r="E28" i="19" s="1"/>
  <c r="I22" i="132"/>
  <c r="D24" i="22"/>
  <c r="J43" i="40"/>
  <c r="G10" i="39"/>
  <c r="D17" i="38"/>
  <c r="U21" i="41"/>
  <c r="G103" i="10"/>
  <c r="F103" i="10"/>
  <c r="D51" i="109"/>
  <c r="D51" i="65" s="1"/>
  <c r="J50" i="70" s="1"/>
  <c r="K50" i="70" s="1"/>
  <c r="C15" i="68"/>
  <c r="J26" i="10"/>
  <c r="G36" i="10"/>
  <c r="J36" i="114"/>
  <c r="G37" i="114"/>
  <c r="F29" i="10"/>
  <c r="G29" i="10"/>
  <c r="C28" i="10"/>
  <c r="C14" i="10" s="1"/>
  <c r="C10" i="10" s="1"/>
  <c r="AJ41" i="25"/>
  <c r="AJ39" i="25" s="1"/>
  <c r="AJ10" i="25"/>
  <c r="I36" i="114"/>
  <c r="F37" i="114"/>
  <c r="J61" i="9"/>
  <c r="G31" i="10"/>
  <c r="J21" i="10"/>
  <c r="J67" i="9"/>
  <c r="J60" i="9"/>
  <c r="J68" i="8"/>
  <c r="K66" i="59"/>
  <c r="H67" i="59"/>
  <c r="G35" i="114"/>
  <c r="J32" i="114"/>
  <c r="J31" i="114" s="1"/>
  <c r="D45" i="7" s="1"/>
  <c r="C39" i="39"/>
  <c r="S34" i="12"/>
  <c r="T34" i="12" s="1"/>
  <c r="X15" i="41"/>
  <c r="O53" i="109"/>
  <c r="D53" i="65"/>
  <c r="P11" i="12"/>
  <c r="N31" i="12"/>
  <c r="G12" i="10"/>
  <c r="F12" i="10"/>
  <c r="E12" i="10"/>
  <c r="F36" i="10"/>
  <c r="I26" i="10"/>
  <c r="J81" i="10"/>
  <c r="E27" i="7" s="1"/>
  <c r="G82" i="10"/>
  <c r="G41" i="10"/>
  <c r="J40" i="10"/>
  <c r="I30" i="10"/>
  <c r="I21" i="10"/>
  <c r="F31" i="10"/>
  <c r="H81" i="9"/>
  <c r="J25" i="8"/>
  <c r="I26" i="8"/>
  <c r="D47" i="57"/>
  <c r="D46" i="57" s="1"/>
  <c r="H46" i="57"/>
  <c r="H10" i="57" s="1"/>
  <c r="E34" i="22"/>
  <c r="E27" i="22" s="1"/>
  <c r="E25" i="109" s="1"/>
  <c r="E25" i="65" s="1"/>
  <c r="P25" i="70" s="1"/>
  <c r="Q25" i="70" s="1"/>
  <c r="J52" i="132"/>
  <c r="G12" i="114"/>
  <c r="G22" i="114"/>
  <c r="F20" i="45"/>
  <c r="R25" i="41"/>
  <c r="M24" i="41"/>
  <c r="R24" i="41" s="1"/>
  <c r="C99" i="10"/>
  <c r="O31" i="22"/>
  <c r="R28" i="41"/>
  <c r="F27" i="41"/>
  <c r="N54" i="12"/>
  <c r="C13" i="13" s="1"/>
  <c r="D13" i="13" s="1"/>
  <c r="P52" i="12"/>
  <c r="H50" i="10"/>
  <c r="E51" i="10"/>
  <c r="H11" i="114"/>
  <c r="K10" i="114"/>
  <c r="E43" i="7" s="1"/>
  <c r="C45" i="40"/>
  <c r="J45" i="40" s="1"/>
  <c r="J46" i="40"/>
  <c r="J119" i="9"/>
  <c r="J118" i="9" s="1"/>
  <c r="H68" i="10"/>
  <c r="H60" i="10" s="1"/>
  <c r="E69" i="10"/>
  <c r="H29" i="10"/>
  <c r="F121" i="10"/>
  <c r="I104" i="10"/>
  <c r="F104" i="10" s="1"/>
  <c r="H31" i="9"/>
  <c r="C19" i="7" s="1"/>
  <c r="H45" i="9"/>
  <c r="C21" i="7" s="1"/>
  <c r="F41" i="10"/>
  <c r="I40" i="10"/>
  <c r="J60" i="10"/>
  <c r="G61" i="10"/>
  <c r="G97" i="10"/>
  <c r="J96" i="10"/>
  <c r="J14" i="10" s="1"/>
  <c r="G14" i="10" s="1"/>
  <c r="I81" i="10"/>
  <c r="D27" i="7" s="1"/>
  <c r="F82" i="10"/>
  <c r="J62" i="9"/>
  <c r="I38" i="9"/>
  <c r="D20" i="7" s="1"/>
  <c r="I62" i="9"/>
  <c r="J81" i="9"/>
  <c r="I62" i="8"/>
  <c r="I50" i="57"/>
  <c r="G48" i="57"/>
  <c r="E50" i="57"/>
  <c r="J38" i="9"/>
  <c r="E20" i="7" s="1"/>
  <c r="G11" i="16"/>
  <c r="E12" i="16"/>
  <c r="F18" i="16"/>
  <c r="D18" i="16" s="1"/>
  <c r="D19" i="16"/>
  <c r="L24" i="114"/>
  <c r="L21" i="114" s="1"/>
  <c r="E23" i="19"/>
  <c r="E29" i="19" s="1"/>
  <c r="C58" i="7"/>
  <c r="C17" i="19"/>
  <c r="C11" i="19"/>
  <c r="C16" i="19"/>
  <c r="C35" i="22"/>
  <c r="O36" i="22"/>
  <c r="M30" i="41"/>
  <c r="R30" i="41" s="1"/>
  <c r="W40" i="25"/>
  <c r="C39" i="25"/>
  <c r="X10" i="25"/>
  <c r="X41" i="25"/>
  <c r="F61" i="10"/>
  <c r="I60" i="10"/>
  <c r="H21" i="10"/>
  <c r="H30" i="10"/>
  <c r="E31" i="10"/>
  <c r="H119" i="9"/>
  <c r="H118" i="9" s="1"/>
  <c r="J65" i="9"/>
  <c r="J12" i="9"/>
  <c r="H38" i="9"/>
  <c r="C20" i="7" s="1"/>
  <c r="I47" i="57"/>
  <c r="E24" i="47" s="1"/>
  <c r="I24" i="47" s="1"/>
  <c r="G46" i="57"/>
  <c r="E47" i="57"/>
  <c r="I65" i="9"/>
  <c r="I52" i="132"/>
  <c r="D34" i="22"/>
  <c r="D27" i="22" s="1"/>
  <c r="D25" i="109" s="1"/>
  <c r="D25" i="65" s="1"/>
  <c r="J25" i="70" s="1"/>
  <c r="K25" i="70" s="1"/>
  <c r="G25" i="114"/>
  <c r="F22" i="114"/>
  <c r="I21" i="114"/>
  <c r="C44" i="7" s="1"/>
  <c r="M9" i="20"/>
  <c r="L9" i="20" s="1"/>
  <c r="H22" i="132"/>
  <c r="C27" i="39"/>
  <c r="F27" i="39" s="1"/>
  <c r="F28" i="39"/>
  <c r="N62" i="109"/>
  <c r="H112" i="10"/>
  <c r="H111" i="10" s="1"/>
  <c r="E113" i="10"/>
  <c r="H100" i="10"/>
  <c r="H11" i="10" s="1"/>
  <c r="H25" i="8"/>
  <c r="H32" i="8"/>
  <c r="G89" i="10"/>
  <c r="C13" i="10"/>
  <c r="D21" i="38"/>
  <c r="D22" i="38"/>
  <c r="F38" i="70"/>
  <c r="F43" i="70"/>
  <c r="E35" i="109"/>
  <c r="J33" i="38"/>
  <c r="F25" i="39"/>
  <c r="C24" i="39"/>
  <c r="F24" i="39" s="1"/>
  <c r="J21" i="40"/>
  <c r="C20" i="40"/>
  <c r="H95" i="9"/>
  <c r="J66" i="8"/>
  <c r="G11" i="114"/>
  <c r="I32" i="114"/>
  <c r="I31" i="114" s="1"/>
  <c r="C45" i="7" s="1"/>
  <c r="F35" i="114"/>
  <c r="O17" i="22"/>
  <c r="C16" i="22"/>
  <c r="C24" i="109" s="1"/>
  <c r="U28" i="41"/>
  <c r="X27" i="41"/>
  <c r="O18" i="22"/>
  <c r="E16" i="22"/>
  <c r="E121" i="10"/>
  <c r="H104" i="10"/>
  <c r="E104" i="10" s="1"/>
  <c r="F17" i="10"/>
  <c r="I16" i="10"/>
  <c r="D25" i="7" s="1"/>
  <c r="F89" i="10"/>
  <c r="I88" i="10"/>
  <c r="D28" i="7" s="1"/>
  <c r="H96" i="10"/>
  <c r="H88" i="10" s="1"/>
  <c r="C28" i="7" s="1"/>
  <c r="E97" i="10"/>
  <c r="J22" i="10"/>
  <c r="G22" i="10" s="1"/>
  <c r="G32" i="10"/>
  <c r="G51" i="10"/>
  <c r="J50" i="10"/>
  <c r="H105" i="10"/>
  <c r="H102" i="10"/>
  <c r="E102" i="10" s="1"/>
  <c r="E108" i="10"/>
  <c r="J26" i="8"/>
  <c r="I30" i="8"/>
  <c r="J13" i="9"/>
  <c r="J45" i="9"/>
  <c r="E21" i="7" s="1"/>
  <c r="D15" i="16"/>
  <c r="F11" i="114"/>
  <c r="I10" i="114"/>
  <c r="C43" i="7" s="1"/>
  <c r="G18" i="16"/>
  <c r="E18" i="16" s="1"/>
  <c r="E19" i="16"/>
  <c r="G18" i="114"/>
  <c r="J16" i="114"/>
  <c r="J10" i="114" s="1"/>
  <c r="D43" i="7" s="1"/>
  <c r="C14" i="20"/>
  <c r="M10" i="20" s="1"/>
  <c r="L10" i="20" s="1"/>
  <c r="C30" i="41"/>
  <c r="U30" i="41" s="1"/>
  <c r="V27" i="73"/>
  <c r="W27" i="73" s="1"/>
  <c r="I52" i="22"/>
  <c r="O53" i="22"/>
  <c r="C25" i="40"/>
  <c r="J26" i="40"/>
  <c r="H17" i="9"/>
  <c r="C17" i="7" s="1"/>
  <c r="J27" i="10"/>
  <c r="G37" i="10"/>
  <c r="H16" i="10"/>
  <c r="C25" i="7" s="1"/>
  <c r="E17" i="10"/>
  <c r="J95" i="9"/>
  <c r="F16" i="20"/>
  <c r="I52" i="9"/>
  <c r="D22" i="7" s="1"/>
  <c r="G13" i="114"/>
  <c r="H14" i="114"/>
  <c r="C109" i="11"/>
  <c r="C108" i="11" s="1"/>
  <c r="C94" i="11"/>
  <c r="C93" i="11" s="1"/>
  <c r="J54" i="70"/>
  <c r="K54" i="70" s="1"/>
  <c r="K55" i="65"/>
  <c r="H52" i="132"/>
  <c r="C20" i="10"/>
  <c r="C30" i="109"/>
  <c r="O57" i="22"/>
  <c r="V28" i="73"/>
  <c r="W28" i="73" s="1"/>
  <c r="O54" i="22"/>
  <c r="R20" i="41"/>
  <c r="R15" i="41" s="1"/>
  <c r="R10" i="41" s="1"/>
  <c r="F15" i="41"/>
  <c r="F10" i="41" s="1"/>
  <c r="P35" i="12"/>
  <c r="N45" i="12"/>
  <c r="C11" i="13" s="1"/>
  <c r="D11" i="13" s="1"/>
  <c r="C28" i="40"/>
  <c r="J29" i="40"/>
  <c r="E20" i="132"/>
  <c r="E21" i="132"/>
  <c r="J16" i="9"/>
  <c r="J61" i="8"/>
  <c r="J53" i="8"/>
  <c r="E14" i="7" s="1"/>
  <c r="E47" i="10"/>
  <c r="N63" i="109"/>
  <c r="E95" i="10"/>
  <c r="M63" i="109"/>
  <c r="K63" i="109"/>
  <c r="L63" i="109"/>
  <c r="J63" i="8" l="1"/>
  <c r="E11" i="10"/>
  <c r="D11" i="20"/>
  <c r="G10" i="20"/>
  <c r="C53" i="7" s="1"/>
  <c r="J62" i="8"/>
  <c r="J60" i="8" s="1"/>
  <c r="E15" i="7" s="1"/>
  <c r="H52" i="7"/>
  <c r="M61" i="109" s="1"/>
  <c r="M62" i="109"/>
  <c r="I75" i="8"/>
  <c r="C30" i="65"/>
  <c r="O30" i="109"/>
  <c r="I29" i="109"/>
  <c r="O52" i="22"/>
  <c r="O35" i="109"/>
  <c r="E35" i="65"/>
  <c r="K65" i="59"/>
  <c r="H66" i="59"/>
  <c r="L59" i="59"/>
  <c r="I65" i="59"/>
  <c r="J99" i="10"/>
  <c r="E29" i="7" s="1"/>
  <c r="G100" i="10"/>
  <c r="D12" i="16"/>
  <c r="H11" i="16"/>
  <c r="X10" i="41"/>
  <c r="U15" i="41"/>
  <c r="E27" i="38"/>
  <c r="I66" i="8"/>
  <c r="I63" i="8"/>
  <c r="I11" i="9"/>
  <c r="I17" i="9"/>
  <c r="D17" i="7" s="1"/>
  <c r="H18" i="132"/>
  <c r="H14" i="132" s="1"/>
  <c r="C15" i="22" s="1"/>
  <c r="O15" i="22" s="1"/>
  <c r="X27" i="73"/>
  <c r="W39" i="25"/>
  <c r="F25" i="22"/>
  <c r="R27" i="41"/>
  <c r="F48" i="41"/>
  <c r="I82" i="8"/>
  <c r="U20" i="41"/>
  <c r="J13" i="10"/>
  <c r="G13" i="10" s="1"/>
  <c r="G26" i="10"/>
  <c r="H62" i="9"/>
  <c r="H81" i="10"/>
  <c r="C27" i="7" s="1"/>
  <c r="J27" i="7" s="1"/>
  <c r="E82" i="10"/>
  <c r="J23" i="10"/>
  <c r="G23" i="10" s="1"/>
  <c r="G33" i="10"/>
  <c r="J28" i="40"/>
  <c r="C27" i="40"/>
  <c r="J27" i="40" s="1"/>
  <c r="L54" i="70"/>
  <c r="G27" i="10"/>
  <c r="J15" i="10"/>
  <c r="G15" i="10" s="1"/>
  <c r="I23" i="8"/>
  <c r="E29" i="38"/>
  <c r="J29" i="38" s="1"/>
  <c r="U27" i="41"/>
  <c r="E100" i="10"/>
  <c r="H99" i="10"/>
  <c r="C29" i="7" s="1"/>
  <c r="E11" i="16"/>
  <c r="G10" i="16"/>
  <c r="C39" i="7" s="1"/>
  <c r="I59" i="9"/>
  <c r="D23" i="7" s="1"/>
  <c r="E16" i="7"/>
  <c r="E14" i="109" s="1"/>
  <c r="E14" i="65" s="1"/>
  <c r="P14" i="70" s="1"/>
  <c r="Q14" i="70" s="1"/>
  <c r="H61" i="8"/>
  <c r="H68" i="8"/>
  <c r="O34" i="22"/>
  <c r="F39" i="39"/>
  <c r="C30" i="39"/>
  <c r="F30" i="39" s="1"/>
  <c r="I25" i="109"/>
  <c r="I25" i="65" s="1"/>
  <c r="I10" i="22"/>
  <c r="I22" i="109" s="1"/>
  <c r="I20" i="8"/>
  <c r="H13" i="10"/>
  <c r="E13" i="10" s="1"/>
  <c r="E26" i="10"/>
  <c r="C24" i="65"/>
  <c r="D24" i="70" s="1"/>
  <c r="E24" i="70" s="1"/>
  <c r="J20" i="40"/>
  <c r="C15" i="40"/>
  <c r="J20" i="7"/>
  <c r="E21" i="10"/>
  <c r="O35" i="22"/>
  <c r="C26" i="109"/>
  <c r="E42" i="7"/>
  <c r="F46" i="57"/>
  <c r="D10" i="57"/>
  <c r="F10" i="57" s="1"/>
  <c r="I20" i="10"/>
  <c r="D26" i="7" s="1"/>
  <c r="F21" i="10"/>
  <c r="J45" i="7"/>
  <c r="J59" i="9"/>
  <c r="E23" i="7" s="1"/>
  <c r="V10" i="73"/>
  <c r="W10" i="73" s="1"/>
  <c r="W14" i="73"/>
  <c r="C25" i="109"/>
  <c r="E24" i="109"/>
  <c r="E24" i="65" s="1"/>
  <c r="P24" i="70" s="1"/>
  <c r="Q24" i="70" s="1"/>
  <c r="E10" i="22"/>
  <c r="E22" i="109" s="1"/>
  <c r="E22" i="65" s="1"/>
  <c r="P22" i="70" s="1"/>
  <c r="Q22" i="70" s="1"/>
  <c r="J49" i="7"/>
  <c r="C47" i="7"/>
  <c r="H16" i="9"/>
  <c r="J10" i="9"/>
  <c r="I21" i="8"/>
  <c r="G52" i="7"/>
  <c r="L61" i="109" s="1"/>
  <c r="L62" i="109"/>
  <c r="H44" i="11"/>
  <c r="H13" i="9"/>
  <c r="H28" i="10"/>
  <c r="H14" i="10" s="1"/>
  <c r="E14" i="10" s="1"/>
  <c r="E29" i="10"/>
  <c r="D11" i="38"/>
  <c r="J17" i="38"/>
  <c r="F27" i="10"/>
  <c r="I15" i="10"/>
  <c r="F15" i="10" s="1"/>
  <c r="R25" i="70"/>
  <c r="I99" i="10"/>
  <c r="D29" i="7" s="1"/>
  <c r="F100" i="10"/>
  <c r="H27" i="8"/>
  <c r="H18" i="8"/>
  <c r="I45" i="9"/>
  <c r="D21" i="7" s="1"/>
  <c r="J21" i="7" s="1"/>
  <c r="I32" i="8"/>
  <c r="I25" i="8"/>
  <c r="I13" i="9"/>
  <c r="H14" i="20"/>
  <c r="D54" i="7" s="1"/>
  <c r="D63" i="109" s="1"/>
  <c r="D62" i="65" s="1"/>
  <c r="J61" i="70" s="1"/>
  <c r="K61" i="70" s="1"/>
  <c r="E15" i="20"/>
  <c r="H53" i="8"/>
  <c r="C14" i="7" s="1"/>
  <c r="H21" i="8"/>
  <c r="I68" i="8"/>
  <c r="I61" i="8"/>
  <c r="C42" i="7"/>
  <c r="J43" i="7"/>
  <c r="D33" i="109"/>
  <c r="I19" i="8"/>
  <c r="F10" i="16"/>
  <c r="D39" i="7" s="1"/>
  <c r="D38" i="7" s="1"/>
  <c r="R19" i="70"/>
  <c r="I13" i="10"/>
  <c r="F13" i="10" s="1"/>
  <c r="F26" i="10"/>
  <c r="E62" i="109"/>
  <c r="E61" i="65" s="1"/>
  <c r="P60" i="70" s="1"/>
  <c r="Q60" i="70" s="1"/>
  <c r="E52" i="7"/>
  <c r="E61" i="109" s="1"/>
  <c r="E60" i="65" s="1"/>
  <c r="P59" i="70" s="1"/>
  <c r="Q59" i="70" s="1"/>
  <c r="F15" i="20"/>
  <c r="I14" i="20"/>
  <c r="E54" i="7" s="1"/>
  <c r="E63" i="109" s="1"/>
  <c r="E62" i="65" s="1"/>
  <c r="P61" i="70" s="1"/>
  <c r="Q61" i="70" s="1"/>
  <c r="P45" i="12"/>
  <c r="R35" i="12"/>
  <c r="L25" i="70"/>
  <c r="H66" i="8"/>
  <c r="H23" i="8" s="1"/>
  <c r="H65" i="9"/>
  <c r="H26" i="8"/>
  <c r="I24" i="9"/>
  <c r="D18" i="7" s="1"/>
  <c r="J18" i="7" s="1"/>
  <c r="I11" i="10"/>
  <c r="I48" i="57"/>
  <c r="E25" i="47" s="1"/>
  <c r="E23" i="47" s="1"/>
  <c r="E48" i="57"/>
  <c r="C10" i="13"/>
  <c r="N55" i="12"/>
  <c r="C39" i="40"/>
  <c r="C18" i="1"/>
  <c r="J19" i="1"/>
  <c r="D30" i="70"/>
  <c r="E30" i="70" s="1"/>
  <c r="F14" i="10"/>
  <c r="F41" i="70"/>
  <c r="I31" i="9"/>
  <c r="D19" i="7" s="1"/>
  <c r="I46" i="57"/>
  <c r="E46" i="57"/>
  <c r="G10" i="57"/>
  <c r="H10" i="20"/>
  <c r="D53" i="7" s="1"/>
  <c r="E11" i="20"/>
  <c r="L50" i="70"/>
  <c r="J75" i="8"/>
  <c r="J21" i="8"/>
  <c r="I16" i="9"/>
  <c r="C12" i="22"/>
  <c r="H10" i="132"/>
  <c r="E11" i="132"/>
  <c r="X28" i="73"/>
  <c r="C24" i="40"/>
  <c r="J24" i="40" s="1"/>
  <c r="J25" i="40"/>
  <c r="I52" i="7"/>
  <c r="N61" i="109" s="1"/>
  <c r="AH41" i="25"/>
  <c r="G30" i="22"/>
  <c r="X39" i="25"/>
  <c r="C57" i="7"/>
  <c r="J58" i="7"/>
  <c r="R11" i="12"/>
  <c r="S11" i="12" s="1"/>
  <c r="T11" i="12" s="1"/>
  <c r="T31" i="12" s="1"/>
  <c r="P31" i="12"/>
  <c r="J30" i="10"/>
  <c r="F37" i="70"/>
  <c r="J82" i="8"/>
  <c r="H11" i="9"/>
  <c r="H52" i="9"/>
  <c r="C22" i="7" s="1"/>
  <c r="J22" i="7" s="1"/>
  <c r="J25" i="7"/>
  <c r="H75" i="8"/>
  <c r="P50" i="12"/>
  <c r="R47" i="12"/>
  <c r="H62" i="8"/>
  <c r="K62" i="109"/>
  <c r="F52" i="7"/>
  <c r="K61" i="109" s="1"/>
  <c r="I53" i="8"/>
  <c r="D14" i="7" s="1"/>
  <c r="J14" i="7" s="1"/>
  <c r="C13" i="22"/>
  <c r="O13" i="22" s="1"/>
  <c r="E12" i="132"/>
  <c r="G14" i="20"/>
  <c r="C54" i="7" s="1"/>
  <c r="D15" i="20"/>
  <c r="E37" i="10"/>
  <c r="H27" i="10"/>
  <c r="J30" i="8"/>
  <c r="H63" i="8"/>
  <c r="H12" i="9"/>
  <c r="C14" i="22"/>
  <c r="O14" i="22" s="1"/>
  <c r="E13" i="132"/>
  <c r="J88" i="10"/>
  <c r="E28" i="7" s="1"/>
  <c r="J28" i="7" s="1"/>
  <c r="P54" i="12"/>
  <c r="R52" i="12"/>
  <c r="J21" i="114"/>
  <c r="D44" i="7" s="1"/>
  <c r="D42" i="7" s="1"/>
  <c r="D20" i="109" s="1"/>
  <c r="D20" i="65" s="1"/>
  <c r="J20" i="70" s="1"/>
  <c r="K20" i="70" s="1"/>
  <c r="J18" i="8"/>
  <c r="K53" i="65"/>
  <c r="J52" i="70"/>
  <c r="K52" i="70" s="1"/>
  <c r="G21" i="10"/>
  <c r="J20" i="10"/>
  <c r="E26" i="7" s="1"/>
  <c r="D16" i="22"/>
  <c r="O24" i="22"/>
  <c r="H59" i="9"/>
  <c r="C23" i="7" s="1"/>
  <c r="J23" i="7" s="1"/>
  <c r="J31" i="9"/>
  <c r="E19" i="7" s="1"/>
  <c r="J19" i="7" s="1"/>
  <c r="L20" i="70" l="1"/>
  <c r="E10" i="13"/>
  <c r="Y14" i="73"/>
  <c r="Z14" i="73"/>
  <c r="X14" i="73"/>
  <c r="H20" i="8"/>
  <c r="X10" i="73"/>
  <c r="H20" i="10"/>
  <c r="C26" i="7" s="1"/>
  <c r="D16" i="7"/>
  <c r="D14" i="109" s="1"/>
  <c r="D14" i="65" s="1"/>
  <c r="J14" i="70" s="1"/>
  <c r="K14" i="70" s="1"/>
  <c r="H10" i="16"/>
  <c r="D11" i="16"/>
  <c r="F30" i="70"/>
  <c r="H19" i="8"/>
  <c r="S35" i="12"/>
  <c r="T35" i="12" s="1"/>
  <c r="T45" i="12" s="1"/>
  <c r="E11" i="13" s="1"/>
  <c r="R45" i="12"/>
  <c r="C20" i="109"/>
  <c r="J42" i="7"/>
  <c r="I10" i="9"/>
  <c r="D29" i="70"/>
  <c r="E29" i="70" s="1"/>
  <c r="K30" i="65"/>
  <c r="R14" i="70"/>
  <c r="R54" i="12"/>
  <c r="S52" i="12"/>
  <c r="T52" i="12" s="1"/>
  <c r="T54" i="12" s="1"/>
  <c r="E13" i="13" s="1"/>
  <c r="C66" i="109"/>
  <c r="J57" i="7"/>
  <c r="C11" i="22"/>
  <c r="O12" i="22"/>
  <c r="H23" i="11"/>
  <c r="J39" i="40"/>
  <c r="C30" i="40"/>
  <c r="J30" i="40" s="1"/>
  <c r="I60" i="8"/>
  <c r="D15" i="7" s="1"/>
  <c r="J44" i="7"/>
  <c r="R61" i="70"/>
  <c r="J47" i="7"/>
  <c r="C21" i="109"/>
  <c r="J29" i="7"/>
  <c r="F16" i="22"/>
  <c r="D11" i="73"/>
  <c r="O25" i="22"/>
  <c r="I59" i="59"/>
  <c r="L10" i="59"/>
  <c r="I10" i="59" s="1"/>
  <c r="H10" i="10"/>
  <c r="D10" i="13"/>
  <c r="C15" i="13"/>
  <c r="D19" i="109"/>
  <c r="D19" i="65" s="1"/>
  <c r="J19" i="70" s="1"/>
  <c r="K19" i="70" s="1"/>
  <c r="D37" i="7"/>
  <c r="D18" i="109" s="1"/>
  <c r="D18" i="65" s="1"/>
  <c r="J18" i="70" s="1"/>
  <c r="K18" i="70" s="1"/>
  <c r="D24" i="7"/>
  <c r="D15" i="109" s="1"/>
  <c r="D15" i="65" s="1"/>
  <c r="J15" i="70" s="1"/>
  <c r="K15" i="70" s="1"/>
  <c r="F24" i="70"/>
  <c r="J23" i="8"/>
  <c r="H15" i="10"/>
  <c r="E15" i="10" s="1"/>
  <c r="E27" i="10"/>
  <c r="I10" i="57"/>
  <c r="E10" i="57"/>
  <c r="S47" i="12"/>
  <c r="T47" i="12" s="1"/>
  <c r="T50" i="12" s="1"/>
  <c r="E12" i="13" s="1"/>
  <c r="R50" i="12"/>
  <c r="C63" i="109"/>
  <c r="J54" i="7"/>
  <c r="J14" i="8"/>
  <c r="H14" i="8"/>
  <c r="R22" i="70"/>
  <c r="D25" i="47"/>
  <c r="K59" i="59"/>
  <c r="H65" i="59"/>
  <c r="D32" i="109"/>
  <c r="J11" i="38"/>
  <c r="I10" i="109"/>
  <c r="I10" i="65" s="1"/>
  <c r="I22" i="65"/>
  <c r="D24" i="109"/>
  <c r="D10" i="22"/>
  <c r="G27" i="22"/>
  <c r="O30" i="22"/>
  <c r="L52" i="70"/>
  <c r="R59" i="70"/>
  <c r="R24" i="70"/>
  <c r="C16" i="7"/>
  <c r="E22" i="38"/>
  <c r="J22" i="38" s="1"/>
  <c r="E21" i="38"/>
  <c r="J27" i="38"/>
  <c r="P34" i="70"/>
  <c r="Q34" i="70" s="1"/>
  <c r="K35" i="65"/>
  <c r="D33" i="65"/>
  <c r="I14" i="8"/>
  <c r="H10" i="9"/>
  <c r="J39" i="7"/>
  <c r="C38" i="7"/>
  <c r="D62" i="109"/>
  <c r="D61" i="65" s="1"/>
  <c r="J60" i="70" s="1"/>
  <c r="K60" i="70" s="1"/>
  <c r="D52" i="7"/>
  <c r="D61" i="109" s="1"/>
  <c r="D60" i="65" s="1"/>
  <c r="J59" i="70" s="1"/>
  <c r="K59" i="70" s="1"/>
  <c r="C10" i="40"/>
  <c r="J10" i="40" s="1"/>
  <c r="J15" i="40"/>
  <c r="J27" i="8"/>
  <c r="J32" i="8"/>
  <c r="E24" i="7"/>
  <c r="E15" i="109" s="1"/>
  <c r="E15" i="65" s="1"/>
  <c r="P15" i="70" s="1"/>
  <c r="Q15" i="70" s="1"/>
  <c r="AH39" i="25"/>
  <c r="J13" i="73"/>
  <c r="E47" i="109"/>
  <c r="E47" i="65" s="1"/>
  <c r="P46" i="70" s="1"/>
  <c r="Q46" i="70" s="1"/>
  <c r="E10" i="47"/>
  <c r="E42" i="109" s="1"/>
  <c r="E42" i="65" s="1"/>
  <c r="P41" i="70" s="1"/>
  <c r="Q41" i="70" s="1"/>
  <c r="I10" i="10"/>
  <c r="F11" i="10"/>
  <c r="R60" i="70"/>
  <c r="H24" i="8"/>
  <c r="C13" i="7" s="1"/>
  <c r="E20" i="109"/>
  <c r="E20" i="65" s="1"/>
  <c r="P20" i="70" s="1"/>
  <c r="Q20" i="70" s="1"/>
  <c r="E37" i="7"/>
  <c r="E18" i="109" s="1"/>
  <c r="E18" i="65" s="1"/>
  <c r="P18" i="70" s="1"/>
  <c r="Q18" i="70" s="1"/>
  <c r="J17" i="7"/>
  <c r="J11" i="10"/>
  <c r="C54" i="109"/>
  <c r="C10" i="1"/>
  <c r="J18" i="1"/>
  <c r="I18" i="8"/>
  <c r="I24" i="8"/>
  <c r="D13" i="7" s="1"/>
  <c r="D12" i="7" s="1"/>
  <c r="H82" i="8"/>
  <c r="R31" i="12"/>
  <c r="P55" i="12"/>
  <c r="L61" i="70"/>
  <c r="H17" i="8"/>
  <c r="C25" i="65"/>
  <c r="D25" i="70" s="1"/>
  <c r="E25" i="70" s="1"/>
  <c r="O26" i="109"/>
  <c r="C26" i="65"/>
  <c r="H60" i="8"/>
  <c r="C15" i="7" s="1"/>
  <c r="J15" i="7" s="1"/>
  <c r="U10" i="41"/>
  <c r="X50" i="41"/>
  <c r="U50" i="41" s="1"/>
  <c r="J19" i="8"/>
  <c r="O29" i="109"/>
  <c r="I29" i="65"/>
  <c r="K29" i="65" s="1"/>
  <c r="J53" i="7"/>
  <c r="C52" i="7"/>
  <c r="C62" i="109"/>
  <c r="R18" i="70" l="1"/>
  <c r="D24" i="65"/>
  <c r="J24" i="70" s="1"/>
  <c r="K24" i="70" s="1"/>
  <c r="H16" i="11"/>
  <c r="F29" i="70"/>
  <c r="I17" i="8"/>
  <c r="J10" i="1"/>
  <c r="C51" i="109"/>
  <c r="J20" i="8"/>
  <c r="J24" i="8"/>
  <c r="E13" i="7" s="1"/>
  <c r="E12" i="7" s="1"/>
  <c r="J52" i="7"/>
  <c r="C61" i="109"/>
  <c r="D13" i="109"/>
  <c r="D13" i="65" s="1"/>
  <c r="J13" i="70" s="1"/>
  <c r="K13" i="70" s="1"/>
  <c r="R15" i="70"/>
  <c r="D15" i="13"/>
  <c r="C21" i="65"/>
  <c r="O21" i="109"/>
  <c r="F25" i="70"/>
  <c r="G13" i="13"/>
  <c r="I13" i="13" s="1"/>
  <c r="T55" i="12"/>
  <c r="O66" i="109"/>
  <c r="C65" i="65"/>
  <c r="E15" i="13"/>
  <c r="O11" i="22"/>
  <c r="C23" i="109"/>
  <c r="C10" i="22"/>
  <c r="J32" i="70"/>
  <c r="K32" i="70" s="1"/>
  <c r="D32" i="65"/>
  <c r="O32" i="109"/>
  <c r="L14" i="70"/>
  <c r="C54" i="65"/>
  <c r="O54" i="109"/>
  <c r="J26" i="7"/>
  <c r="C24" i="7"/>
  <c r="G11" i="10"/>
  <c r="J10" i="10"/>
  <c r="R34" i="70"/>
  <c r="O63" i="109"/>
  <c r="C62" i="65"/>
  <c r="C20" i="65"/>
  <c r="O20" i="109"/>
  <c r="H16" i="8"/>
  <c r="C56" i="7" s="1"/>
  <c r="R41" i="70"/>
  <c r="L59" i="70"/>
  <c r="H59" i="59"/>
  <c r="K10" i="59"/>
  <c r="H10" i="59" s="1"/>
  <c r="L15" i="70"/>
  <c r="R55" i="12"/>
  <c r="R46" i="70"/>
  <c r="D23" i="47"/>
  <c r="I25" i="47"/>
  <c r="L18" i="70"/>
  <c r="O62" i="109"/>
  <c r="C61" i="65"/>
  <c r="G10" i="22"/>
  <c r="G22" i="109" s="1"/>
  <c r="G25" i="109"/>
  <c r="O27" i="22"/>
  <c r="L19" i="70"/>
  <c r="D10" i="73"/>
  <c r="E10" i="73" s="1"/>
  <c r="E11" i="73"/>
  <c r="L60" i="70"/>
  <c r="E33" i="109"/>
  <c r="J21" i="38"/>
  <c r="R20" i="70"/>
  <c r="C19" i="109"/>
  <c r="J38" i="7"/>
  <c r="C37" i="7"/>
  <c r="K26" i="65"/>
  <c r="D26" i="70"/>
  <c r="E26" i="70" s="1"/>
  <c r="J13" i="7"/>
  <c r="C12" i="7"/>
  <c r="K13" i="73"/>
  <c r="J10" i="73"/>
  <c r="K10" i="73" s="1"/>
  <c r="J16" i="7"/>
  <c r="C14" i="109"/>
  <c r="C12" i="68"/>
  <c r="D22" i="109"/>
  <c r="D22" i="65" s="1"/>
  <c r="J22" i="70" s="1"/>
  <c r="K22" i="70" s="1"/>
  <c r="O16" i="22"/>
  <c r="F10" i="22"/>
  <c r="F22" i="109" s="1"/>
  <c r="F24" i="109"/>
  <c r="F24" i="65" s="1"/>
  <c r="K24" i="65" s="1"/>
  <c r="F10" i="73" l="1"/>
  <c r="L32" i="70"/>
  <c r="C15" i="109"/>
  <c r="J24" i="7"/>
  <c r="L22" i="70"/>
  <c r="O19" i="109"/>
  <c r="C19" i="65"/>
  <c r="D47" i="109"/>
  <c r="I23" i="47"/>
  <c r="D10" i="47"/>
  <c r="C22" i="109"/>
  <c r="O10" i="22"/>
  <c r="L13" i="70"/>
  <c r="G25" i="65"/>
  <c r="K25" i="65" s="1"/>
  <c r="O25" i="109"/>
  <c r="D20" i="70"/>
  <c r="E20" i="70" s="1"/>
  <c r="K20" i="65"/>
  <c r="K54" i="65"/>
  <c r="D53" i="70"/>
  <c r="E53" i="70" s="1"/>
  <c r="D61" i="70"/>
  <c r="E61" i="70" s="1"/>
  <c r="K62" i="65"/>
  <c r="K65" i="65"/>
  <c r="D64" i="70"/>
  <c r="C64" i="70" s="1"/>
  <c r="E64" i="70" s="1"/>
  <c r="K21" i="65"/>
  <c r="D21" i="70"/>
  <c r="E21" i="70" s="1"/>
  <c r="E13" i="109"/>
  <c r="E13" i="65" s="1"/>
  <c r="P13" i="70" s="1"/>
  <c r="Q13" i="70" s="1"/>
  <c r="O14" i="109"/>
  <c r="C14" i="65"/>
  <c r="L10" i="73"/>
  <c r="G22" i="65"/>
  <c r="G10" i="109"/>
  <c r="G10" i="65" s="1"/>
  <c r="J12" i="7"/>
  <c r="C13" i="109"/>
  <c r="E33" i="65"/>
  <c r="O33" i="109"/>
  <c r="D60" i="70"/>
  <c r="E60" i="70" s="1"/>
  <c r="K61" i="65"/>
  <c r="O24" i="109"/>
  <c r="O61" i="109"/>
  <c r="C60" i="65"/>
  <c r="J17" i="8"/>
  <c r="L24" i="70"/>
  <c r="L13" i="73"/>
  <c r="F26" i="70"/>
  <c r="C51" i="65"/>
  <c r="O51" i="109"/>
  <c r="C65" i="109"/>
  <c r="J56" i="7"/>
  <c r="K32" i="65"/>
  <c r="J31" i="70"/>
  <c r="K31" i="70" s="1"/>
  <c r="O23" i="109"/>
  <c r="C23" i="65"/>
  <c r="F10" i="109"/>
  <c r="F10" i="65" s="1"/>
  <c r="F22" i="65"/>
  <c r="J37" i="7"/>
  <c r="C18" i="109"/>
  <c r="G11" i="73"/>
  <c r="H11" i="73"/>
  <c r="F11" i="73"/>
  <c r="F60" i="70" l="1"/>
  <c r="F20" i="70"/>
  <c r="D14" i="70"/>
  <c r="E14" i="70" s="1"/>
  <c r="K14" i="65"/>
  <c r="O13" i="109"/>
  <c r="C13" i="65"/>
  <c r="G64" i="70"/>
  <c r="H64" i="70"/>
  <c r="F64" i="70"/>
  <c r="O15" i="109"/>
  <c r="C15" i="65"/>
  <c r="O65" i="109"/>
  <c r="C64" i="65"/>
  <c r="L31" i="70"/>
  <c r="P32" i="70"/>
  <c r="Q32" i="70" s="1"/>
  <c r="K33" i="65"/>
  <c r="H21" i="70"/>
  <c r="F21" i="70"/>
  <c r="G21" i="70"/>
  <c r="K51" i="65"/>
  <c r="D50" i="70"/>
  <c r="E50" i="70" s="1"/>
  <c r="C22" i="65"/>
  <c r="O22" i="109"/>
  <c r="F61" i="70"/>
  <c r="C14" i="68"/>
  <c r="D42" i="109"/>
  <c r="I10" i="47"/>
  <c r="R13" i="70"/>
  <c r="C18" i="65"/>
  <c r="O18" i="109"/>
  <c r="K60" i="65"/>
  <c r="D59" i="70"/>
  <c r="E59" i="70" s="1"/>
  <c r="F53" i="70"/>
  <c r="K23" i="65"/>
  <c r="D23" i="70"/>
  <c r="E23" i="70" s="1"/>
  <c r="D47" i="65"/>
  <c r="O47" i="109"/>
  <c r="K19" i="65"/>
  <c r="D19" i="70"/>
  <c r="E19" i="70" s="1"/>
  <c r="F19" i="70" l="1"/>
  <c r="J46" i="70"/>
  <c r="K46" i="70" s="1"/>
  <c r="K47" i="65"/>
  <c r="D13" i="70"/>
  <c r="E13" i="70" s="1"/>
  <c r="K13" i="65"/>
  <c r="R32" i="70"/>
  <c r="F14" i="70"/>
  <c r="F59" i="70"/>
  <c r="F23" i="70"/>
  <c r="D42" i="65"/>
  <c r="O42" i="109"/>
  <c r="D63" i="70"/>
  <c r="E63" i="70" s="1"/>
  <c r="K64" i="65"/>
  <c r="K22" i="65"/>
  <c r="D22" i="70"/>
  <c r="E22" i="70" s="1"/>
  <c r="K18" i="65"/>
  <c r="D18" i="70"/>
  <c r="E18" i="70" s="1"/>
  <c r="F50" i="70"/>
  <c r="K15" i="65"/>
  <c r="D15" i="70"/>
  <c r="E15" i="70" s="1"/>
  <c r="J41" i="70" l="1"/>
  <c r="K41" i="70" s="1"/>
  <c r="K42" i="65"/>
  <c r="F15" i="70"/>
  <c r="F13" i="70"/>
  <c r="L46" i="70"/>
  <c r="F63" i="70"/>
  <c r="F18" i="70"/>
  <c r="F22" i="70"/>
  <c r="G16" i="45"/>
  <c r="G17" i="45"/>
  <c r="H12" i="45"/>
  <c r="G12" i="45"/>
  <c r="G19" i="45"/>
  <c r="H29" i="45"/>
  <c r="G13" i="45"/>
  <c r="H26" i="45"/>
  <c r="H19" i="45"/>
  <c r="H17" i="45"/>
  <c r="H18" i="45"/>
  <c r="H16" i="45"/>
  <c r="G18" i="45"/>
  <c r="G26" i="45"/>
  <c r="G29" i="45"/>
  <c r="H13" i="45"/>
  <c r="G10" i="42" l="1"/>
  <c r="D32" i="38"/>
  <c r="F11" i="42"/>
  <c r="J10" i="45"/>
  <c r="H11" i="45"/>
  <c r="I21" i="45"/>
  <c r="G22" i="45"/>
  <c r="I10" i="45"/>
  <c r="G11" i="45"/>
  <c r="J21" i="45"/>
  <c r="H22" i="45"/>
  <c r="I27" i="45"/>
  <c r="G27" i="45" s="1"/>
  <c r="G28" i="45"/>
  <c r="J27" i="45"/>
  <c r="H27" i="45" s="1"/>
  <c r="H28" i="45"/>
  <c r="I14" i="45"/>
  <c r="G14" i="45" s="1"/>
  <c r="G15" i="45"/>
  <c r="J14" i="45"/>
  <c r="H14" i="45" s="1"/>
  <c r="H15" i="45"/>
  <c r="L41" i="70"/>
  <c r="C41" i="11"/>
  <c r="G77" i="8" l="1"/>
  <c r="F77" i="8"/>
  <c r="E77" i="8"/>
  <c r="C63" i="8"/>
  <c r="G71" i="8"/>
  <c r="E71" i="8"/>
  <c r="F71" i="8"/>
  <c r="E56" i="8"/>
  <c r="G56" i="8"/>
  <c r="F56" i="8"/>
  <c r="G10" i="45"/>
  <c r="G78" i="8"/>
  <c r="E78" i="8"/>
  <c r="F78" i="8"/>
  <c r="C66" i="8"/>
  <c r="G88" i="8"/>
  <c r="E88" i="8"/>
  <c r="F88" i="8"/>
  <c r="C25" i="8"/>
  <c r="C32" i="8"/>
  <c r="G33" i="8"/>
  <c r="E33" i="8"/>
  <c r="F33" i="8"/>
  <c r="J20" i="45"/>
  <c r="H20" i="45" s="1"/>
  <c r="H21" i="45"/>
  <c r="C62" i="8"/>
  <c r="F70" i="8"/>
  <c r="G70" i="8"/>
  <c r="E70" i="8"/>
  <c r="C27" i="8"/>
  <c r="F35" i="8"/>
  <c r="E35" i="8"/>
  <c r="G35" i="8"/>
  <c r="I20" i="45"/>
  <c r="G20" i="45" s="1"/>
  <c r="G21" i="45"/>
  <c r="F83" i="8"/>
  <c r="E83" i="8"/>
  <c r="G83" i="8"/>
  <c r="C82" i="8"/>
  <c r="F85" i="8"/>
  <c r="G85" i="8"/>
  <c r="E85" i="8"/>
  <c r="C53" i="8"/>
  <c r="G54" i="8"/>
  <c r="E54" i="8"/>
  <c r="F54" i="8"/>
  <c r="E44" i="38"/>
  <c r="H10" i="45"/>
  <c r="C21" i="8"/>
  <c r="F57" i="8"/>
  <c r="E57" i="8"/>
  <c r="G57" i="8"/>
  <c r="C61" i="8"/>
  <c r="C68" i="8"/>
  <c r="G69" i="8"/>
  <c r="E69" i="8"/>
  <c r="F69" i="8"/>
  <c r="E84" i="8"/>
  <c r="F84" i="8"/>
  <c r="G84" i="8"/>
  <c r="C75" i="8"/>
  <c r="G76" i="8"/>
  <c r="E76" i="8"/>
  <c r="F76" i="8"/>
  <c r="D34" i="109"/>
  <c r="J32" i="38"/>
  <c r="C26" i="8"/>
  <c r="F34" i="8"/>
  <c r="G34" i="8"/>
  <c r="E34" i="8"/>
  <c r="C30" i="8"/>
  <c r="F38" i="8"/>
  <c r="E38" i="8"/>
  <c r="G38" i="8"/>
  <c r="C19" i="11"/>
  <c r="C12" i="11" s="1"/>
  <c r="C20" i="11"/>
  <c r="C13" i="11" s="1"/>
  <c r="C62" i="11"/>
  <c r="C40" i="11"/>
  <c r="G58" i="11"/>
  <c r="F58" i="11"/>
  <c r="H41" i="11" l="1"/>
  <c r="E41" i="11" s="1"/>
  <c r="E49" i="11"/>
  <c r="E37" i="109"/>
  <c r="E37" i="65" s="1"/>
  <c r="P36" i="70" s="1"/>
  <c r="Q36" i="70" s="1"/>
  <c r="E10" i="38"/>
  <c r="E31" i="109" s="1"/>
  <c r="E31" i="65" s="1"/>
  <c r="P30" i="70" s="1"/>
  <c r="Q30" i="70" s="1"/>
  <c r="H19" i="11"/>
  <c r="E27" i="11"/>
  <c r="G31" i="11"/>
  <c r="J23" i="11"/>
  <c r="C23" i="11"/>
  <c r="E31" i="11"/>
  <c r="D44" i="38"/>
  <c r="I99" i="11"/>
  <c r="F99" i="11" s="1"/>
  <c r="F114" i="11"/>
  <c r="H53" i="11"/>
  <c r="E54" i="11"/>
  <c r="I41" i="11"/>
  <c r="F41" i="11" s="1"/>
  <c r="F49" i="11"/>
  <c r="J20" i="11"/>
  <c r="G28" i="11"/>
  <c r="C19" i="8"/>
  <c r="G26" i="8"/>
  <c r="F26" i="8"/>
  <c r="E26" i="8"/>
  <c r="I44" i="11"/>
  <c r="F52" i="11"/>
  <c r="E47" i="11"/>
  <c r="H39" i="11"/>
  <c r="H46" i="11"/>
  <c r="E110" i="11"/>
  <c r="H94" i="11"/>
  <c r="H109" i="11"/>
  <c r="H108" i="11" s="1"/>
  <c r="C36" i="7" s="1"/>
  <c r="J41" i="11"/>
  <c r="G41" i="11" s="1"/>
  <c r="G49" i="11"/>
  <c r="I20" i="11"/>
  <c r="F28" i="11"/>
  <c r="C18" i="8"/>
  <c r="C24" i="8"/>
  <c r="G25" i="8"/>
  <c r="E25" i="8"/>
  <c r="F25" i="8"/>
  <c r="F27" i="11"/>
  <c r="I19" i="11"/>
  <c r="G67" i="11"/>
  <c r="J60" i="11"/>
  <c r="J66" i="11"/>
  <c r="I60" i="11"/>
  <c r="F67" i="11"/>
  <c r="I66" i="11"/>
  <c r="J94" i="11"/>
  <c r="G110" i="11"/>
  <c r="J109" i="11"/>
  <c r="J108" i="11" s="1"/>
  <c r="E36" i="7" s="1"/>
  <c r="E34" i="7" s="1"/>
  <c r="E17" i="109" s="1"/>
  <c r="E17" i="65" s="1"/>
  <c r="P17" i="70" s="1"/>
  <c r="Q17" i="70" s="1"/>
  <c r="F69" i="11"/>
  <c r="I62" i="11"/>
  <c r="F62" i="11" s="1"/>
  <c r="F27" i="8"/>
  <c r="E27" i="8"/>
  <c r="G27" i="8"/>
  <c r="I53" i="11"/>
  <c r="F54" i="11"/>
  <c r="G47" i="11"/>
  <c r="J46" i="11"/>
  <c r="J39" i="11"/>
  <c r="H18" i="11"/>
  <c r="H25" i="11"/>
  <c r="E26" i="11"/>
  <c r="J99" i="11"/>
  <c r="G99" i="11" s="1"/>
  <c r="G114" i="11"/>
  <c r="C46" i="11"/>
  <c r="C39" i="11"/>
  <c r="D34" i="65"/>
  <c r="O34" i="109"/>
  <c r="C60" i="8"/>
  <c r="G61" i="8"/>
  <c r="E61" i="8"/>
  <c r="F61" i="8"/>
  <c r="F48" i="11"/>
  <c r="I40" i="11"/>
  <c r="F40" i="11" s="1"/>
  <c r="J19" i="11"/>
  <c r="G27" i="11"/>
  <c r="F47" i="11"/>
  <c r="I39" i="11"/>
  <c r="I46" i="11"/>
  <c r="G52" i="11"/>
  <c r="J44" i="11"/>
  <c r="G54" i="11"/>
  <c r="J53" i="11"/>
  <c r="E67" i="11"/>
  <c r="H60" i="11"/>
  <c r="H66" i="11"/>
  <c r="C60" i="11"/>
  <c r="C59" i="11" s="1"/>
  <c r="C66" i="11"/>
  <c r="G66" i="8"/>
  <c r="F66" i="8"/>
  <c r="E66" i="8"/>
  <c r="C20" i="8"/>
  <c r="F63" i="8"/>
  <c r="E63" i="8"/>
  <c r="G63" i="8"/>
  <c r="I23" i="11"/>
  <c r="F31" i="11"/>
  <c r="C44" i="11"/>
  <c r="E44" i="11" s="1"/>
  <c r="E52" i="11"/>
  <c r="F62" i="8"/>
  <c r="E62" i="8"/>
  <c r="G62" i="8"/>
  <c r="E69" i="11"/>
  <c r="H62" i="11"/>
  <c r="E62" i="11" s="1"/>
  <c r="H20" i="11"/>
  <c r="E28" i="11"/>
  <c r="E48" i="11"/>
  <c r="H40" i="11"/>
  <c r="E40" i="11" s="1"/>
  <c r="C25" i="11"/>
  <c r="C18" i="11"/>
  <c r="C14" i="8"/>
  <c r="F21" i="8"/>
  <c r="G21" i="8"/>
  <c r="E21" i="8"/>
  <c r="F110" i="11"/>
  <c r="I94" i="11"/>
  <c r="I109" i="11"/>
  <c r="I108" i="11" s="1"/>
  <c r="D36" i="7" s="1"/>
  <c r="D34" i="7" s="1"/>
  <c r="D17" i="109" s="1"/>
  <c r="D17" i="65" s="1"/>
  <c r="J17" i="70" s="1"/>
  <c r="K17" i="70" s="1"/>
  <c r="J25" i="11"/>
  <c r="G26" i="11"/>
  <c r="J18" i="11"/>
  <c r="I25" i="11"/>
  <c r="F26" i="11"/>
  <c r="I18" i="11"/>
  <c r="J40" i="11"/>
  <c r="G40" i="11" s="1"/>
  <c r="G48" i="11"/>
  <c r="J62" i="11"/>
  <c r="G62" i="11" s="1"/>
  <c r="G69" i="11"/>
  <c r="C23" i="8"/>
  <c r="F30" i="8"/>
  <c r="E30" i="8"/>
  <c r="G30" i="8"/>
  <c r="H20" i="47"/>
  <c r="M46" i="109" s="1"/>
  <c r="M27" i="22"/>
  <c r="M25" i="109" s="1"/>
  <c r="F20" i="47"/>
  <c r="K46" i="109" s="1"/>
  <c r="G17" i="47"/>
  <c r="L45" i="109" s="1"/>
  <c r="G20" i="47"/>
  <c r="L46" i="109" s="1"/>
  <c r="H14" i="47"/>
  <c r="M44" i="109" s="1"/>
  <c r="M16" i="22"/>
  <c r="F14" i="47"/>
  <c r="K44" i="109" s="1"/>
  <c r="F34" i="7"/>
  <c r="K17" i="109" s="1"/>
  <c r="M35" i="22"/>
  <c r="M26" i="109" s="1"/>
  <c r="G34" i="7"/>
  <c r="L17" i="109" s="1"/>
  <c r="H23" i="47"/>
  <c r="M47" i="109" s="1"/>
  <c r="F30" i="7"/>
  <c r="K16" i="109" s="1"/>
  <c r="H11" i="1"/>
  <c r="H11" i="47"/>
  <c r="G30" i="7"/>
  <c r="L16" i="109" s="1"/>
  <c r="F23" i="47"/>
  <c r="K47" i="109" s="1"/>
  <c r="G14" i="47"/>
  <c r="L44" i="109" s="1"/>
  <c r="K27" i="22"/>
  <c r="I30" i="7"/>
  <c r="N16" i="109" s="1"/>
  <c r="I34" i="7"/>
  <c r="N17" i="109" s="1"/>
  <c r="I12" i="7"/>
  <c r="G23" i="47"/>
  <c r="L47" i="109" s="1"/>
  <c r="M57" i="22"/>
  <c r="M30" i="109" s="1"/>
  <c r="L27" i="22"/>
  <c r="H30" i="7"/>
  <c r="M16" i="109" s="1"/>
  <c r="H34" i="7"/>
  <c r="M17" i="109" s="1"/>
  <c r="H12" i="7"/>
  <c r="F20" i="8" l="1"/>
  <c r="E20" i="8"/>
  <c r="G20" i="8"/>
  <c r="F60" i="11"/>
  <c r="I59" i="11"/>
  <c r="D33" i="7" s="1"/>
  <c r="F17" i="47"/>
  <c r="K45" i="109" s="1"/>
  <c r="N13" i="109"/>
  <c r="F12" i="7"/>
  <c r="L37" i="109"/>
  <c r="G10" i="38"/>
  <c r="N27" i="22"/>
  <c r="C17" i="8"/>
  <c r="E18" i="8"/>
  <c r="G18" i="8"/>
  <c r="F18" i="8"/>
  <c r="F44" i="11"/>
  <c r="F16" i="7"/>
  <c r="K14" i="109" s="1"/>
  <c r="M13" i="109"/>
  <c r="H11" i="7"/>
  <c r="H24" i="7"/>
  <c r="M15" i="109" s="1"/>
  <c r="L17" i="70"/>
  <c r="E20" i="11"/>
  <c r="H13" i="11"/>
  <c r="G44" i="11"/>
  <c r="D37" i="109"/>
  <c r="J44" i="38"/>
  <c r="D10" i="38"/>
  <c r="G42" i="7"/>
  <c r="J33" i="70"/>
  <c r="K33" i="70" s="1"/>
  <c r="K34" i="65"/>
  <c r="C16" i="11"/>
  <c r="E16" i="11" s="1"/>
  <c r="E23" i="11"/>
  <c r="H42" i="7"/>
  <c r="K37" i="109"/>
  <c r="F10" i="38"/>
  <c r="I38" i="11"/>
  <c r="D32" i="7" s="1"/>
  <c r="F39" i="11"/>
  <c r="C38" i="11"/>
  <c r="J59" i="11"/>
  <c r="E33" i="7" s="1"/>
  <c r="G60" i="11"/>
  <c r="F19" i="8"/>
  <c r="E19" i="8"/>
  <c r="G19" i="8"/>
  <c r="J16" i="11"/>
  <c r="G23" i="11"/>
  <c r="F20" i="11"/>
  <c r="I13" i="11"/>
  <c r="M37" i="109"/>
  <c r="H10" i="38"/>
  <c r="C34" i="7"/>
  <c r="J36" i="7"/>
  <c r="I24" i="7"/>
  <c r="N15" i="109" s="1"/>
  <c r="F24" i="7"/>
  <c r="K15" i="109" s="1"/>
  <c r="G11" i="47"/>
  <c r="I12" i="11"/>
  <c r="F19" i="11"/>
  <c r="H93" i="11"/>
  <c r="E94" i="11"/>
  <c r="J13" i="11"/>
  <c r="G20" i="11"/>
  <c r="H16" i="7"/>
  <c r="M14" i="109" s="1"/>
  <c r="H17" i="47"/>
  <c r="M45" i="109" s="1"/>
  <c r="F11" i="47"/>
  <c r="I11" i="11"/>
  <c r="I17" i="11"/>
  <c r="D31" i="7" s="1"/>
  <c r="D30" i="7" s="1"/>
  <c r="F18" i="11"/>
  <c r="F13" i="13"/>
  <c r="H13" i="13" s="1"/>
  <c r="F14" i="8"/>
  <c r="E14" i="8"/>
  <c r="G14" i="8"/>
  <c r="J12" i="11"/>
  <c r="G19" i="11"/>
  <c r="E19" i="11"/>
  <c r="H12" i="11"/>
  <c r="E23" i="8"/>
  <c r="F23" i="8"/>
  <c r="G23" i="8"/>
  <c r="F94" i="11"/>
  <c r="I93" i="11"/>
  <c r="L25" i="109"/>
  <c r="L10" i="22"/>
  <c r="F42" i="7"/>
  <c r="G12" i="7"/>
  <c r="I16" i="7"/>
  <c r="N14" i="109" s="1"/>
  <c r="C11" i="11"/>
  <c r="C17" i="11"/>
  <c r="R30" i="70"/>
  <c r="H59" i="11"/>
  <c r="C33" i="7" s="1"/>
  <c r="J33" i="7" s="1"/>
  <c r="E60" i="11"/>
  <c r="R17" i="70"/>
  <c r="E39" i="11"/>
  <c r="H38" i="11"/>
  <c r="C32" i="7" s="1"/>
  <c r="R36" i="70"/>
  <c r="H21" i="1"/>
  <c r="M55" i="109" s="1"/>
  <c r="G16" i="7"/>
  <c r="L14" i="109" s="1"/>
  <c r="G18" i="11"/>
  <c r="J17" i="11"/>
  <c r="E31" i="7" s="1"/>
  <c r="J11" i="11"/>
  <c r="I16" i="11"/>
  <c r="F23" i="11"/>
  <c r="H17" i="11"/>
  <c r="C31" i="7" s="1"/>
  <c r="E18" i="11"/>
  <c r="H11" i="11"/>
  <c r="K25" i="109"/>
  <c r="K10" i="22"/>
  <c r="H10" i="47"/>
  <c r="M43" i="109"/>
  <c r="M52" i="109"/>
  <c r="G24" i="7"/>
  <c r="L15" i="109" s="1"/>
  <c r="M24" i="109"/>
  <c r="M10" i="22"/>
  <c r="G39" i="11"/>
  <c r="J38" i="11"/>
  <c r="E32" i="7" s="1"/>
  <c r="G94" i="11"/>
  <c r="J93" i="11"/>
  <c r="F121" i="9" l="1"/>
  <c r="E121" i="9"/>
  <c r="G121" i="9"/>
  <c r="G54" i="9"/>
  <c r="F54" i="9"/>
  <c r="E54" i="9"/>
  <c r="C61" i="9"/>
  <c r="F69" i="9"/>
  <c r="E69" i="9"/>
  <c r="G69" i="9"/>
  <c r="C38" i="9"/>
  <c r="F39" i="9"/>
  <c r="G39" i="9"/>
  <c r="E39" i="9"/>
  <c r="L43" i="109"/>
  <c r="G10" i="47"/>
  <c r="L31" i="109"/>
  <c r="D13" i="68"/>
  <c r="G83" i="9"/>
  <c r="E83" i="9"/>
  <c r="F83" i="9"/>
  <c r="C95" i="9"/>
  <c r="G96" i="9"/>
  <c r="F96" i="9"/>
  <c r="E96" i="9"/>
  <c r="C17" i="9"/>
  <c r="C11" i="9"/>
  <c r="G18" i="9"/>
  <c r="E18" i="9"/>
  <c r="F18" i="9"/>
  <c r="C45" i="9"/>
  <c r="G46" i="9"/>
  <c r="E46" i="9"/>
  <c r="F46" i="9"/>
  <c r="F37" i="9"/>
  <c r="G37" i="9"/>
  <c r="E37" i="9"/>
  <c r="E14" i="68"/>
  <c r="M42" i="109"/>
  <c r="D16" i="109"/>
  <c r="D16" i="65" s="1"/>
  <c r="J16" i="70" s="1"/>
  <c r="K16" i="70" s="1"/>
  <c r="D11" i="7"/>
  <c r="G37" i="7"/>
  <c r="L18" i="109" s="1"/>
  <c r="L20" i="109"/>
  <c r="I11" i="7"/>
  <c r="C13" i="9"/>
  <c r="E20" i="9"/>
  <c r="G20" i="9"/>
  <c r="F20" i="9"/>
  <c r="E48" i="9"/>
  <c r="G48" i="9"/>
  <c r="F48" i="9"/>
  <c r="E41" i="9"/>
  <c r="G41" i="9"/>
  <c r="F41" i="9"/>
  <c r="H10" i="11"/>
  <c r="E11" i="11"/>
  <c r="H11" i="8"/>
  <c r="C10" i="11"/>
  <c r="E12" i="11"/>
  <c r="H12" i="8"/>
  <c r="J34" i="7"/>
  <c r="C17" i="109"/>
  <c r="D31" i="109"/>
  <c r="C13" i="68"/>
  <c r="J10" i="38"/>
  <c r="J32" i="7"/>
  <c r="M31" i="109"/>
  <c r="E13" i="68"/>
  <c r="E40" i="9"/>
  <c r="G40" i="9"/>
  <c r="F40" i="9"/>
  <c r="O37" i="109"/>
  <c r="D37" i="65"/>
  <c r="C24" i="9"/>
  <c r="F25" i="9"/>
  <c r="G25" i="9"/>
  <c r="E25" i="9"/>
  <c r="F84" i="9"/>
  <c r="E84" i="9"/>
  <c r="G84" i="9"/>
  <c r="C12" i="9"/>
  <c r="G19" i="9"/>
  <c r="F19" i="9"/>
  <c r="E19" i="9"/>
  <c r="K20" i="109"/>
  <c r="F37" i="7"/>
  <c r="K18" i="109" s="1"/>
  <c r="G12" i="11"/>
  <c r="J12" i="8"/>
  <c r="G13" i="11"/>
  <c r="J13" i="8"/>
  <c r="F13" i="11"/>
  <c r="I13" i="8"/>
  <c r="F16" i="11"/>
  <c r="I16" i="8"/>
  <c r="L22" i="109"/>
  <c r="D12" i="68"/>
  <c r="K31" i="109"/>
  <c r="F13" i="68"/>
  <c r="E13" i="11"/>
  <c r="H13" i="8"/>
  <c r="K22" i="109"/>
  <c r="F12" i="68"/>
  <c r="L33" i="70"/>
  <c r="E27" i="9"/>
  <c r="G27" i="9"/>
  <c r="F27" i="9"/>
  <c r="G125" i="9"/>
  <c r="F125" i="9"/>
  <c r="E125" i="9"/>
  <c r="C65" i="9"/>
  <c r="G73" i="9"/>
  <c r="F73" i="9"/>
  <c r="E73" i="9"/>
  <c r="C62" i="9"/>
  <c r="G70" i="9"/>
  <c r="F70" i="9"/>
  <c r="E70" i="9"/>
  <c r="E47" i="9"/>
  <c r="G47" i="9"/>
  <c r="F47" i="9"/>
  <c r="G55" i="9"/>
  <c r="E55" i="9"/>
  <c r="F55" i="9"/>
  <c r="F26" i="9"/>
  <c r="E26" i="9"/>
  <c r="G26" i="9"/>
  <c r="G51" i="9"/>
  <c r="F51" i="9"/>
  <c r="E51" i="9"/>
  <c r="G11" i="11"/>
  <c r="J10" i="11"/>
  <c r="J11" i="8"/>
  <c r="K13" i="109"/>
  <c r="F11" i="7"/>
  <c r="F98" i="9"/>
  <c r="G98" i="9"/>
  <c r="E98" i="9"/>
  <c r="K43" i="109"/>
  <c r="F10" i="47"/>
  <c r="C31" i="9"/>
  <c r="E32" i="9"/>
  <c r="G32" i="9"/>
  <c r="F32" i="9"/>
  <c r="L13" i="109"/>
  <c r="G11" i="7"/>
  <c r="C119" i="9"/>
  <c r="C118" i="9" s="1"/>
  <c r="F120" i="9"/>
  <c r="E120" i="9"/>
  <c r="G120" i="9"/>
  <c r="E44" i="9"/>
  <c r="F44" i="9"/>
  <c r="G44" i="9"/>
  <c r="M22" i="109"/>
  <c r="E12" i="68"/>
  <c r="G87" i="9"/>
  <c r="F87" i="9"/>
  <c r="E87" i="9"/>
  <c r="E34" i="9"/>
  <c r="F34" i="9"/>
  <c r="G34" i="9"/>
  <c r="F101" i="9"/>
  <c r="E101" i="9"/>
  <c r="G101" i="9"/>
  <c r="E105" i="9"/>
  <c r="G105" i="9"/>
  <c r="F105" i="9"/>
  <c r="G30" i="9"/>
  <c r="E30" i="9"/>
  <c r="F30" i="9"/>
  <c r="G104" i="9"/>
  <c r="F104" i="9"/>
  <c r="E104" i="9"/>
  <c r="E122" i="9"/>
  <c r="G122" i="9"/>
  <c r="F122" i="9"/>
  <c r="E30" i="7"/>
  <c r="G16" i="11"/>
  <c r="J16" i="8"/>
  <c r="H37" i="7"/>
  <c r="M18" i="109" s="1"/>
  <c r="M20" i="109"/>
  <c r="C102" i="9"/>
  <c r="E103" i="9"/>
  <c r="F103" i="9"/>
  <c r="G103" i="9"/>
  <c r="I10" i="11"/>
  <c r="F11" i="11"/>
  <c r="I11" i="8"/>
  <c r="H10" i="7"/>
  <c r="M12" i="109"/>
  <c r="C52" i="9"/>
  <c r="F53" i="9"/>
  <c r="G53" i="9"/>
  <c r="E53" i="9"/>
  <c r="C81" i="9"/>
  <c r="F82" i="9"/>
  <c r="G82" i="9"/>
  <c r="E82" i="9"/>
  <c r="J31" i="7"/>
  <c r="C30" i="7"/>
  <c r="C60" i="9"/>
  <c r="C67" i="9"/>
  <c r="E68" i="9"/>
  <c r="F68" i="9"/>
  <c r="G68" i="9"/>
  <c r="E33" i="9"/>
  <c r="G33" i="9"/>
  <c r="F33" i="9"/>
  <c r="C16" i="9"/>
  <c r="G23" i="9"/>
  <c r="F23" i="9"/>
  <c r="E23" i="9"/>
  <c r="F58" i="9"/>
  <c r="G58" i="9"/>
  <c r="E58" i="9"/>
  <c r="H10" i="1"/>
  <c r="F12" i="11"/>
  <c r="I12" i="8"/>
  <c r="N10" i="22"/>
  <c r="N22" i="109" s="1"/>
  <c r="N25" i="109"/>
  <c r="C59" i="9" l="1"/>
  <c r="G60" i="9"/>
  <c r="E60" i="9"/>
  <c r="F60" i="9"/>
  <c r="G11" i="13"/>
  <c r="I11" i="13" s="1"/>
  <c r="H10" i="8"/>
  <c r="G10" i="13"/>
  <c r="G62" i="9"/>
  <c r="F62" i="9"/>
  <c r="E62" i="9"/>
  <c r="N12" i="109"/>
  <c r="I10" i="7"/>
  <c r="N11" i="109" s="1"/>
  <c r="N10" i="109" s="1"/>
  <c r="E16" i="109"/>
  <c r="E16" i="65" s="1"/>
  <c r="P16" i="70" s="1"/>
  <c r="Q16" i="70" s="1"/>
  <c r="E11" i="7"/>
  <c r="G12" i="9"/>
  <c r="F12" i="9"/>
  <c r="E12" i="9"/>
  <c r="C12" i="8"/>
  <c r="F11" i="13" s="1"/>
  <c r="H11" i="13" s="1"/>
  <c r="G13" i="9"/>
  <c r="F13" i="9"/>
  <c r="E13" i="9"/>
  <c r="C13" i="8"/>
  <c r="F12" i="13" s="1"/>
  <c r="H12" i="13" s="1"/>
  <c r="G61" i="9"/>
  <c r="F61" i="9"/>
  <c r="E61" i="9"/>
  <c r="C16" i="109"/>
  <c r="J30" i="7"/>
  <c r="C11" i="7"/>
  <c r="I10" i="8"/>
  <c r="F11" i="8"/>
  <c r="G16" i="9"/>
  <c r="F16" i="9"/>
  <c r="E16" i="9"/>
  <c r="C16" i="8"/>
  <c r="E16" i="8" s="1"/>
  <c r="G13" i="8"/>
  <c r="D10" i="7"/>
  <c r="D12" i="109"/>
  <c r="D12" i="65" s="1"/>
  <c r="J12" i="70" s="1"/>
  <c r="K12" i="70" s="1"/>
  <c r="E11" i="68"/>
  <c r="E10" i="68" s="1"/>
  <c r="M11" i="109"/>
  <c r="K42" i="109"/>
  <c r="F14" i="68"/>
  <c r="F10" i="7"/>
  <c r="K12" i="109"/>
  <c r="F65" i="9"/>
  <c r="G65" i="9"/>
  <c r="E65" i="9"/>
  <c r="E13" i="8"/>
  <c r="G12" i="13"/>
  <c r="I12" i="13" s="1"/>
  <c r="G12" i="8"/>
  <c r="L16" i="70"/>
  <c r="L42" i="109"/>
  <c r="D14" i="68"/>
  <c r="D31" i="65"/>
  <c r="O31" i="109"/>
  <c r="C10" i="9"/>
  <c r="G11" i="9"/>
  <c r="E11" i="9"/>
  <c r="F11" i="9"/>
  <c r="C11" i="8"/>
  <c r="E11" i="8" s="1"/>
  <c r="F16" i="8"/>
  <c r="F12" i="8"/>
  <c r="G10" i="7"/>
  <c r="L12" i="109"/>
  <c r="C17" i="65"/>
  <c r="O17" i="109"/>
  <c r="J10" i="8"/>
  <c r="E15" i="68"/>
  <c r="M51" i="109"/>
  <c r="K37" i="65"/>
  <c r="J36" i="70"/>
  <c r="K36" i="70" s="1"/>
  <c r="J30" i="70" l="1"/>
  <c r="K30" i="70" s="1"/>
  <c r="K31" i="65"/>
  <c r="K11" i="109"/>
  <c r="K10" i="109" s="1"/>
  <c r="F11" i="68"/>
  <c r="F10" i="68" s="1"/>
  <c r="G15" i="13"/>
  <c r="I15" i="13" s="1"/>
  <c r="I10" i="13"/>
  <c r="C12" i="109"/>
  <c r="C10" i="7"/>
  <c r="J11" i="7"/>
  <c r="M10" i="109"/>
  <c r="G16" i="8"/>
  <c r="O16" i="109"/>
  <c r="C16" i="65"/>
  <c r="E12" i="109"/>
  <c r="E12" i="65" s="1"/>
  <c r="P12" i="70" s="1"/>
  <c r="Q12" i="70" s="1"/>
  <c r="E10" i="7"/>
  <c r="E11" i="109" s="1"/>
  <c r="E12" i="8"/>
  <c r="L12" i="70"/>
  <c r="R16" i="70"/>
  <c r="L36" i="70"/>
  <c r="C11" i="68"/>
  <c r="C10" i="68" s="1"/>
  <c r="D11" i="109"/>
  <c r="D17" i="70"/>
  <c r="E17" i="70" s="1"/>
  <c r="K17" i="65"/>
  <c r="C10" i="8"/>
  <c r="F10" i="13"/>
  <c r="L11" i="109"/>
  <c r="L10" i="109" s="1"/>
  <c r="D11" i="68"/>
  <c r="D10" i="68" s="1"/>
  <c r="F13" i="8"/>
  <c r="G11" i="8"/>
  <c r="C11" i="109" l="1"/>
  <c r="J10" i="7"/>
  <c r="F15" i="13"/>
  <c r="H15" i="13" s="1"/>
  <c r="H10" i="13"/>
  <c r="O12" i="109"/>
  <c r="C12" i="65"/>
  <c r="F17" i="70"/>
  <c r="E11" i="65"/>
  <c r="P11" i="70" s="1"/>
  <c r="E10" i="109"/>
  <c r="E10" i="65" s="1"/>
  <c r="D10" i="109"/>
  <c r="D10" i="65" s="1"/>
  <c r="D11" i="65"/>
  <c r="J11" i="70" s="1"/>
  <c r="R12" i="70"/>
  <c r="D16" i="70"/>
  <c r="E16" i="70" s="1"/>
  <c r="K16" i="65"/>
  <c r="L30" i="70"/>
  <c r="Q11" i="70" l="1"/>
  <c r="P10" i="70"/>
  <c r="Q10" i="70" s="1"/>
  <c r="D12" i="70"/>
  <c r="E12" i="70" s="1"/>
  <c r="K12" i="65"/>
  <c r="F16" i="70"/>
  <c r="J10" i="70"/>
  <c r="K10" i="70" s="1"/>
  <c r="K11" i="70"/>
  <c r="C11" i="65"/>
  <c r="O11" i="109"/>
  <c r="C10" i="109"/>
  <c r="C10" i="65" l="1"/>
  <c r="K10" i="65" s="1"/>
  <c r="O10" i="109"/>
  <c r="L10" i="70"/>
  <c r="F12" i="70"/>
  <c r="D11" i="70"/>
  <c r="K11" i="65"/>
  <c r="L11" i="70"/>
  <c r="R10" i="70"/>
  <c r="R11" i="70"/>
  <c r="E11" i="70" l="1"/>
  <c r="D10" i="70"/>
  <c r="K72" i="65"/>
  <c r="K71" i="65"/>
  <c r="G34" i="73" l="1"/>
  <c r="H11" i="70" s="1"/>
  <c r="E10" i="70"/>
  <c r="F11" i="70"/>
  <c r="F10" i="70" l="1"/>
  <c r="H10" i="70"/>
  <c r="I34" i="73"/>
  <c r="J34" i="73" s="1"/>
  <c r="G35" i="73"/>
  <c r="T49" i="70"/>
  <c r="H24" i="73"/>
  <c r="H45" i="70"/>
  <c r="H25" i="73"/>
  <c r="T43" i="70"/>
  <c r="H22" i="73"/>
  <c r="H46" i="70"/>
  <c r="H21" i="73"/>
  <c r="H23" i="73"/>
  <c r="T45" i="70"/>
  <c r="N42" i="70"/>
  <c r="H65" i="70"/>
  <c r="T42" i="70"/>
  <c r="T44" i="70"/>
  <c r="H44" i="70"/>
  <c r="H49" i="70"/>
  <c r="N43" i="70"/>
  <c r="N51" i="70"/>
  <c r="H42" i="70"/>
  <c r="T54" i="70"/>
  <c r="N44" i="70"/>
  <c r="H48" i="70"/>
  <c r="T52" i="70"/>
  <c r="T50" i="70"/>
  <c r="N45" i="70"/>
  <c r="H38" i="70"/>
  <c r="H43" i="70"/>
  <c r="N25" i="70"/>
  <c r="Z28" i="73"/>
  <c r="H41" i="70"/>
  <c r="Z27" i="73"/>
  <c r="T19" i="70"/>
  <c r="H37" i="70"/>
  <c r="N54" i="70"/>
  <c r="T25" i="70"/>
  <c r="N50" i="70"/>
  <c r="N20" i="70"/>
  <c r="T14" i="70"/>
  <c r="Z10" i="73"/>
  <c r="N52" i="70"/>
  <c r="N61" i="70"/>
  <c r="H24" i="70"/>
  <c r="T59" i="70"/>
  <c r="T61" i="70"/>
  <c r="H30" i="70"/>
  <c r="T24" i="70"/>
  <c r="T60" i="70"/>
  <c r="T22" i="70"/>
  <c r="N59" i="70"/>
  <c r="T18" i="70"/>
  <c r="T15" i="70"/>
  <c r="N18" i="70"/>
  <c r="T34" i="70"/>
  <c r="N60" i="70"/>
  <c r="N15" i="70"/>
  <c r="T46" i="70"/>
  <c r="N14" i="70"/>
  <c r="H25" i="70"/>
  <c r="H29" i="70"/>
  <c r="T41" i="70"/>
  <c r="T20" i="70"/>
  <c r="N19" i="70"/>
  <c r="H10" i="73"/>
  <c r="N10" i="73"/>
  <c r="H26" i="70"/>
  <c r="N32" i="70"/>
  <c r="N22" i="70"/>
  <c r="N24" i="70"/>
  <c r="N13" i="70"/>
  <c r="N13" i="73"/>
  <c r="T13" i="70"/>
  <c r="H60" i="70"/>
  <c r="H20" i="70"/>
  <c r="N31" i="70"/>
  <c r="H61" i="70"/>
  <c r="H53" i="70"/>
  <c r="H14" i="70"/>
  <c r="H19" i="70"/>
  <c r="H59" i="70"/>
  <c r="H50" i="70"/>
  <c r="H23" i="70"/>
  <c r="T32" i="70"/>
  <c r="H18" i="70"/>
  <c r="H15" i="70"/>
  <c r="H22" i="70"/>
  <c r="H13" i="70"/>
  <c r="N46" i="70"/>
  <c r="H63" i="70"/>
  <c r="N41" i="70"/>
  <c r="N17" i="70"/>
  <c r="T17" i="70"/>
  <c r="T36" i="70"/>
  <c r="T30" i="70"/>
  <c r="N33" i="70"/>
  <c r="N16" i="70"/>
  <c r="N12" i="70"/>
  <c r="T16" i="70"/>
  <c r="N36" i="70"/>
  <c r="T12" i="70"/>
  <c r="H17" i="70"/>
  <c r="N30" i="70"/>
  <c r="H16" i="70"/>
  <c r="T10" i="70"/>
  <c r="N10" i="70"/>
  <c r="T11" i="70"/>
  <c r="N11" i="70"/>
  <c r="H12" i="70"/>
  <c r="I35" i="73" l="1"/>
  <c r="J35" i="73" s="1"/>
  <c r="G24" i="73"/>
  <c r="G21" i="73"/>
  <c r="G23" i="73"/>
  <c r="G25" i="73"/>
  <c r="G22" i="73"/>
  <c r="G65" i="70"/>
  <c r="S54" i="70"/>
  <c r="M51" i="70"/>
  <c r="S52" i="70"/>
  <c r="S50" i="70"/>
  <c r="G38" i="70"/>
  <c r="Y28" i="73"/>
  <c r="M25" i="70"/>
  <c r="Y27" i="73"/>
  <c r="S25" i="70"/>
  <c r="G37" i="70"/>
  <c r="M50" i="70"/>
  <c r="M54" i="70"/>
  <c r="S19" i="70"/>
  <c r="S22" i="70"/>
  <c r="M20" i="70"/>
  <c r="S14" i="70"/>
  <c r="Y10" i="73"/>
  <c r="M61" i="70"/>
  <c r="G24" i="70"/>
  <c r="M52" i="70"/>
  <c r="S61" i="70"/>
  <c r="S59" i="70"/>
  <c r="G30" i="70"/>
  <c r="S24" i="70"/>
  <c r="S60" i="70"/>
  <c r="G29" i="70"/>
  <c r="M59" i="70"/>
  <c r="S20" i="70"/>
  <c r="S18" i="70"/>
  <c r="S15" i="70"/>
  <c r="M18" i="70"/>
  <c r="M60" i="70"/>
  <c r="S34" i="70"/>
  <c r="M14" i="70"/>
  <c r="M15" i="70"/>
  <c r="M19" i="70"/>
  <c r="G25" i="70"/>
  <c r="M24" i="70"/>
  <c r="G10" i="73"/>
  <c r="M10" i="73"/>
  <c r="G26" i="70"/>
  <c r="M13" i="73"/>
  <c r="M32" i="70"/>
  <c r="M13" i="70"/>
  <c r="M22" i="70"/>
  <c r="G60" i="70"/>
  <c r="G20" i="70"/>
  <c r="S13" i="70"/>
  <c r="G61" i="70"/>
  <c r="G53" i="70"/>
  <c r="M31" i="70"/>
  <c r="G14" i="70"/>
  <c r="S32" i="70"/>
  <c r="G59" i="70"/>
  <c r="G19" i="70"/>
  <c r="G50" i="70"/>
  <c r="G23" i="70"/>
  <c r="G63" i="70"/>
  <c r="G18" i="70"/>
  <c r="G15" i="70"/>
  <c r="G22" i="70"/>
  <c r="G13" i="70"/>
  <c r="M17" i="70"/>
  <c r="S17" i="70"/>
  <c r="S36" i="70"/>
  <c r="S30" i="70"/>
  <c r="M33" i="70"/>
  <c r="M16" i="70"/>
  <c r="M36" i="70"/>
  <c r="S16" i="70"/>
  <c r="M12" i="70"/>
  <c r="S12" i="70"/>
  <c r="G17" i="70"/>
  <c r="M30" i="70"/>
  <c r="G16" i="70"/>
  <c r="M11" i="70"/>
  <c r="S10" i="70"/>
  <c r="M10" i="70"/>
  <c r="S11" i="70"/>
  <c r="G12" i="70"/>
  <c r="G11" i="70"/>
  <c r="G10" i="70"/>
</calcChain>
</file>

<file path=xl/sharedStrings.xml><?xml version="1.0" encoding="utf-8"?>
<sst xmlns="http://schemas.openxmlformats.org/spreadsheetml/2006/main" count="19128" uniqueCount="2462">
  <si>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</si>
  <si>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</si>
  <si>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</si>
  <si>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</si>
  <si>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</si>
  <si>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</si>
  <si>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</si>
  <si>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</si>
  <si>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</si>
  <si>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</si>
  <si>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</si>
  <si>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</si>
  <si>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</si>
  <si>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</si>
  <si>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</si>
  <si>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</si>
  <si>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</si>
  <si>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</si>
  <si>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</si>
  <si>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</si>
  <si>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</si>
  <si>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</si>
  <si>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</si>
  <si>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</si>
  <si>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</si>
  <si>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</si>
  <si>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</si>
  <si>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</si>
  <si>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</si>
  <si>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</si>
  <si>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</si>
  <si>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</si>
  <si>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</si>
  <si>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</si>
  <si>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</si>
  <si>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</si>
  <si>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</si>
  <si>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</si>
  <si>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</si>
  <si>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</si>
  <si>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</si>
  <si>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</si>
  <si>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</si>
  <si>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</si>
  <si>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</si>
  <si>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</si>
  <si>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</si>
  <si>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</si>
  <si>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</si>
  <si>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</si>
  <si>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</si>
  <si>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</si>
  <si>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</si>
  <si>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</si>
  <si>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</si>
  <si>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</si>
  <si>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</si>
  <si>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</si>
  <si>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</si>
  <si>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</si>
  <si>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</si>
  <si>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</si>
  <si>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</si>
  <si>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</si>
  <si>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</si>
  <si>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</si>
  <si>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</si>
  <si>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</si>
  <si>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</si>
  <si>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</si>
  <si>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</si>
  <si>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</si>
  <si>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</si>
  <si>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</si>
  <si>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</si>
  <si>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</si>
  <si>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</si>
  <si>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</si>
  <si>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</si>
  <si>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</si>
  <si>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</si>
  <si>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</si>
  <si>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</si>
  <si>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</si>
  <si>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</si>
  <si>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</si>
  <si>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</si>
  <si>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</si>
  <si>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</si>
  <si>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</si>
  <si>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</si>
  <si>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</si>
  <si>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</si>
  <si>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</si>
  <si>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</si>
  <si>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</si>
  <si>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</si>
  <si>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</si>
  <si>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</si>
  <si>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</si>
  <si>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</si>
  <si>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</si>
  <si>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</si>
  <si>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</si>
  <si>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</si>
  <si>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</si>
  <si>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</si>
  <si>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</si>
  <si>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</si>
  <si>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</si>
  <si>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</si>
  <si>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</si>
  <si>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</si>
  <si>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</si>
  <si>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</si>
  <si>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</si>
  <si>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</si>
  <si>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</si>
  <si>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</si>
  <si>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</si>
  <si>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</si>
  <si>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</si>
  <si>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</si>
  <si>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</si>
  <si>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</si>
  <si>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</si>
  <si>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</si>
  <si>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</si>
  <si>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</si>
  <si>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</si>
  <si>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</si>
  <si>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</si>
  <si>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</si>
  <si>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</si>
  <si>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</si>
  <si>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</si>
  <si>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</si>
  <si>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</si>
  <si>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</si>
  <si>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</si>
  <si>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</si>
  <si>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</si>
  <si>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</si>
  <si>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</si>
  <si>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</si>
  <si>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</si>
  <si>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</si>
  <si>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</si>
  <si>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</si>
  <si>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</si>
  <si>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</si>
  <si>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</si>
  <si>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</si>
  <si>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</si>
  <si>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</si>
  <si>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</si>
  <si>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</si>
  <si>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</si>
  <si>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</si>
  <si>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</si>
  <si>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</si>
  <si>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</si>
  <si>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</si>
  <si>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</si>
  <si>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</si>
  <si>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</si>
  <si>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</si>
  <si>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</si>
  <si>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</si>
  <si>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</si>
  <si>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</si>
  <si>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</si>
  <si>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</si>
  <si>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</si>
  <si>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</si>
  <si>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</si>
  <si>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</si>
  <si>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</si>
  <si>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</si>
  <si>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</si>
  <si>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</si>
  <si>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</si>
  <si>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</si>
  <si>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</si>
  <si>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</si>
  <si>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</si>
  <si>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</si>
  <si>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</si>
  <si>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</si>
  <si>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</si>
  <si>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</si>
  <si>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</si>
  <si>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</si>
  <si>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</si>
  <si>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</si>
  <si>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</si>
  <si>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</si>
  <si>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</si>
  <si>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</si>
  <si>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</si>
  <si>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</si>
  <si>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</si>
  <si>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</si>
  <si>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</si>
  <si>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</si>
  <si>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</si>
  <si>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</si>
  <si>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</si>
  <si>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</si>
  <si>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</si>
  <si>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</si>
  <si>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</si>
  <si>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</si>
  <si>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</si>
  <si>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</si>
  <si>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</si>
  <si>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</si>
  <si>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</si>
  <si>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</si>
  <si>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</si>
  <si>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</si>
  <si>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</si>
  <si>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</si>
  <si>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</si>
  <si>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</si>
  <si>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</si>
  <si>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</si>
  <si>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</si>
  <si>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</si>
  <si>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</si>
  <si>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</si>
  <si>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</si>
  <si>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</si>
  <si>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</si>
  <si>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</si>
  <si>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</si>
  <si>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</si>
  <si>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</si>
  <si>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</si>
  <si>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</si>
  <si>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</si>
  <si>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</si>
  <si>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</si>
  <si>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</si>
  <si>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</si>
  <si>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</si>
  <si>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</si>
  <si>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</si>
  <si>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</si>
  <si>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</si>
  <si>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</si>
  <si>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</si>
  <si>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</si>
  <si>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</si>
  <si>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</si>
  <si>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</si>
  <si>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</si>
  <si>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</si>
  <si>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</si>
  <si>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</si>
  <si>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</si>
  <si>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</si>
  <si>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</si>
  <si>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</si>
  <si>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</si>
  <si>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</si>
  <si>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</si>
  <si>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</si>
  <si>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</si>
  <si>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</si>
  <si>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</si>
  <si>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</si>
  <si>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</si>
  <si>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</si>
  <si>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</si>
  <si>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</si>
  <si>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</si>
  <si>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</si>
  <si>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</si>
  <si>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</si>
  <si>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</si>
  <si>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</si>
  <si>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</si>
  <si>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</si>
  <si>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</si>
  <si>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</si>
  <si>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</si>
  <si>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</si>
  <si>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</si>
  <si>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</si>
  <si>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</si>
  <si>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</si>
  <si>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</si>
  <si>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</si>
  <si>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</si>
  <si>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</si>
  <si>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</si>
  <si>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</si>
  <si>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</si>
  <si>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</si>
  <si>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</si>
  <si>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</si>
  <si>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</si>
  <si>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</si>
  <si>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</si>
  <si>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</si>
  <si>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</si>
  <si>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</si>
  <si>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</si>
  <si>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</si>
  <si>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</si>
  <si>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</si>
  <si>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</si>
  <si>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</si>
  <si>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</si>
  <si>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</si>
  <si>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</si>
  <si>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</si>
  <si>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</si>
  <si>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</si>
  <si>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</si>
  <si>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</si>
  <si>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</si>
  <si>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</si>
  <si>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</si>
  <si>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</si>
  <si>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</si>
  <si>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</si>
  <si>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</si>
  <si>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</si>
  <si>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</si>
  <si>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</si>
  <si>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</si>
  <si>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</si>
  <si>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</si>
  <si>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</si>
  <si>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</si>
  <si>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</si>
  <si>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</si>
  <si>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</si>
  <si>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</si>
  <si>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</si>
  <si>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</si>
  <si>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</si>
  <si>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</si>
  <si>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</si>
  <si>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</si>
  <si>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</si>
  <si>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</si>
  <si>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</si>
  <si>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</si>
  <si>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</si>
  <si>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</si>
  <si>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</si>
  <si>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</si>
  <si>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</si>
  <si>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</si>
  <si>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</si>
  <si>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</si>
  <si>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</si>
  <si>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</si>
  <si>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</si>
  <si>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</si>
  <si>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</si>
  <si>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</si>
  <si>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</si>
  <si>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</si>
  <si>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</si>
  <si>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</si>
  <si>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</si>
  <si>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</si>
  <si>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</si>
  <si>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</si>
  <si>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</si>
  <si>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</si>
  <si>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</si>
  <si>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</si>
  <si>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</si>
  <si>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</si>
  <si>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</si>
  <si>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</si>
  <si>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</si>
  <si>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</si>
  <si>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</si>
  <si>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</si>
  <si>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</si>
  <si>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</si>
  <si>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</si>
  <si>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</si>
  <si>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</si>
  <si>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</si>
  <si>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</si>
  <si>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</si>
  <si>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</si>
  <si>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</si>
  <si>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</si>
  <si>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</si>
  <si>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</si>
  <si>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</si>
  <si>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</si>
  <si>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</si>
  <si>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</si>
  <si>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</si>
  <si>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</si>
  <si>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</si>
  <si>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</si>
  <si>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</si>
  <si>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</si>
  <si>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</si>
  <si>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</si>
  <si>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</si>
  <si>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</si>
  <si>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</si>
  <si>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</si>
  <si>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</si>
  <si>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</si>
  <si>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</si>
  <si>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</si>
  <si>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</si>
  <si>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</si>
  <si>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</si>
  <si>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</si>
  <si>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</si>
  <si>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</si>
  <si>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</si>
  <si>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</si>
  <si>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</si>
  <si>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</si>
  <si>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</si>
  <si>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</si>
  <si>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</si>
  <si>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</si>
  <si>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</si>
  <si>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</si>
  <si>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</si>
  <si>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</si>
  <si>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</si>
  <si>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</si>
  <si>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</si>
  <si>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</si>
  <si>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</si>
  <si>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</si>
  <si>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</si>
  <si>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</si>
  <si>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</si>
  <si>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</si>
  <si>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</si>
  <si>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</si>
  <si>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</si>
  <si>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</si>
  <si>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</si>
  <si>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</si>
  <si>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</si>
  <si>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</si>
  <si>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</si>
  <si>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</si>
  <si>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</si>
  <si>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</si>
  <si>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</si>
  <si>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</si>
  <si>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</si>
  <si>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</si>
  <si>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</si>
  <si>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</si>
  <si>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</si>
  <si>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</si>
  <si>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</si>
  <si>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</si>
  <si>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</si>
  <si>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</si>
  <si>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</si>
  <si>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</si>
  <si>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</si>
  <si>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</si>
  <si>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</si>
  <si>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</si>
  <si>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</si>
  <si>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</si>
  <si>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</si>
  <si>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</si>
  <si>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</si>
  <si>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</si>
  <si>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</si>
  <si>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</si>
  <si>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</si>
  <si>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</si>
  <si>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</si>
  <si>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</si>
  <si>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</si>
  <si>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</si>
  <si>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</si>
  <si>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</si>
  <si>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</si>
  <si>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</si>
  <si>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</si>
  <si>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</si>
  <si>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</si>
  <si>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</si>
  <si>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</si>
  <si>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</si>
  <si>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</si>
  <si>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</si>
  <si>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</si>
  <si>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</si>
  <si>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</si>
  <si>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</si>
  <si>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</si>
  <si>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</si>
  <si>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</si>
  <si>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</si>
  <si>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</si>
  <si>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</si>
  <si>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</si>
  <si>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</si>
  <si>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</si>
  <si>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</si>
  <si>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</si>
  <si>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</si>
  <si>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</si>
  <si>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</si>
  <si>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</si>
  <si>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</si>
  <si>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</si>
  <si>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</si>
  <si>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</si>
  <si>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</si>
  <si>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</si>
  <si>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</si>
  <si>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</si>
  <si>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</si>
  <si>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</si>
  <si>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</si>
  <si>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</si>
  <si>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</si>
  <si>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</si>
  <si>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</si>
  <si>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</si>
  <si>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</si>
  <si>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</si>
  <si>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</si>
  <si>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</si>
  <si>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</si>
  <si>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</si>
  <si>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</si>
  <si>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</si>
  <si>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</si>
  <si>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</si>
  <si>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</si>
  <si>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</si>
  <si>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</si>
  <si>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</si>
  <si>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</si>
  <si>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</si>
  <si>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</si>
  <si>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</si>
  <si>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</si>
  <si>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</si>
  <si>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</si>
  <si>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</si>
  <si>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</si>
  <si>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</si>
  <si>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</si>
  <si>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</si>
  <si>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</si>
  <si>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</si>
  <si>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</si>
  <si>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</si>
  <si>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</si>
  <si>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</si>
  <si>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</si>
  <si>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</si>
  <si>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</si>
  <si>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</si>
  <si>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</si>
  <si>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</si>
  <si>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</si>
  <si>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</si>
  <si>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</si>
  <si>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</si>
  <si>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</si>
  <si>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</si>
  <si>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</si>
  <si>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</si>
  <si>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</si>
  <si>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</si>
  <si>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</si>
  <si>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</si>
  <si>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</si>
  <si>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</si>
  <si>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</si>
  <si>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</si>
  <si>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</si>
  <si>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</si>
  <si>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</si>
  <si>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</si>
  <si>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</si>
  <si>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</si>
  <si>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</si>
  <si>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</si>
  <si>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</si>
  <si>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</si>
  <si>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</si>
  <si>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</si>
  <si>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</si>
  <si>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</si>
  <si>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</si>
  <si>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</si>
  <si>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</si>
  <si>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</si>
  <si>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</si>
  <si>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</si>
  <si>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</si>
  <si>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</si>
  <si>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</si>
  <si>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</si>
  <si>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</si>
  <si>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</si>
  <si>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</si>
  <si>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</si>
  <si>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</si>
  <si>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</si>
  <si>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</si>
  <si>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</si>
  <si>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</si>
  <si>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</si>
  <si>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</si>
  <si>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</si>
  <si>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</si>
  <si>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</si>
  <si>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</si>
  <si>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</si>
  <si>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</si>
  <si>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</si>
  <si>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</si>
  <si>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</si>
  <si>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</si>
  <si>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</si>
  <si>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</si>
  <si>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</si>
  <si>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</si>
  <si>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</si>
  <si>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</si>
  <si>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</si>
  <si>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</si>
  <si>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</si>
  <si>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</si>
  <si>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</si>
  <si>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</si>
  <si>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</si>
  <si>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</si>
  <si>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</si>
  <si>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</si>
  <si>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</si>
  <si>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</si>
  <si>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</si>
  <si>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</si>
  <si>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</si>
  <si>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</si>
  <si>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</si>
  <si>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</si>
  <si>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</si>
  <si>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</si>
  <si>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</si>
  <si>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</si>
  <si>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</si>
  <si>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</si>
  <si>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</si>
  <si>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</si>
  <si>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</si>
  <si>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</si>
  <si>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</si>
  <si>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</si>
  <si>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</si>
  <si>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</si>
  <si>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</si>
  <si>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</si>
  <si>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</si>
  <si>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</si>
  <si>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</si>
  <si>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</si>
  <si>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</si>
  <si>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</si>
  <si>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</si>
  <si>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</si>
  <si>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</si>
  <si>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</si>
  <si>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</si>
  <si>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</si>
  <si>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</si>
  <si>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</si>
  <si>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</si>
  <si>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</si>
  <si>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</si>
  <si>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</si>
  <si>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</si>
  <si>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</si>
  <si>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</si>
  <si>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</si>
  <si>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</si>
  <si>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</si>
  <si>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</si>
  <si>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</si>
  <si>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</si>
  <si>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</si>
  <si>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</si>
  <si>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</si>
  <si>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</si>
  <si>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</si>
  <si>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</si>
  <si>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</si>
  <si>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</si>
  <si>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</si>
  <si>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</si>
  <si>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</si>
  <si>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</si>
  <si>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</si>
  <si>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</si>
  <si>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</si>
  <si>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</si>
  <si>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</si>
  <si>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</si>
  <si>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</si>
  <si>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</si>
  <si>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</si>
  <si>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</si>
  <si>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</si>
  <si>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</si>
  <si>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</si>
  <si>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</si>
  <si>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</si>
  <si>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</si>
  <si>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</si>
  <si>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</si>
  <si>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</si>
  <si>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</si>
  <si>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</si>
  <si>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</si>
  <si>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</si>
  <si>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</si>
  <si>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</si>
  <si>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</si>
  <si>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</si>
  <si>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</si>
  <si>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</si>
  <si>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</si>
  <si>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</si>
  <si>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</si>
  <si>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</si>
  <si>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</si>
  <si>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</si>
  <si>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</si>
  <si>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</si>
  <si>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</si>
  <si>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</si>
  <si>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</si>
  <si>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</si>
  <si>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</si>
  <si>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</si>
  <si>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</si>
  <si>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</si>
  <si>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</si>
  <si>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</si>
  <si>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</si>
  <si>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</si>
  <si>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</si>
  <si>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</si>
  <si>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</si>
  <si>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</si>
  <si>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</si>
  <si>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</si>
  <si>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</si>
  <si>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</si>
  <si>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</si>
  <si>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</si>
  <si>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</si>
  <si>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</si>
  <si>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</si>
  <si>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</si>
  <si>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</si>
  <si>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</si>
  <si>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</si>
  <si>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</si>
  <si>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</si>
  <si>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</si>
  <si>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</si>
  <si>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</si>
  <si>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</si>
  <si>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</si>
  <si>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</si>
  <si>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</si>
  <si>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</si>
  <si>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</si>
  <si>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</si>
  <si>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</si>
  <si>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</si>
  <si>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</si>
  <si>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</si>
  <si>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</si>
  <si>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</si>
  <si>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</si>
  <si>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</si>
  <si>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</si>
  <si>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</si>
  <si>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</si>
  <si>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</si>
  <si>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</si>
  <si>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</si>
  <si>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</si>
  <si>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</si>
  <si>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</si>
  <si>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</si>
  <si>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</si>
  <si>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</si>
  <si>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</si>
  <si>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</si>
  <si>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</si>
  <si>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</si>
  <si>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</si>
  <si>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</si>
  <si>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</si>
  <si>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</si>
  <si>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</si>
  <si>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</si>
  <si>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</si>
  <si>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</si>
  <si>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</si>
  <si>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</si>
  <si>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</si>
  <si>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</si>
  <si>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</si>
  <si>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</si>
  <si>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</si>
  <si>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</si>
  <si>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</si>
  <si>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</si>
  <si>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</si>
  <si>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</si>
  <si>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</si>
  <si>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</si>
  <si>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</si>
  <si>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</si>
  <si>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</si>
  <si>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</si>
  <si>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</si>
  <si>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</si>
  <si>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</si>
  <si>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</si>
  <si>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</si>
  <si>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</si>
  <si>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</si>
  <si>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</si>
  <si>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</si>
  <si>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</si>
  <si>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</si>
  <si>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</si>
  <si>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</si>
  <si>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</si>
  <si>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</si>
  <si>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</si>
  <si>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</si>
  <si>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</si>
  <si>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</si>
  <si>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</si>
  <si>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</si>
  <si>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</si>
  <si>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</si>
  <si>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</si>
  <si>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</si>
  <si>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</si>
  <si>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</si>
  <si>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</si>
  <si>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</si>
  <si>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</si>
  <si>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</si>
  <si>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</si>
  <si>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</si>
  <si>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</si>
  <si>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</si>
  <si>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</si>
  <si>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</si>
  <si>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</si>
  <si>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</si>
  <si>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</si>
  <si>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</si>
  <si>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</si>
  <si>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</si>
  <si>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</si>
  <si>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</si>
  <si>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</si>
  <si>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</si>
  <si>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</si>
  <si>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</si>
  <si>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</si>
  <si>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</si>
  <si>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</si>
  <si>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</si>
  <si>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</si>
  <si>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</si>
  <si>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</si>
  <si>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</si>
  <si>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</si>
  <si>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</si>
  <si>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</si>
  <si>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</si>
  <si>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</si>
  <si>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</si>
  <si>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</si>
  <si>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</si>
  <si>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</si>
  <si>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</si>
  <si>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</si>
  <si>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</si>
  <si>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</si>
  <si>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</si>
  <si>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</si>
  <si>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</si>
  <si>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</si>
  <si>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</si>
  <si>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</si>
  <si>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</si>
  <si>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</si>
  <si>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</si>
  <si>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</si>
  <si>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</si>
  <si>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</si>
  <si>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</si>
  <si>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</si>
  <si>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</si>
  <si>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</si>
  <si>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</si>
  <si>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</si>
  <si>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</si>
  <si>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</si>
  <si>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</si>
  <si>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</si>
  <si>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</si>
  <si>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</si>
  <si>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</si>
  <si>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</si>
  <si>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</si>
  <si>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</si>
  <si>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</si>
  <si>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</si>
  <si>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</si>
  <si>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</si>
  <si>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</si>
  <si>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</si>
  <si>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</si>
  <si>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</si>
  <si>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</si>
  <si>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</si>
  <si>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</si>
  <si>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</si>
  <si>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</si>
  <si>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</si>
  <si>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</si>
  <si>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</si>
  <si>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</si>
  <si>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</si>
  <si>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</si>
  <si>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</si>
  <si>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</si>
  <si>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</si>
  <si>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</si>
  <si>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</si>
  <si>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</si>
  <si>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</si>
  <si>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</si>
  <si>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</si>
  <si>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</si>
  <si>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</si>
  <si>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</si>
  <si>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</si>
  <si>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</si>
  <si>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</si>
  <si>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</si>
  <si>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</si>
  <si>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</si>
  <si>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</si>
  <si>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</si>
  <si>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</si>
  <si>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</si>
  <si>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</si>
  <si>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</si>
  <si>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</si>
  <si>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</si>
  <si>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</si>
  <si>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</si>
  <si>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</si>
  <si>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</si>
  <si>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</si>
  <si>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</si>
  <si>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</si>
  <si>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</si>
  <si>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</si>
  <si>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</si>
  <si>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</si>
  <si>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</si>
  <si>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</si>
  <si>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</si>
  <si>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</si>
  <si>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</si>
  <si>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</si>
  <si>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</si>
  <si>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</si>
  <si>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</si>
  <si>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</si>
  <si>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</si>
  <si>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</si>
  <si>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</si>
  <si>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</si>
  <si>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</si>
  <si>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</si>
  <si>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</si>
  <si>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</si>
  <si>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</si>
  <si>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</si>
  <si>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</si>
  <si>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</si>
  <si>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</si>
  <si>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</si>
  <si>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</si>
  <si>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</si>
  <si>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</si>
  <si>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</si>
  <si>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</si>
  <si>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</si>
  <si>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</si>
  <si>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</si>
  <si>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</si>
  <si>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</si>
  <si>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</si>
  <si>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</si>
  <si>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</si>
  <si>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</si>
  <si>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</si>
  <si>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</si>
  <si>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</si>
  <si>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</si>
  <si>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</si>
  <si>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</si>
  <si>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</si>
  <si>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</si>
  <si>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</si>
  <si>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</si>
  <si>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</si>
  <si>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</si>
  <si>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</si>
  <si>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</si>
  <si>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</si>
  <si>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</si>
  <si>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</si>
  <si>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</si>
  <si>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</si>
  <si>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</si>
  <si>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</si>
  <si>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</si>
  <si>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</si>
  <si>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</si>
  <si>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</si>
  <si>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</si>
  <si>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</si>
  <si>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</si>
  <si>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</si>
  <si>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</si>
  <si>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</si>
  <si>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</si>
  <si>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</si>
  <si>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</si>
  <si>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</si>
  <si>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</si>
  <si>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</si>
  <si>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</si>
  <si>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</si>
  <si>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</si>
  <si>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</si>
  <si>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</si>
  <si>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</si>
  <si>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</si>
  <si>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</si>
  <si>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</si>
  <si>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</si>
  <si>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</si>
  <si>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</si>
  <si>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</si>
  <si>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</si>
  <si>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</si>
  <si>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</si>
  <si>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</si>
  <si>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</si>
  <si>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</si>
  <si>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</si>
  <si>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</si>
  <si>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</si>
  <si>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</si>
  <si>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</si>
  <si>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</si>
  <si>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</si>
  <si>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</si>
  <si>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</si>
  <si>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</si>
  <si>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</si>
  <si>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</si>
  <si>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</si>
  <si>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</si>
  <si>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</si>
  <si>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</si>
  <si>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</si>
  <si>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</si>
  <si>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</si>
  <si>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</si>
  <si>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</si>
  <si>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</si>
  <si>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</si>
  <si>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</si>
  <si>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</si>
  <si>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</si>
  <si>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</si>
  <si>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</si>
  <si>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</si>
  <si>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</si>
  <si>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</si>
  <si>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</si>
  <si>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</si>
  <si>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</si>
  <si>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</si>
  <si>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</si>
  <si>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</si>
  <si>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</si>
  <si>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</si>
  <si>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</si>
  <si>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</si>
  <si>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</si>
  <si>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</si>
  <si>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</si>
  <si>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</si>
  <si>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</si>
  <si>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</si>
  <si>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</si>
  <si>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</si>
  <si>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</si>
  <si>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</si>
  <si>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</si>
  <si>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</si>
  <si>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</si>
  <si>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</si>
  <si>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</si>
  <si>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</si>
  <si>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</si>
  <si>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</si>
  <si>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</si>
  <si>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</si>
  <si>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</si>
  <si>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</si>
  <si>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</si>
  <si>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</si>
  <si>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</si>
  <si>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</si>
  <si>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</si>
  <si>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</si>
  <si>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</si>
  <si>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</si>
  <si>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</si>
  <si>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</si>
  <si>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</si>
  <si>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</si>
  <si>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</si>
  <si>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</si>
  <si>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</si>
  <si>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</si>
  <si>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</si>
  <si>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</si>
  <si>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</si>
  <si>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</si>
  <si>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</si>
  <si>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</si>
  <si>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</si>
  <si>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</si>
  <si>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</si>
  <si>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</si>
  <si>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</si>
  <si>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</si>
  <si>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</si>
  <si>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</si>
  <si>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</si>
  <si>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</si>
  <si>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</si>
  <si>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</si>
  <si>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</si>
  <si>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</si>
  <si>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</si>
  <si>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</si>
  <si>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</si>
  <si>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</si>
  <si>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</si>
  <si>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</si>
  <si>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</si>
  <si>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</si>
  <si>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</si>
  <si>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</si>
  <si>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</si>
  <si>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</si>
  <si>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</si>
  <si>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</si>
  <si>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</si>
  <si>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</si>
  <si>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</si>
  <si>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</si>
  <si>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</si>
  <si>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</si>
  <si>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</si>
  <si>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</si>
  <si>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</si>
  <si>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</si>
  <si>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</si>
  <si>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</si>
  <si>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</si>
  <si>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</si>
  <si>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</si>
  <si>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</si>
  <si>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</si>
  <si>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</si>
  <si>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</si>
  <si>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</si>
  <si>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</si>
  <si>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</si>
  <si>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</si>
  <si>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</si>
  <si>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</si>
  <si>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</si>
  <si>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</si>
  <si>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</si>
  <si>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</si>
  <si>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</si>
  <si>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</si>
  <si>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</si>
  <si>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</si>
  <si>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</si>
  <si>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</si>
  <si>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</si>
  <si>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</si>
  <si>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</si>
  <si>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</si>
  <si>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</si>
  <si>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</si>
  <si>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</si>
  <si>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</si>
  <si>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</si>
  <si>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</si>
  <si>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</si>
  <si>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</si>
  <si>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</si>
  <si>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</si>
  <si>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</si>
  <si>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</si>
  <si>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</si>
  <si>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</si>
  <si>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</si>
  <si>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</si>
  <si>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</si>
  <si>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</si>
  <si>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</si>
  <si>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</si>
  <si>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</si>
  <si>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</si>
  <si>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</si>
  <si>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</si>
  <si>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</si>
  <si>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</si>
  <si>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</si>
  <si>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</si>
  <si>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</si>
  <si>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</si>
  <si>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</si>
  <si>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</si>
  <si>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</si>
  <si>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</si>
  <si>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</si>
  <si>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</si>
  <si>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</si>
  <si>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</si>
  <si>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</si>
  <si>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</si>
  <si>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</si>
  <si>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</si>
  <si>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</si>
  <si>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</si>
  <si>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</si>
  <si>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</si>
  <si>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</si>
  <si>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</si>
  <si>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</si>
  <si>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</si>
  <si>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</si>
  <si>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</si>
  <si>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</si>
  <si>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</si>
  <si>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</si>
  <si>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</si>
  <si>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</si>
  <si>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</si>
  <si>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</si>
  <si>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</si>
  <si>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</si>
  <si>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</si>
  <si>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</si>
  <si>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</si>
  <si>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</si>
  <si>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</si>
  <si>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</si>
  <si>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</si>
  <si>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</si>
  <si>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</si>
  <si>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</si>
  <si>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</si>
  <si>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</si>
  <si>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</si>
  <si>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</si>
  <si>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</si>
  <si>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</si>
  <si>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</si>
  <si>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</si>
  <si>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</si>
  <si>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</si>
  <si>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</si>
  <si>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</si>
  <si>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</si>
  <si>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</si>
  <si>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</si>
  <si>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</si>
  <si>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</si>
  <si>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</si>
  <si>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</si>
  <si>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</si>
  <si>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</si>
  <si>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</si>
  <si>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</si>
  <si>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</si>
  <si>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</si>
  <si>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</si>
  <si>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</si>
  <si>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</si>
  <si>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</si>
  <si>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</si>
  <si>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</si>
  <si>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</si>
  <si>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</si>
  <si>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</si>
  <si>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</si>
  <si>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</si>
  <si>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</si>
  <si>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</si>
  <si>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</si>
  <si>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</si>
  <si>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</si>
  <si>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</si>
  <si>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</si>
  <si>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</si>
  <si>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</si>
  <si>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</si>
  <si>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</si>
  <si>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</si>
  <si>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</si>
  <si>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</si>
  <si>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</si>
  <si>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</si>
  <si>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</si>
  <si>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</si>
  <si>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</si>
  <si>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</si>
  <si>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</si>
  <si>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</si>
  <si>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</si>
  <si>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</si>
  <si>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</si>
  <si>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</si>
  <si>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</si>
  <si>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</si>
  <si>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</si>
  <si>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</si>
  <si>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</si>
  <si>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</si>
  <si>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</si>
  <si>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</si>
  <si>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</si>
  <si>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</si>
  <si>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</si>
  <si>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</si>
  <si>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</si>
  <si>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</si>
  <si>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</si>
  <si>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</si>
  <si>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</si>
  <si>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</si>
  <si>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</si>
  <si>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</si>
  <si>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</si>
  <si>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</si>
  <si>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</si>
  <si>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</si>
  <si>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</si>
  <si>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</si>
  <si>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</si>
  <si>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</si>
  <si>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</si>
  <si>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</si>
  <si>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</si>
  <si>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</si>
  <si>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</si>
  <si>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</si>
  <si>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</si>
  <si>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</si>
  <si>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</si>
  <si>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</si>
  <si>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</si>
  <si>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</si>
  <si>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</si>
  <si>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</si>
  <si>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</si>
  <si>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</si>
  <si>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</si>
  <si>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</si>
  <si>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</si>
  <si>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</si>
  <si>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</si>
  <si>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</si>
  <si>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</si>
  <si>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</si>
  <si>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</si>
  <si>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</si>
  <si>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</si>
  <si>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</si>
  <si>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</si>
  <si>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</si>
  <si>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</si>
  <si>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</si>
  <si>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</si>
  <si>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</si>
  <si>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</si>
  <si>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</si>
  <si>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</si>
  <si>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</si>
  <si>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</si>
  <si>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</si>
  <si>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</si>
  <si>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</si>
  <si>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</si>
  <si>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</si>
  <si>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</si>
  <si>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</si>
  <si>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</si>
  <si>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</si>
  <si>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</si>
  <si>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</si>
  <si>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</si>
  <si>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</si>
  <si>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</si>
  <si>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</si>
  <si>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</si>
  <si>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</si>
  <si>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</si>
  <si>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</si>
  <si>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</si>
  <si>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</si>
  <si>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</si>
  <si>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</si>
  <si>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</si>
  <si>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</si>
  <si>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</si>
  <si>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</si>
  <si>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</si>
  <si>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</si>
  <si>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</si>
  <si>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</si>
  <si>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</si>
  <si>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</si>
  <si>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</si>
  <si>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</si>
  <si>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</si>
  <si>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</si>
  <si>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</si>
  <si>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</si>
  <si>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</si>
  <si>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</si>
  <si>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</si>
  <si>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</si>
  <si>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</si>
  <si>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</si>
  <si>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</si>
  <si>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</si>
  <si>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</si>
  <si>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</si>
  <si>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</si>
  <si>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</si>
  <si>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</si>
  <si>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</si>
  <si>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</si>
  <si>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</si>
  <si>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</si>
  <si>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</si>
  <si>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</si>
  <si>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</si>
  <si>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</si>
  <si>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</si>
  <si>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</si>
  <si>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</si>
  <si>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</si>
  <si>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</si>
  <si>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</si>
  <si>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</si>
  <si>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</si>
  <si>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</si>
  <si>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</si>
  <si>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</si>
  <si>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</si>
  <si>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</si>
  <si>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</si>
  <si>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</si>
  <si>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</si>
  <si>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</si>
  <si>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</si>
  <si>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</si>
  <si>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</si>
  <si>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</si>
  <si>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</si>
  <si>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</si>
  <si>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</si>
  <si>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</si>
  <si>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</si>
  <si>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</si>
  <si>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</si>
  <si>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</si>
  <si>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</si>
  <si>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</si>
  <si>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</si>
  <si>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</si>
  <si>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</si>
  <si>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</si>
  <si>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</si>
  <si>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</si>
  <si>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</si>
  <si>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</si>
  <si>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</si>
  <si>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</si>
  <si>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</si>
  <si>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</si>
  <si>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</si>
  <si>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</si>
  <si>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</si>
  <si>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</si>
  <si>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</si>
  <si>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</si>
  <si>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</si>
  <si>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</si>
  <si>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</si>
  <si>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</si>
  <si>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</si>
  <si>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</si>
  <si>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</si>
  <si>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</si>
  <si>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</si>
  <si>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</si>
  <si>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</si>
  <si>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</si>
  <si>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</si>
  <si>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</si>
  <si>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</si>
  <si>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</si>
  <si>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</si>
  <si>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</si>
  <si>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</si>
  <si>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</si>
  <si>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</si>
  <si>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</si>
  <si>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</si>
  <si>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</si>
  <si>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</si>
  <si>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</si>
  <si>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</si>
  <si>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</si>
  <si>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</si>
  <si>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</si>
  <si>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</si>
  <si>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</si>
  <si>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</si>
  <si>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</si>
  <si>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</si>
  <si>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</si>
  <si>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</si>
  <si>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</si>
  <si>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</si>
  <si>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</si>
  <si>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</si>
  <si>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</si>
  <si>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</si>
  <si>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</si>
  <si>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</si>
  <si>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</si>
  <si>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</si>
  <si>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</si>
  <si>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</si>
  <si>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</si>
  <si>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</si>
  <si>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</si>
  <si>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</si>
  <si>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</si>
  <si>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</si>
  <si>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</si>
  <si>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</si>
  <si>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</si>
  <si>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</si>
  <si>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</si>
  <si>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</si>
  <si>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</si>
  <si>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</si>
  <si>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</si>
  <si>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</si>
  <si>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</si>
  <si>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</si>
  <si>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</si>
  <si>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</si>
  <si>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</si>
  <si>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</si>
  <si>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</si>
  <si>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</si>
  <si>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</si>
  <si>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</si>
  <si>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</si>
  <si>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</si>
  <si>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</si>
  <si>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</si>
  <si>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</si>
  <si>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</si>
  <si>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</si>
  <si>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</si>
  <si>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</si>
  <si>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</si>
  <si>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</si>
  <si>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</si>
  <si>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</si>
  <si>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</si>
  <si>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</si>
  <si>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</si>
  <si>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</si>
  <si>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</si>
  <si>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</si>
  <si>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</si>
  <si>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</si>
  <si>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</si>
  <si>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</si>
  <si>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</si>
  <si>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</si>
  <si>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</si>
  <si>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</si>
  <si>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</si>
  <si>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</si>
  <si>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</si>
  <si>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</si>
  <si>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</si>
  <si>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</si>
  <si>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</si>
  <si>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</si>
  <si>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</si>
  <si>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</si>
  <si>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</si>
  <si>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</si>
  <si>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</si>
  <si>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</si>
  <si>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</si>
  <si>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</si>
  <si>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</si>
  <si>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</si>
  <si>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</si>
  <si>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</si>
  <si>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</si>
  <si>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</si>
  <si>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</si>
  <si>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</si>
  <si>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</si>
  <si>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</si>
  <si>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</si>
  <si>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</si>
  <si>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</si>
  <si>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</si>
  <si>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</si>
  <si>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</si>
  <si>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</si>
  <si>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</si>
  <si>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</si>
  <si>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</si>
  <si>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</si>
  <si>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</si>
  <si>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</si>
  <si>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</si>
  <si>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</si>
  <si>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</si>
  <si>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</si>
  <si>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</si>
  <si>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</si>
  <si>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</si>
  <si>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</si>
  <si>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</si>
  <si>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</si>
  <si>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</si>
  <si>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</si>
  <si>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</si>
  <si>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</si>
  <si>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</si>
  <si>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</si>
  <si>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</si>
  <si>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</si>
  <si>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</si>
  <si>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</si>
  <si>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</si>
  <si>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</si>
  <si>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</si>
  <si>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</si>
  <si>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</si>
  <si>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</si>
  <si>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</si>
  <si>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</si>
  <si>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</si>
  <si>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</si>
  <si>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</si>
  <si>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</si>
  <si>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</si>
  <si>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</si>
  <si>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</si>
  <si>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</si>
  <si>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</si>
  <si>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</si>
  <si>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</si>
  <si>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</si>
  <si>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</si>
  <si>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</si>
  <si>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</si>
  <si>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</si>
  <si>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</si>
  <si>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</si>
  <si>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</si>
  <si>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</si>
  <si>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</si>
  <si>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</si>
  <si>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</si>
  <si>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</si>
  <si>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</si>
  <si>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</si>
  <si>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</si>
  <si>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</si>
  <si>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</si>
  <si>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</si>
  <si>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</si>
  <si>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</si>
  <si>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</si>
  <si>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</si>
  <si>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</si>
  <si>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</si>
  <si>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</si>
  <si>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</si>
  <si>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</si>
  <si>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</si>
  <si>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</si>
  <si>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</si>
  <si>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</si>
  <si>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</si>
  <si>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</si>
  <si>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</si>
  <si>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</si>
  <si>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</si>
  <si>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</si>
  <si>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</si>
  <si>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</si>
  <si>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</si>
  <si>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</si>
  <si>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</si>
  <si>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</si>
  <si>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</si>
  <si>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</si>
  <si>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</si>
  <si>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</si>
  <si>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</si>
  <si>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</si>
  <si>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</si>
  <si>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</si>
  <si>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</si>
  <si>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</si>
  <si>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</si>
  <si>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</si>
  <si>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</si>
  <si>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</si>
  <si>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</si>
  <si>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</si>
  <si>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</si>
  <si>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</si>
  <si>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</si>
  <si>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</si>
  <si>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</si>
  <si>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</si>
  <si>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</si>
  <si>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</si>
  <si>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</si>
  <si>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</si>
  <si>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</si>
  <si>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</si>
  <si>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</si>
  <si>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</si>
  <si>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</si>
  <si>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</si>
  <si>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</si>
  <si>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</si>
  <si>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</si>
  <si>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</si>
  <si>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</si>
  <si>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</si>
  <si>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</si>
  <si>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</si>
  <si>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</si>
  <si>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</si>
  <si>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</si>
  <si>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</si>
  <si>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</si>
  <si>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</si>
  <si>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</si>
  <si>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</si>
  <si>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</si>
  <si>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</si>
  <si>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</si>
  <si>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</si>
  <si>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</si>
  <si>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</si>
  <si>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</si>
  <si>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</si>
  <si>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</si>
  <si>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</si>
  <si>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</si>
  <si>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</si>
  <si>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</si>
  <si>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</si>
  <si>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</si>
  <si>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</si>
  <si>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</si>
  <si>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</si>
  <si>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</si>
  <si>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</si>
  <si>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</si>
  <si>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</si>
  <si>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</si>
  <si>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</si>
  <si>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</si>
  <si>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</si>
  <si>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</si>
  <si>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</si>
  <si>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</si>
  <si>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</si>
  <si>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</si>
  <si>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</si>
  <si>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</si>
  <si>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</si>
  <si>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</si>
  <si>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</si>
  <si>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</si>
  <si>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</si>
  <si>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</si>
  <si>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</si>
  <si>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</si>
  <si>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</si>
  <si>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</si>
  <si>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</si>
  <si>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</si>
  <si>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</si>
  <si>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</si>
  <si>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</si>
  <si>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</si>
  <si>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</si>
  <si>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</si>
  <si>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</si>
  <si>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</si>
  <si>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</si>
  <si>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</si>
  <si>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</si>
  <si>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</si>
  <si>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</si>
  <si>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</si>
  <si>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</si>
  <si>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</si>
  <si>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</si>
  <si>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</si>
  <si>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</si>
  <si>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</si>
  <si>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</si>
  <si>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</si>
  <si>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</si>
  <si>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</si>
  <si>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</si>
  <si>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</si>
  <si>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</si>
  <si>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</si>
  <si>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</si>
  <si>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</si>
  <si>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</si>
  <si>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</si>
  <si>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</si>
  <si>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</si>
  <si>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</si>
  <si>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</si>
  <si>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</si>
  <si>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</si>
  <si>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</si>
  <si>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</si>
  <si>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</si>
  <si>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</si>
  <si>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</si>
  <si>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</si>
  <si>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</si>
  <si>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</si>
  <si>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</si>
  <si>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</si>
  <si>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</si>
  <si>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</si>
  <si>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</si>
  <si>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</si>
  <si>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</si>
  <si>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</si>
  <si>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</si>
  <si>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</si>
  <si>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</si>
  <si>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</si>
  <si>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</si>
  <si>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</si>
  <si>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</si>
  <si>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</si>
  <si>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</si>
  <si>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</si>
  <si>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</si>
  <si>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</si>
  <si>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</si>
  <si>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</si>
  <si>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</si>
  <si>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</si>
  <si>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</si>
  <si>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</si>
  <si>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</si>
  <si>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</si>
  <si>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</si>
  <si>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</si>
  <si>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</si>
  <si>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</si>
  <si>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</si>
  <si>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</si>
  <si>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</si>
  <si>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</si>
  <si>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</si>
  <si>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</si>
  <si>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</si>
  <si>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</si>
  <si>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</si>
  <si>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</si>
  <si>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</si>
  <si>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</si>
  <si>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</si>
  <si>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</si>
  <si>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</si>
  <si>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</si>
  <si>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</si>
  <si>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</si>
  <si>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</si>
  <si>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</si>
  <si>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</si>
  <si>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</si>
  <si>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</si>
  <si>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</si>
  <si>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</si>
  <si>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</si>
  <si>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</si>
  <si>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</si>
  <si>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</si>
  <si>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</si>
  <si>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</si>
  <si>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</si>
  <si>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</si>
  <si>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</si>
  <si>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</si>
  <si>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</si>
  <si>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</si>
  <si>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</si>
  <si>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</si>
  <si>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</si>
  <si>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</si>
  <si>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</si>
  <si>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</si>
  <si>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</si>
  <si>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</si>
  <si>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</si>
  <si>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</si>
  <si>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</si>
  <si>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</si>
  <si>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</si>
  <si>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</si>
  <si>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</si>
  <si>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</si>
  <si>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</si>
  <si>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</si>
  <si>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</si>
  <si>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</si>
  <si>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</si>
  <si>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</si>
  <si>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</si>
  <si>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</si>
  <si>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</si>
  <si>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</si>
  <si>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</si>
  <si>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</si>
  <si>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</si>
  <si>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</si>
  <si>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</si>
  <si>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</si>
  <si>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</si>
  <si>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</si>
  <si>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</si>
  <si>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</si>
  <si>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</si>
  <si>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</si>
  <si>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</si>
  <si>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</si>
  <si>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</si>
  <si>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</si>
  <si>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</si>
  <si>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</si>
  <si>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</si>
  <si>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</si>
  <si>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</si>
  <si>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</si>
  <si>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</si>
  <si>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</si>
  <si>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</si>
  <si>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</si>
  <si>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</si>
  <si>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</si>
  <si>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</si>
  <si>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</si>
  <si>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</si>
  <si>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</si>
  <si>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</si>
  <si>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</si>
  <si>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</si>
  <si>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</si>
  <si>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</si>
  <si>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</si>
  <si>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</si>
  <si>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</si>
  <si>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</si>
  <si>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</si>
  <si>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</si>
  <si>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</si>
  <si>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</si>
  <si>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</si>
  <si>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</si>
  <si>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</si>
  <si>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</si>
  <si>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</si>
  <si>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</si>
  <si>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</si>
  <si>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</si>
  <si>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</si>
  <si>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</si>
  <si>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</si>
  <si>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</si>
  <si>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</si>
  <si>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</si>
  <si>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</si>
  <si>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</si>
  <si>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</si>
  <si>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</si>
  <si>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</si>
  <si>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</si>
  <si>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</si>
  <si>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</si>
  <si>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</si>
  <si>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</si>
  <si>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</si>
  <si>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</si>
  <si>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</si>
  <si>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</si>
  <si>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</si>
  <si>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</si>
  <si>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</si>
  <si>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</si>
  <si>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</si>
  <si>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</si>
  <si>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</si>
  <si>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</si>
  <si>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</si>
  <si>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</si>
  <si>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</si>
  <si>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</si>
  <si>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</si>
  <si>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</si>
  <si>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</si>
  <si>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</si>
  <si>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</si>
  <si>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</si>
  <si>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</si>
  <si>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</si>
  <si>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</si>
  <si>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</si>
  <si>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</si>
  <si>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</si>
  <si>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</si>
  <si>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</si>
  <si>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</si>
  <si>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</si>
  <si>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</si>
  <si>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</si>
  <si>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</si>
  <si>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</si>
  <si>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</si>
  <si>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</si>
  <si>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</si>
  <si>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</si>
  <si>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</si>
  <si>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</si>
  <si>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</si>
  <si>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</si>
  <si>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</si>
  <si>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</si>
  <si>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</si>
  <si>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</si>
  <si>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</si>
  <si>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</si>
  <si>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</si>
  <si>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</si>
  <si>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</si>
  <si>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</si>
  <si>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</si>
  <si>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</si>
  <si>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</si>
  <si>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</si>
  <si>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</si>
  <si>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</si>
  <si>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</si>
  <si>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</si>
  <si>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</si>
  <si>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</si>
  <si>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</si>
  <si>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</si>
  <si>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</si>
  <si>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</si>
  <si>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</si>
  <si>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</si>
  <si>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</si>
  <si>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</si>
  <si>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</si>
  <si>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</si>
  <si>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</si>
  <si>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</si>
  <si>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</si>
  <si>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</si>
  <si>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</si>
  <si>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</si>
  <si>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</si>
  <si>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</si>
  <si>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</si>
  <si>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</si>
  <si>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</si>
  <si>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</si>
  <si>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</si>
  <si>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</si>
  <si>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</si>
  <si>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</si>
  <si>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</si>
  <si>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</si>
  <si>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</si>
  <si>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</si>
  <si>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</si>
  <si>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</si>
  <si>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</si>
  <si>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</si>
  <si>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</si>
  <si>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</si>
  <si>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</si>
  <si>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</si>
  <si>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</si>
  <si>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</si>
  <si>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</si>
  <si>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</si>
  <si>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</si>
  <si>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</si>
  <si>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</si>
  <si>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</si>
  <si>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</si>
  <si>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</si>
  <si>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</si>
  <si>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</si>
  <si>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</si>
  <si>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</si>
  <si>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</si>
  <si>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</si>
  <si>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</si>
  <si>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</si>
  <si>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</si>
  <si>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</si>
  <si>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</si>
  <si>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</si>
  <si>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</si>
  <si>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</si>
  <si>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</si>
  <si>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</si>
  <si>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</si>
  <si>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</si>
  <si>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</si>
  <si>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</si>
  <si>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</si>
  <si>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</si>
  <si>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</si>
  <si>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</si>
  <si>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</si>
  <si>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</si>
  <si>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</si>
  <si>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</si>
  <si>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</si>
  <si>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</si>
  <si>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</si>
  <si>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</si>
  <si>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</si>
  <si>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</si>
  <si>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</si>
  <si>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</si>
  <si>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</si>
  <si>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</si>
  <si>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</si>
  <si>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</si>
  <si>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</si>
  <si>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</si>
  <si>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</si>
  <si>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</si>
  <si>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</si>
  <si>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</si>
  <si>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</si>
  <si>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</si>
  <si>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</si>
  <si>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</si>
  <si>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</si>
  <si>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</si>
  <si>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</si>
  <si>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</si>
  <si>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</si>
  <si>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</si>
  <si>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</si>
  <si>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</si>
  <si>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</si>
  <si>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</si>
  <si>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</si>
  <si>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</si>
  <si>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</si>
  <si>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</si>
  <si>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</si>
  <si>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</si>
  <si>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</si>
  <si>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</si>
  <si>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</si>
  <si>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</si>
  <si>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</si>
  <si>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</si>
  <si>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</si>
  <si>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</si>
  <si>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</si>
  <si>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</si>
  <si>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</si>
  <si>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</si>
  <si>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</si>
  <si>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</si>
  <si>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</si>
  <si>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</si>
  <si>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</si>
  <si>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</si>
  <si>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</si>
  <si>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</si>
  <si>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</si>
  <si>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</si>
  <si>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</si>
  <si>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</si>
  <si>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</si>
  <si>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</si>
  <si>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</si>
  <si>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</si>
  <si>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</si>
  <si>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</si>
  <si>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</si>
  <si>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</si>
  <si>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</si>
  <si>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</si>
  <si>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</si>
  <si>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</si>
  <si>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</si>
  <si>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</si>
  <si>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</si>
  <si>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</si>
  <si>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</si>
  <si>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</si>
  <si>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</si>
  <si>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</si>
  <si>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</si>
  <si>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</si>
  <si>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</si>
  <si>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</si>
  <si>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</si>
  <si>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</si>
  <si>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</si>
  <si>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</si>
  <si>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</si>
  <si>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</si>
  <si>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</si>
  <si>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</si>
  <si>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</si>
  <si>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</si>
  <si>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</si>
  <si>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</si>
  <si>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</si>
  <si>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</si>
  <si>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</si>
  <si>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</si>
  <si>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</si>
  <si>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</si>
  <si>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</si>
  <si>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</si>
  <si>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</si>
  <si>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</si>
  <si>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</si>
  <si>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</si>
  <si>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</si>
  <si>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</si>
  <si>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</si>
  <si>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</si>
  <si>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</si>
  <si>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</si>
  <si>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</si>
  <si>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</si>
  <si>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</si>
  <si>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</si>
  <si>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</si>
  <si>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</si>
  <si>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</si>
  <si>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</si>
  <si>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</si>
  <si>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</si>
  <si>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</si>
  <si>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</si>
  <si>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</si>
  <si>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</si>
  <si>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</si>
  <si>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</si>
  <si>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</si>
  <si>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</si>
  <si>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</si>
  <si>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</si>
  <si>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</si>
  <si>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</si>
  <si>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</si>
  <si>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</si>
  <si>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</si>
  <si>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</si>
  <si>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</si>
  <si>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</si>
  <si>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</si>
  <si>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</si>
  <si>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</si>
  <si>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</si>
  <si>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</si>
  <si>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</si>
  <si>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</si>
  <si>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</si>
  <si>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</si>
  <si>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</si>
  <si>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</si>
  <si>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</si>
  <si>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</si>
  <si>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</si>
  <si>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</si>
  <si>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</si>
  <si>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</si>
  <si>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</si>
  <si>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</si>
  <si>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</si>
  <si>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</si>
  <si>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</si>
  <si>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</si>
  <si>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</si>
  <si>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</si>
  <si>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</si>
  <si>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</si>
  <si>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</si>
  <si>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</si>
  <si>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</si>
  <si>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</si>
  <si>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</si>
  <si>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</si>
  <si>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</si>
  <si>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</si>
  <si>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</si>
  <si>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</si>
  <si>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</si>
  <si>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</si>
  <si>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</si>
  <si>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</si>
  <si>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</si>
  <si>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</si>
  <si>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</si>
  <si>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</si>
  <si>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</si>
  <si>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</si>
  <si>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</si>
  <si>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</si>
  <si>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</si>
  <si>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</si>
  <si>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</si>
  <si>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</si>
  <si>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</si>
  <si>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</si>
  <si>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</si>
  <si>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</si>
  <si>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</si>
  <si>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</si>
  <si>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</si>
  <si>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</si>
  <si>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</si>
  <si>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</si>
  <si>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</si>
  <si>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</si>
  <si>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</si>
  <si>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</si>
  <si>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</si>
  <si>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</si>
  <si>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</si>
  <si>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</si>
  <si>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</si>
  <si>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</si>
  <si>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</si>
  <si>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</si>
  <si>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</si>
  <si>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</si>
  <si>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</si>
  <si>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</si>
  <si>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</si>
  <si>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</si>
  <si>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</si>
  <si>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</si>
  <si>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</si>
  <si>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</si>
  <si>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</si>
  <si>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</si>
  <si>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</si>
  <si>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</si>
  <si>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</si>
  <si>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</si>
  <si>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</si>
  <si>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</si>
  <si>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</si>
  <si>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</si>
  <si>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</si>
  <si>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</si>
  <si>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2012</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</si>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</sst>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0" fillId="0" borderId="73" xfId="0"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22700.402000000002</v>
      </c>
      <c r="F22" s="3384" t="str">
        <f t="shared" si="0"/>
        <v>NA</v>
      </c>
      <c r="G22" s="3360">
        <v>331.33007877272735</v>
      </c>
      <c r="H22" s="3339">
        <f t="shared" si="1"/>
        <v>1214.8769555000001</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31700</v>
      </c>
      <c r="F24" s="3384" t="str">
        <f t="shared" si="0"/>
        <v>NA</v>
      </c>
      <c r="G24" s="3360">
        <v>708.69272727272732</v>
      </c>
      <c r="H24" s="3339">
        <f t="shared" si="1"/>
        <v>2598.5400000000004</v>
      </c>
      <c r="I24" s="2599" t="s">
        <v>205</v>
      </c>
      <c r="J24" s="2600"/>
      <c r="M24" s="125"/>
    </row>
    <row r="25" spans="2:13" ht="18" customHeight="1" x14ac:dyDescent="0.2">
      <c r="B25" s="165"/>
      <c r="C25" s="1566"/>
      <c r="D25" s="1451" t="s">
        <v>458</v>
      </c>
      <c r="E25" s="3379">
        <v>16700</v>
      </c>
      <c r="F25" s="3384" t="str">
        <f t="shared" si="0"/>
        <v>NA</v>
      </c>
      <c r="G25" s="3360">
        <v>258.28254545454547</v>
      </c>
      <c r="H25" s="3339">
        <f t="shared" si="1"/>
        <v>947.03600000000006</v>
      </c>
      <c r="I25" s="2599" t="s">
        <v>205</v>
      </c>
      <c r="J25" s="2600"/>
      <c r="M25" s="125"/>
    </row>
    <row r="26" spans="2:13" ht="18" customHeight="1" x14ac:dyDescent="0.2">
      <c r="B26" s="165"/>
      <c r="C26" s="1566"/>
      <c r="D26" s="1451" t="s">
        <v>459</v>
      </c>
      <c r="E26" s="3383">
        <v>30305.981972834939</v>
      </c>
      <c r="F26" s="3384">
        <f t="shared" si="0"/>
        <v>23.905796704836888</v>
      </c>
      <c r="G26" s="3360">
        <v>724.48864398304318</v>
      </c>
      <c r="H26" s="3339">
        <f t="shared" si="1"/>
        <v>2656.4583612711581</v>
      </c>
      <c r="I26" s="3360">
        <v>2656.4583612711599</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26581.763996610167</v>
      </c>
      <c r="F28" s="3384">
        <f>IF(I28="NA","NA",I28/(44/12)*1000/E28)</f>
        <v>1.9174389619190115</v>
      </c>
      <c r="G28" s="3360">
        <v>398.32787721818181</v>
      </c>
      <c r="H28" s="3339">
        <f>IF(G28="NA","NA",IF(G28="NO","NO",G28*44/12))</f>
        <v>1460.5355497999999</v>
      </c>
      <c r="I28" s="3360">
        <v>186.88600319999998</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127988.14796944511</v>
      </c>
      <c r="F31" s="3324">
        <f t="shared" ref="F31" si="3">IF(I31="NA","NA",I31/(44/12)*1000/E31)</f>
        <v>6.0588231508108592</v>
      </c>
      <c r="G31" s="3388">
        <f>SUM(G11:G29)</f>
        <v>2421.1218727012251</v>
      </c>
      <c r="H31" s="3336">
        <f t="shared" ref="H31" si="4">IF(G31="NA","NA",IF(G31="NO","NO",G31*44/12))</f>
        <v>8877.4468665711593</v>
      </c>
      <c r="I31" s="3388">
        <f>SUM(I11:I29)</f>
        <v>2843.3443644711597</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34295.479800000001</v>
      </c>
      <c r="F35" s="3384">
        <f>IF(I35="NA","NA",I35/(44/12)*1000/E35)</f>
        <v>24.556565272382151</v>
      </c>
      <c r="G35" s="3364">
        <v>495.81044710363642</v>
      </c>
      <c r="H35" s="3361">
        <f t="shared" si="5"/>
        <v>1817.9716393800002</v>
      </c>
      <c r="I35" s="3360">
        <v>3087.9903569399999</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v>1.5465680454545501</v>
      </c>
      <c r="H37" s="3339">
        <f t="shared" si="5"/>
        <v>5.6707495000000172</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72319.290479999996</v>
      </c>
      <c r="F41" s="3384">
        <f t="shared" ref="F41" si="8">IF(I41="NA","NA",I41/(44/12)*1000/E41)</f>
        <v>28.753353101784974</v>
      </c>
      <c r="G41" s="3360">
        <v>1561.0505538816219</v>
      </c>
      <c r="H41" s="3361">
        <f t="shared" si="5"/>
        <v>5723.8520308992802</v>
      </c>
      <c r="I41" s="3360">
        <v>7624.5476825539863</v>
      </c>
      <c r="J41" s="3381" t="s">
        <v>460</v>
      </c>
      <c r="M41" s="125"/>
    </row>
    <row r="42" spans="2:13" ht="18" customHeight="1" x14ac:dyDescent="0.2">
      <c r="B42" s="1433"/>
      <c r="C42" s="1567"/>
      <c r="D42" s="1451" t="s">
        <v>467</v>
      </c>
      <c r="E42" s="3379">
        <v>12555.795018084338</v>
      </c>
      <c r="F42" s="3384">
        <f>IF(I42="NA","NA",I42/(44/12)*1000/E42)</f>
        <v>9.1236627869510514</v>
      </c>
      <c r="G42" s="3360">
        <v>218.97478786771208</v>
      </c>
      <c r="H42" s="3361">
        <f t="shared" si="5"/>
        <v>802.90755551494431</v>
      </c>
      <c r="I42" s="3360">
        <v>420.03441247929879</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119170.56529808433</v>
      </c>
      <c r="F45" s="3308">
        <f>IF(I45="NA","NA",I45/(44/12)*1000/E45)</f>
        <v>25.477399689017396</v>
      </c>
      <c r="G45" s="3388">
        <f>SUM(G33:G43)</f>
        <v>2277.3823568984249</v>
      </c>
      <c r="H45" s="3336">
        <f t="shared" ref="H45" si="9">IF(G45="NA","NA",IF(G45="NO","NO",G45*44/12))</f>
        <v>8350.401975294224</v>
      </c>
      <c r="I45" s="3388">
        <f>SUM(I33:I43)</f>
        <v>11132.572451973285</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49104.713062999988</v>
      </c>
      <c r="F47" s="3384">
        <f t="shared" ref="F47" si="10">IF(I47="NA","NA",I47/(44/12)*1000/E47)</f>
        <v>14.021432274344992</v>
      </c>
      <c r="G47" s="3360">
        <v>620.94069866978271</v>
      </c>
      <c r="H47" s="3339">
        <f t="shared" ref="H47" si="11">IF(G47="NA","NA",IF(G47="NO","NO",G47*44/12))</f>
        <v>2276.7825617892031</v>
      </c>
      <c r="I47" s="3360">
        <v>2524.5674980679933</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49104.713062999988</v>
      </c>
      <c r="F50" s="3308">
        <f>IF(I50="NA","NA",I50/(44/12)*1000/E50)</f>
        <v>14.021432274344992</v>
      </c>
      <c r="G50" s="3388">
        <f>SUM(G47:G48)</f>
        <v>620.94069866978271</v>
      </c>
      <c r="H50" s="3362">
        <f t="shared" ref="H50" si="13">IF(G50="NA","NA",IF(G50="NO","NO",G50*44/12))</f>
        <v>2276.7825617892031</v>
      </c>
      <c r="I50" s="3388">
        <f>SUM(I47:I48)</f>
        <v>2524.5674980679933</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296263.42633052944</v>
      </c>
      <c r="F55" s="3319">
        <f t="shared" si="14"/>
        <v>15.189630868426871</v>
      </c>
      <c r="G55" s="3388">
        <f>SUM(G31,G45,G50,G54)</f>
        <v>5319.4449282694331</v>
      </c>
      <c r="H55" s="3363">
        <f t="shared" si="15"/>
        <v>19504.631403654588</v>
      </c>
      <c r="I55" s="3388">
        <f>SUM(I31,I45,I50,I54)</f>
        <v>16500.48431451244</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3" workbookViewId="0">
      <selection activeCell="M12" sqref="M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548.49968299962495</v>
      </c>
      <c r="D10" s="3105"/>
      <c r="E10" s="3105"/>
      <c r="F10" s="3057">
        <f>SUM(F11,F18)</f>
        <v>1071.3959969149528</v>
      </c>
      <c r="G10" s="3057">
        <f>SUM(G11,G18)</f>
        <v>1580.216366257682</v>
      </c>
      <c r="H10" s="3057">
        <f>H11</f>
        <v>-253.21904317410358</v>
      </c>
      <c r="I10" s="3106" t="s">
        <v>199</v>
      </c>
      <c r="L10" s="3676"/>
    </row>
    <row r="11" spans="2:12" ht="18" customHeight="1" x14ac:dyDescent="0.2">
      <c r="B11" s="1251" t="s">
        <v>486</v>
      </c>
      <c r="C11" s="3014">
        <v>95.831136000000001</v>
      </c>
      <c r="D11" s="3057">
        <f>IFERROR(SUM(F11,-H11)/$C$11,"NA")</f>
        <v>11.026802353249726</v>
      </c>
      <c r="E11" s="3057">
        <f>IFERROR(SUM(G11)/$C$11,"NA")</f>
        <v>15.042215516845435</v>
      </c>
      <c r="F11" s="3057">
        <f>SUM(F12:F16)</f>
        <v>803.49195278529089</v>
      </c>
      <c r="G11" s="3057">
        <f>SUM(G12:G16)</f>
        <v>1441.5126009361252</v>
      </c>
      <c r="H11" s="3057">
        <f>H12</f>
        <v>-253.21904317410358</v>
      </c>
      <c r="I11" s="3106" t="s">
        <v>199</v>
      </c>
    </row>
    <row r="12" spans="2:12" ht="18" customHeight="1" x14ac:dyDescent="0.2">
      <c r="B12" s="160" t="s">
        <v>487</v>
      </c>
      <c r="C12" s="3027"/>
      <c r="D12" s="3057">
        <f>IFERROR(SUM(F12,-H12)/$C$11,"NA")</f>
        <v>10.37626808922777</v>
      </c>
      <c r="E12" s="3057">
        <f>IFERROR(SUM(G12)/$C$11,"NA")</f>
        <v>13.07626905856786</v>
      </c>
      <c r="F12" s="3104">
        <v>741.15051525714296</v>
      </c>
      <c r="G12" s="3104">
        <v>1253.1137185242085</v>
      </c>
      <c r="H12" s="3104">
        <v>-253.21904317410358</v>
      </c>
      <c r="I12" s="3015" t="s">
        <v>199</v>
      </c>
    </row>
    <row r="13" spans="2:12" ht="18" customHeight="1" x14ac:dyDescent="0.2">
      <c r="B13" s="160" t="s">
        <v>488</v>
      </c>
      <c r="C13" s="3027"/>
      <c r="D13" s="3057">
        <f>IFERROR(SUM(F13)/$C$11,"NA")</f>
        <v>0.38285421036956874</v>
      </c>
      <c r="E13" s="3057" t="s">
        <v>205</v>
      </c>
      <c r="F13" s="3104">
        <v>36.689353902098752</v>
      </c>
      <c r="G13" s="3104" t="s">
        <v>221</v>
      </c>
      <c r="H13" s="3104" t="s">
        <v>199</v>
      </c>
      <c r="I13" s="3015" t="s">
        <v>199</v>
      </c>
    </row>
    <row r="14" spans="2:12" ht="18" customHeight="1" x14ac:dyDescent="0.2">
      <c r="B14" s="160" t="s">
        <v>489</v>
      </c>
      <c r="C14" s="3442">
        <v>116</v>
      </c>
      <c r="D14" s="3057">
        <f>IFERROR(SUM(F14)/$C$11,"NA")</f>
        <v>0.26143169669196964</v>
      </c>
      <c r="E14" s="3057" t="s">
        <v>205</v>
      </c>
      <c r="F14" s="3104">
        <v>25.053296480398895</v>
      </c>
      <c r="G14" s="3104" t="s">
        <v>205</v>
      </c>
      <c r="H14" s="3104" t="s">
        <v>199</v>
      </c>
      <c r="I14" s="3015" t="s">
        <v>199</v>
      </c>
    </row>
    <row r="15" spans="2:12" ht="18" customHeight="1" x14ac:dyDescent="0.2">
      <c r="B15" s="160" t="s">
        <v>490</v>
      </c>
      <c r="C15" s="3014">
        <v>6.6706801094528007E-2</v>
      </c>
      <c r="D15" s="3057">
        <f>IFERROR(SUM(F15)/$C15,"NA")</f>
        <v>8.9764032426282334</v>
      </c>
      <c r="E15" s="3057">
        <f>IFERROR(SUM(G15)/$C15,"NA")</f>
        <v>2824.282971461078</v>
      </c>
      <c r="F15" s="3104">
        <v>0.5987871456502778</v>
      </c>
      <c r="G15" s="3104">
        <v>188.39888241191665</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452.66854699962499</v>
      </c>
      <c r="D18" s="3057">
        <f>IFERROR(SUM(F18)/$C$18,"NA")</f>
        <v>0.59183269061961996</v>
      </c>
      <c r="E18" s="3057">
        <f>IFERROR(SUM(G18)/$C$18,"NA")</f>
        <v>0.30641352539493238</v>
      </c>
      <c r="F18" s="3057">
        <f>SUM(F19:F21)</f>
        <v>267.90404412966194</v>
      </c>
      <c r="G18" s="3109">
        <f t="shared" ref="G18" si="1">SUM(G19:G21)</f>
        <v>138.70376532155674</v>
      </c>
      <c r="H18" s="3057" t="s">
        <v>199</v>
      </c>
      <c r="I18" s="3106" t="s">
        <v>199</v>
      </c>
    </row>
    <row r="19" spans="2:9" ht="18" customHeight="1" x14ac:dyDescent="0.2">
      <c r="B19" s="160" t="s">
        <v>493</v>
      </c>
      <c r="C19" s="3027"/>
      <c r="D19" s="3057">
        <f>IFERROR(SUM(F19)/$C$18,"NA")</f>
        <v>0.59183269061961996</v>
      </c>
      <c r="E19" s="3057">
        <f>IFERROR(SUM(G19)/$C$18,"NA")</f>
        <v>0.30641352539493238</v>
      </c>
      <c r="F19" s="3104">
        <v>267.90404412966194</v>
      </c>
      <c r="G19" s="3104">
        <v>138.70376532155674</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1" workbookViewId="0">
      <selection activeCell="O37" sqref="O37"/>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229.60731854549999</v>
      </c>
      <c r="J10" s="3123">
        <f>IF(SUM(J11:J16)=0,"NO",SUM(J11:J16))</f>
        <v>4.9756270180422888</v>
      </c>
      <c r="K10" s="4433">
        <f>IF(SUM(K11:K16)=0,"NO",SUM(K11:K16))</f>
        <v>7.3061054508000009E-3</v>
      </c>
      <c r="L10" s="3124" t="s">
        <v>199</v>
      </c>
    </row>
    <row r="11" spans="2:12" ht="18" customHeight="1" x14ac:dyDescent="0.2">
      <c r="B11" s="1251" t="s">
        <v>520</v>
      </c>
      <c r="C11" s="2190" t="s">
        <v>521</v>
      </c>
      <c r="D11" s="2190" t="s">
        <v>522</v>
      </c>
      <c r="E11" s="699">
        <v>65</v>
      </c>
      <c r="F11" s="1938">
        <f>I11*1000000/$E11</f>
        <v>18548.676923076924</v>
      </c>
      <c r="G11" s="1938">
        <f>J11*1000000/$E11</f>
        <v>1.9128323076923075</v>
      </c>
      <c r="H11" s="1938">
        <f>K11*1000000/$E11</f>
        <v>1.2752215384615384</v>
      </c>
      <c r="I11" s="3119">
        <v>1.2056640000000001</v>
      </c>
      <c r="J11" s="4434">
        <v>1.2433409999999999E-4</v>
      </c>
      <c r="K11" s="4440">
        <v>8.28894E-5</v>
      </c>
      <c r="L11" s="3072" t="s">
        <v>199</v>
      </c>
    </row>
    <row r="12" spans="2:12" ht="18" customHeight="1" x14ac:dyDescent="0.2">
      <c r="B12" s="1251" t="s">
        <v>523</v>
      </c>
      <c r="C12" s="2190" t="s">
        <v>524</v>
      </c>
      <c r="D12" s="2190" t="s">
        <v>525</v>
      </c>
      <c r="E12" s="699">
        <v>888.50560499999983</v>
      </c>
      <c r="F12" s="1938" t="s">
        <v>205</v>
      </c>
      <c r="G12" s="1938">
        <f>J12*1000000/$E12</f>
        <v>3393.0116153800054</v>
      </c>
      <c r="H12" s="3075"/>
      <c r="I12" s="3125" t="s">
        <v>205</v>
      </c>
      <c r="J12" s="699">
        <v>3.0147098380952384</v>
      </c>
      <c r="K12" s="3027"/>
      <c r="L12" s="3072" t="s">
        <v>199</v>
      </c>
    </row>
    <row r="13" spans="2:12" ht="18" customHeight="1" x14ac:dyDescent="0.2">
      <c r="B13" s="1251" t="s">
        <v>526</v>
      </c>
      <c r="C13" s="2190" t="s">
        <v>527</v>
      </c>
      <c r="D13" s="2190" t="s">
        <v>525</v>
      </c>
      <c r="E13" s="699">
        <v>770.3223509999998</v>
      </c>
      <c r="F13" s="1938" t="s">
        <v>205</v>
      </c>
      <c r="G13" s="1938">
        <f>J13*1000000/$E13</f>
        <v>121.50882199510507</v>
      </c>
      <c r="H13" s="3075"/>
      <c r="I13" s="3125" t="s">
        <v>205</v>
      </c>
      <c r="J13" s="699">
        <v>9.3600961426509824E-2</v>
      </c>
      <c r="K13" s="3027"/>
      <c r="L13" s="3072" t="s">
        <v>199</v>
      </c>
    </row>
    <row r="14" spans="2:12" ht="18" customHeight="1" x14ac:dyDescent="0.2">
      <c r="B14" s="1251" t="s">
        <v>528</v>
      </c>
      <c r="C14" s="2190" t="s">
        <v>529</v>
      </c>
      <c r="D14" s="2190" t="s">
        <v>525</v>
      </c>
      <c r="E14" s="699">
        <v>1306.2249516156728</v>
      </c>
      <c r="F14" s="1938">
        <f>I14*1000000/$E14</f>
        <v>174856.2942875876</v>
      </c>
      <c r="G14" s="1938">
        <f>J14*1000000/$E14</f>
        <v>1366.0853182397057</v>
      </c>
      <c r="H14" s="1938">
        <f>K14*1000000/$E14</f>
        <v>5.5298408148348317</v>
      </c>
      <c r="I14" s="3125">
        <v>228.40165454549998</v>
      </c>
      <c r="J14" s="699">
        <v>1.7844147287205407</v>
      </c>
      <c r="K14" s="4439">
        <v>7.2232160508000007E-3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8.2777155700000007E-2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3043</v>
      </c>
      <c r="F18" s="1938" t="s">
        <v>205</v>
      </c>
      <c r="G18" s="1938">
        <f>J18*1000000/$E18</f>
        <v>27.202482977325008</v>
      </c>
      <c r="H18" s="3126"/>
      <c r="I18" s="3128" t="s">
        <v>205</v>
      </c>
      <c r="J18" s="2215">
        <v>8.2777155700000007E-2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130.7756688095655</v>
      </c>
      <c r="J21" s="4437">
        <f>IF(SUM(J22:J27)=0,"NO",SUM(J22:J27))</f>
        <v>153.31776872858597</v>
      </c>
      <c r="K21" s="4438">
        <f>IF(SUM(K22:K27)=0,"NO",SUM(K22:K27))</f>
        <v>3.3723588924E-3</v>
      </c>
      <c r="L21" s="3047" t="str">
        <f>IF(SUM(L22:L27)=0,"NO",SUM(L22:L27))</f>
        <v>NO</v>
      </c>
    </row>
    <row r="22" spans="2:12" ht="18" customHeight="1" x14ac:dyDescent="0.2">
      <c r="B22" s="1468" t="s">
        <v>535</v>
      </c>
      <c r="C22" s="2190" t="s">
        <v>521</v>
      </c>
      <c r="D22" s="2190" t="s">
        <v>522</v>
      </c>
      <c r="E22" s="699">
        <v>659.75500596829534</v>
      </c>
      <c r="F22" s="1938">
        <f>I22*1000000/$E22</f>
        <v>173595.39708720488</v>
      </c>
      <c r="G22" s="1938">
        <f>J22*1000000/$E22</f>
        <v>8570.5450501038704</v>
      </c>
      <c r="H22" s="1938">
        <f>K22*1000000/$E22</f>
        <v>5.1115321019058086</v>
      </c>
      <c r="I22" s="3119">
        <v>114.53043224133746</v>
      </c>
      <c r="J22" s="700">
        <v>5.654460000682823</v>
      </c>
      <c r="K22" s="4129">
        <v>3.3723588924E-3</v>
      </c>
      <c r="L22" s="3133" t="s">
        <v>199</v>
      </c>
    </row>
    <row r="23" spans="2:12" ht="18" customHeight="1" x14ac:dyDescent="0.2">
      <c r="B23" s="1251" t="s">
        <v>536</v>
      </c>
      <c r="C23" s="2190" t="s">
        <v>537</v>
      </c>
      <c r="D23" s="2190" t="s">
        <v>525</v>
      </c>
      <c r="E23" s="699">
        <v>3685.0695958699876</v>
      </c>
      <c r="F23" s="1938">
        <f>I23*1000000/$E23</f>
        <v>168.5832372393939</v>
      </c>
      <c r="G23" s="1938">
        <f>J23*1000000/$E23</f>
        <v>5880.7188035498575</v>
      </c>
      <c r="H23" s="3075"/>
      <c r="I23" s="3125">
        <v>0.62124096192422751</v>
      </c>
      <c r="J23" s="699">
        <v>21.670858064822511</v>
      </c>
      <c r="K23" s="3027"/>
      <c r="L23" s="3133" t="s">
        <v>199</v>
      </c>
    </row>
    <row r="24" spans="2:12" ht="18" customHeight="1" x14ac:dyDescent="0.2">
      <c r="B24" s="1251" t="s">
        <v>538</v>
      </c>
      <c r="C24" s="2190" t="s">
        <v>537</v>
      </c>
      <c r="D24" s="2190" t="s">
        <v>525</v>
      </c>
      <c r="E24" s="699">
        <v>3685.0695958699876</v>
      </c>
      <c r="F24" s="1938">
        <f t="shared" ref="F24:F26" si="0">I24*1000000/$E24</f>
        <v>942.88857659430494</v>
      </c>
      <c r="G24" s="1938">
        <f t="shared" ref="G24:G26" si="1">J24*1000000/$E24</f>
        <v>5686.3143663230621</v>
      </c>
      <c r="H24" s="1885"/>
      <c r="I24" s="699">
        <v>3.474610025900803</v>
      </c>
      <c r="J24" s="699">
        <v>20.95446418389583</v>
      </c>
      <c r="K24" s="1939"/>
      <c r="L24" s="3072" t="str">
        <f>IF(Table1.C!E21="NO","NO",-Table1.C!E21)</f>
        <v>NO</v>
      </c>
    </row>
    <row r="25" spans="2:12" ht="18" customHeight="1" x14ac:dyDescent="0.2">
      <c r="B25" s="1251" t="s">
        <v>539</v>
      </c>
      <c r="C25" s="2190" t="s">
        <v>540</v>
      </c>
      <c r="D25" s="2190" t="s">
        <v>541</v>
      </c>
      <c r="E25" s="699">
        <v>28491.249999999996</v>
      </c>
      <c r="F25" s="1938">
        <f t="shared" si="0"/>
        <v>20.035870662045369</v>
      </c>
      <c r="G25" s="1938">
        <f t="shared" si="1"/>
        <v>749.78692957110889</v>
      </c>
      <c r="H25" s="3075"/>
      <c r="I25" s="3125">
        <v>0.57084699999999999</v>
      </c>
      <c r="J25" s="699">
        <v>21.362366857142856</v>
      </c>
      <c r="K25" s="3027"/>
      <c r="L25" s="3072" t="s">
        <v>199</v>
      </c>
    </row>
    <row r="26" spans="2:12" ht="18" customHeight="1" x14ac:dyDescent="0.2">
      <c r="B26" s="1251" t="s">
        <v>542</v>
      </c>
      <c r="C26" s="2190" t="s">
        <v>543</v>
      </c>
      <c r="D26" s="2190" t="s">
        <v>525</v>
      </c>
      <c r="E26" s="699">
        <v>386.86495538374879</v>
      </c>
      <c r="F26" s="1938">
        <f t="shared" si="0"/>
        <v>28507.144174245666</v>
      </c>
      <c r="G26" s="1938">
        <f t="shared" si="1"/>
        <v>180090.34839898036</v>
      </c>
      <c r="H26" s="3075"/>
      <c r="I26" s="3125">
        <v>11.028415059087644</v>
      </c>
      <c r="J26" s="699">
        <v>69.670644598415308</v>
      </c>
      <c r="K26" s="3027"/>
      <c r="L26" s="3072" t="s">
        <v>199</v>
      </c>
    </row>
    <row r="27" spans="2:12" ht="18" customHeight="1" x14ac:dyDescent="0.2">
      <c r="B27" s="2436" t="s">
        <v>544</v>
      </c>
      <c r="C27" s="607"/>
      <c r="D27" s="607"/>
      <c r="E27" s="615"/>
      <c r="F27" s="615"/>
      <c r="G27" s="615"/>
      <c r="H27" s="3126"/>
      <c r="I27" s="1938">
        <f>IF(SUM(I29:I30)=0,"NO",SUM(I29:I30))</f>
        <v>0.55012352131535092</v>
      </c>
      <c r="J27" s="1938">
        <f>IF(SUM(J29:J30)=0,"NO",SUM(J29:J30))</f>
        <v>14.004975023626635</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0.55012352131535092</v>
      </c>
      <c r="J29" s="3128">
        <v>13.760011720426634</v>
      </c>
      <c r="K29" s="3110"/>
      <c r="L29" s="3080" t="s">
        <v>199</v>
      </c>
    </row>
    <row r="30" spans="2:12" ht="18" customHeight="1" thickBot="1" x14ac:dyDescent="0.25">
      <c r="B30" s="2437" t="s">
        <v>547</v>
      </c>
      <c r="C30" s="2190" t="s">
        <v>533</v>
      </c>
      <c r="D30" s="2190" t="s">
        <v>522</v>
      </c>
      <c r="E30" s="699">
        <v>12488</v>
      </c>
      <c r="F30" s="1938" t="s">
        <v>205</v>
      </c>
      <c r="G30" s="1938">
        <f t="shared" ref="G30" si="2">J30*1000000/$E30</f>
        <v>19.615895515695069</v>
      </c>
      <c r="H30" s="3126"/>
      <c r="I30" s="3128" t="s">
        <v>205</v>
      </c>
      <c r="J30" s="3128">
        <v>0.24496330320000004</v>
      </c>
      <c r="K30" s="3110"/>
      <c r="L30" s="3080" t="s">
        <v>199</v>
      </c>
    </row>
    <row r="31" spans="2:12" ht="18" customHeight="1" x14ac:dyDescent="0.2">
      <c r="B31" s="1254" t="s">
        <v>548</v>
      </c>
      <c r="C31" s="2192"/>
      <c r="D31" s="2192"/>
      <c r="E31" s="3183"/>
      <c r="F31" s="3183"/>
      <c r="G31" s="3183"/>
      <c r="H31" s="3183"/>
      <c r="I31" s="4437">
        <f>IF(SUM(I32,I36)=0,"NO",SUM(I32,I36))</f>
        <v>6353.9247338599798</v>
      </c>
      <c r="J31" s="3046">
        <f>IF(SUM(J32,J36)=0,"NO",SUM(J32,J36))</f>
        <v>68.950649765652031</v>
      </c>
      <c r="K31" s="3046">
        <f>IF(SUM(K32,K36)=0,"NO",SUM(K32,K36))</f>
        <v>0.10359334720612905</v>
      </c>
      <c r="L31" s="3047" t="str">
        <f>IF(SUM(L32,L36)=0,"NO",SUM(L32,L36))</f>
        <v>NO</v>
      </c>
    </row>
    <row r="32" spans="2:12" ht="18" customHeight="1" x14ac:dyDescent="0.2">
      <c r="B32" s="1467" t="s">
        <v>549</v>
      </c>
      <c r="C32" s="2195"/>
      <c r="D32" s="2195"/>
      <c r="E32" s="3007"/>
      <c r="F32" s="3007"/>
      <c r="G32" s="3007"/>
      <c r="H32" s="3007"/>
      <c r="I32" s="3134">
        <f>IF(SUM(I33:I35)=0,"NO",SUM(I33:I35))</f>
        <v>3320.4344739869789</v>
      </c>
      <c r="J32" s="1938">
        <f>IF(SUM(J33:J35)=0,"NO",SUM(J33:J35))</f>
        <v>56.837382196175845</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4573.5752008699874</v>
      </c>
      <c r="F35" s="1938">
        <f t="shared" ref="F35" si="3">SUM(I35,L35)*1000000/$E35</f>
        <v>726004.12765824085</v>
      </c>
      <c r="G35" s="1938">
        <f t="shared" ref="G35" si="4">J35*1000000/$E35</f>
        <v>12427.341784030186</v>
      </c>
      <c r="H35" s="1938" t="s">
        <v>205</v>
      </c>
      <c r="I35" s="699">
        <v>3320.4344739869789</v>
      </c>
      <c r="J35" s="699">
        <v>56.837382196175845</v>
      </c>
      <c r="K35" s="699" t="s">
        <v>199</v>
      </c>
      <c r="L35" s="3072" t="s">
        <v>199</v>
      </c>
    </row>
    <row r="36" spans="2:12" ht="18" customHeight="1" x14ac:dyDescent="0.2">
      <c r="B36" s="1467" t="s">
        <v>554</v>
      </c>
      <c r="C36" s="2195"/>
      <c r="D36" s="2195"/>
      <c r="E36" s="3007"/>
      <c r="F36" s="3007"/>
      <c r="G36" s="3007"/>
      <c r="H36" s="3007"/>
      <c r="I36" s="3134">
        <f>IF(SUM(I37:I39)=0,"NO",SUM(I37:I39))</f>
        <v>3033.4902598730005</v>
      </c>
      <c r="J36" s="3134">
        <f>IF(SUM(J37:J39)=0,"NO",SUM(J37:J39))</f>
        <v>12.113267569476189</v>
      </c>
      <c r="K36" s="1938">
        <f>IF(SUM(K37:K39)=0,"NO",SUM(K37:K39))</f>
        <v>0.10359334720612905</v>
      </c>
      <c r="L36" s="3044" t="str">
        <f>IF(SUM(L37:L39)=0,"NO",SUM(L37:L39))</f>
        <v>NO</v>
      </c>
    </row>
    <row r="37" spans="2:12" ht="18" customHeight="1" x14ac:dyDescent="0.2">
      <c r="B37" s="1469" t="s">
        <v>555</v>
      </c>
      <c r="C37" s="277" t="s">
        <v>556</v>
      </c>
      <c r="D37" s="277" t="s">
        <v>525</v>
      </c>
      <c r="E37" s="699">
        <v>5.9968554345813674</v>
      </c>
      <c r="F37" s="1938">
        <f t="shared" ref="F37:F38" si="5">SUM(I37,L37)*1000000/$E37</f>
        <v>109686672.4861975</v>
      </c>
      <c r="G37" s="1938">
        <f t="shared" ref="G37:H38" si="6">J37*1000000/$E37</f>
        <v>1321129.5797316593</v>
      </c>
      <c r="H37" s="1938">
        <f t="shared" si="6"/>
        <v>3073.0500711639179</v>
      </c>
      <c r="I37" s="700">
        <v>657.77511800000002</v>
      </c>
      <c r="J37" s="700">
        <v>7.9226230999999991</v>
      </c>
      <c r="K37" s="700">
        <v>1.8428637019999999E-2</v>
      </c>
      <c r="L37" s="3133" t="s">
        <v>199</v>
      </c>
    </row>
    <row r="38" spans="2:12" ht="18" customHeight="1" x14ac:dyDescent="0.2">
      <c r="B38" s="1469" t="s">
        <v>557</v>
      </c>
      <c r="C38" s="277" t="s">
        <v>556</v>
      </c>
      <c r="D38" s="277" t="s">
        <v>525</v>
      </c>
      <c r="E38" s="699">
        <v>53.392699558235535</v>
      </c>
      <c r="F38" s="1938">
        <f t="shared" si="5"/>
        <v>44495130.636386029</v>
      </c>
      <c r="G38" s="1938">
        <f t="shared" si="6"/>
        <v>78487.218367849055</v>
      </c>
      <c r="H38" s="1938">
        <f t="shared" si="6"/>
        <v>1595.0628248949972</v>
      </c>
      <c r="I38" s="699">
        <v>2375.7151418730004</v>
      </c>
      <c r="J38" s="699">
        <v>4.1906444694761902</v>
      </c>
      <c r="K38" s="699">
        <v>8.5164710186129047E-2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9" workbookViewId="0">
      <selection activeCell="F16" sqref="F16"/>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43.103302858572491</v>
      </c>
      <c r="M9" s="3323">
        <f>100*C10/SUM(C10,'Table1.A(a)s3'!C16)</f>
        <v>56.896697141427509</v>
      </c>
    </row>
    <row r="10" spans="1:13" ht="18" customHeight="1" thickTop="1" thickBot="1" x14ac:dyDescent="0.25">
      <c r="B10" s="223" t="s">
        <v>603</v>
      </c>
      <c r="C10" s="3303">
        <f>IF(SUM(C11:C13)=0,"NO",SUM(C11:C13))</f>
        <v>150460</v>
      </c>
      <c r="D10" s="3304"/>
      <c r="E10" s="3305"/>
      <c r="F10" s="3305"/>
      <c r="G10" s="3303">
        <f>IF(SUM(G11:G13)=0,"NO",SUM(G11:G13))</f>
        <v>10472.016000000001</v>
      </c>
      <c r="H10" s="3303">
        <f>IF(SUM(H11:H13)=0,"NO",SUM(H11:H13))</f>
        <v>2.0785209534883727E-2</v>
      </c>
      <c r="I10" s="1154">
        <f>IF(SUM(I11:I13)=0,"NO",SUM(I11:I13))</f>
        <v>5.3561028018800499E-2</v>
      </c>
      <c r="J10" s="4"/>
      <c r="K10" s="68" t="s">
        <v>604</v>
      </c>
      <c r="L10" s="3324">
        <f>100-M10</f>
        <v>41.56340709735975</v>
      </c>
      <c r="M10" s="3325">
        <f>100*C14/SUM(C14,'Table1.A(a)s3'!C88)</f>
        <v>58.43659290264025</v>
      </c>
    </row>
    <row r="11" spans="1:13" ht="18" customHeight="1" x14ac:dyDescent="0.2">
      <c r="B11" s="1257" t="s">
        <v>293</v>
      </c>
      <c r="C11" s="3306">
        <v>150460</v>
      </c>
      <c r="D11" s="116">
        <f>IF(G11="NO","NA",G11*1000/$C11)</f>
        <v>69.600000000000009</v>
      </c>
      <c r="E11" s="116">
        <f t="shared" ref="E11:F13" si="0">IF(H11="NO","NA",H11*1000000/$C11)</f>
        <v>0.138144420675819</v>
      </c>
      <c r="F11" s="116">
        <f t="shared" si="0"/>
        <v>0.35598184247507975</v>
      </c>
      <c r="G11" s="3041">
        <v>10472.016000000001</v>
      </c>
      <c r="H11" s="3041">
        <v>2.0785209534883727E-2</v>
      </c>
      <c r="I11" s="3042">
        <v>5.3561028018800499E-2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33215</v>
      </c>
      <c r="D14" s="3313"/>
      <c r="E14" s="3314"/>
      <c r="F14" s="3315"/>
      <c r="G14" s="3387">
        <f>IF(SUM(G15:G18,G20:G22)=0,"NO",SUM(G15:G18,G20:G22))</f>
        <v>2438.4634999999998</v>
      </c>
      <c r="H14" s="3387">
        <f>IF(SUM(H15:H18,H20:H22)=0,"NO",SUM(H15:H18,H20:H22))</f>
        <v>0.23250500000000002</v>
      </c>
      <c r="I14" s="4428">
        <f>IF(SUM(I15:I18,I20:I22)=0,"NO",SUM(I15:I18,I20:I22))</f>
        <v>6.6430000000000003E-2</v>
      </c>
      <c r="J14" s="4"/>
      <c r="K14" s="1045"/>
      <c r="L14" s="1045"/>
      <c r="M14" s="1045"/>
    </row>
    <row r="15" spans="1:13" ht="18" customHeight="1" x14ac:dyDescent="0.2">
      <c r="B15" s="1259" t="s">
        <v>306</v>
      </c>
      <c r="C15" s="143">
        <v>31550</v>
      </c>
      <c r="D15" s="116">
        <f>IF(G15="NO","NA",G15*1000/$C15)</f>
        <v>73.599999999999994</v>
      </c>
      <c r="E15" s="116">
        <f t="shared" ref="E15:F17" si="1">IF(H15="NO","NA",H15*1000000/$C15)</f>
        <v>7.0000000000000009</v>
      </c>
      <c r="F15" s="116">
        <f t="shared" si="1"/>
        <v>2</v>
      </c>
      <c r="G15" s="3043">
        <v>2322.08</v>
      </c>
      <c r="H15" s="3043">
        <v>0.22085000000000002</v>
      </c>
      <c r="I15" s="135">
        <v>6.3100000000000003E-2</v>
      </c>
      <c r="J15" s="4"/>
      <c r="K15" s="1045"/>
      <c r="L15" s="1045"/>
      <c r="M15" s="1045"/>
    </row>
    <row r="16" spans="1:13" ht="18" customHeight="1" x14ac:dyDescent="0.2">
      <c r="B16" s="1259" t="s">
        <v>307</v>
      </c>
      <c r="C16" s="3316">
        <v>1665</v>
      </c>
      <c r="D16" s="116">
        <f>IF(G16="NO","NA",G16*1000/$C16)</f>
        <v>69.900000000000006</v>
      </c>
      <c r="E16" s="116">
        <f t="shared" si="1"/>
        <v>7.0000000000000009</v>
      </c>
      <c r="F16" s="116">
        <f t="shared" si="1"/>
        <v>2</v>
      </c>
      <c r="G16" s="3043">
        <v>116.3835</v>
      </c>
      <c r="H16" s="3043">
        <v>1.1655000000000002E-2</v>
      </c>
      <c r="I16" s="135">
        <v>3.3300000000000001E-3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21453.352539628704</v>
      </c>
      <c r="D10" s="2923">
        <f t="shared" ref="D10:N10" si="0">IF(SUM(D11,D16,D27,D35,D39,D45,D52,D57)=0,"NO",SUM(D11,D16,D27,D35,D39,D45,D52,D57))</f>
        <v>3.0130608782400001</v>
      </c>
      <c r="E10" s="2923">
        <f t="shared" si="0"/>
        <v>8.1442053829338708</v>
      </c>
      <c r="F10" s="2923">
        <f t="shared" si="0"/>
        <v>7816.4186628708085</v>
      </c>
      <c r="G10" s="2923">
        <f t="shared" si="0"/>
        <v>265.12979067717396</v>
      </c>
      <c r="H10" s="2923" t="str">
        <f t="shared" si="0"/>
        <v>NO</v>
      </c>
      <c r="I10" s="2923">
        <f t="shared" si="0"/>
        <v>5.0188659819423893E-3</v>
      </c>
      <c r="J10" s="2923" t="str">
        <f t="shared" si="0"/>
        <v>NO</v>
      </c>
      <c r="K10" s="2923">
        <f t="shared" si="0"/>
        <v>32.89694912647856</v>
      </c>
      <c r="L10" s="2924">
        <f t="shared" si="0"/>
        <v>8.791235453705708</v>
      </c>
      <c r="M10" s="2925">
        <f t="shared" si="0"/>
        <v>229.2808028723602</v>
      </c>
      <c r="N10" s="2926">
        <f t="shared" si="0"/>
        <v>1791.4374563769563</v>
      </c>
      <c r="O10" s="3002">
        <f t="shared" ref="O10:O58" si="1">IF(SUM(C10:J10)=0,"NO",SUM(C10,F10:H10)+28*SUM(D10)+265*SUM(E10)+23500*SUM(I10)+16100*SUM(J10))</f>
        <v>31895.424474820527</v>
      </c>
    </row>
    <row r="11" spans="1:15" ht="18" customHeight="1" x14ac:dyDescent="0.2">
      <c r="B11" s="1262" t="s">
        <v>621</v>
      </c>
      <c r="C11" s="2163">
        <f>IF(SUM(C12:C15)=0,"NO",SUM(C12:C15))</f>
        <v>6411.455571665676</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6411.455571665676</v>
      </c>
    </row>
    <row r="12" spans="1:15" ht="18" customHeight="1" x14ac:dyDescent="0.2">
      <c r="B12" s="1263" t="s">
        <v>622</v>
      </c>
      <c r="C12" s="2930">
        <f>'Table2(I).A-H'!H11</f>
        <v>3518.2373745599998</v>
      </c>
      <c r="D12" s="2162"/>
      <c r="E12" s="2162"/>
      <c r="F12" s="615"/>
      <c r="G12" s="615"/>
      <c r="H12" s="2161"/>
      <c r="I12" s="615"/>
      <c r="J12" s="2161"/>
      <c r="K12" s="2161"/>
      <c r="L12" s="2161"/>
      <c r="M12" s="2161"/>
      <c r="N12" s="2929" t="s">
        <v>199</v>
      </c>
      <c r="O12" s="2943">
        <f t="shared" si="1"/>
        <v>3518.2373745599998</v>
      </c>
    </row>
    <row r="13" spans="1:15" ht="18" customHeight="1" x14ac:dyDescent="0.2">
      <c r="B13" s="1263" t="s">
        <v>623</v>
      </c>
      <c r="C13" s="1884">
        <f>'Table2(I).A-H'!H12</f>
        <v>1304.7142518465926</v>
      </c>
      <c r="D13" s="2135"/>
      <c r="E13" s="2135"/>
      <c r="F13" s="615"/>
      <c r="G13" s="615"/>
      <c r="H13" s="2161"/>
      <c r="I13" s="615"/>
      <c r="J13" s="2161"/>
      <c r="K13" s="615"/>
      <c r="L13" s="615"/>
      <c r="M13" s="615"/>
      <c r="N13" s="1842"/>
      <c r="O13" s="1887">
        <f t="shared" si="1"/>
        <v>1304.7142518465926</v>
      </c>
    </row>
    <row r="14" spans="1:15" ht="18" customHeight="1" x14ac:dyDescent="0.2">
      <c r="B14" s="1263" t="s">
        <v>624</v>
      </c>
      <c r="C14" s="1884">
        <f>'Table2(I).A-H'!H13</f>
        <v>97.244468193204298</v>
      </c>
      <c r="D14" s="2135"/>
      <c r="E14" s="2135"/>
      <c r="F14" s="615"/>
      <c r="G14" s="615"/>
      <c r="H14" s="2161"/>
      <c r="I14" s="615"/>
      <c r="J14" s="2161"/>
      <c r="K14" s="615"/>
      <c r="L14" s="615"/>
      <c r="M14" s="615"/>
      <c r="N14" s="1842"/>
      <c r="O14" s="1887">
        <f t="shared" si="1"/>
        <v>97.244468193204298</v>
      </c>
    </row>
    <row r="15" spans="1:15" ht="18" customHeight="1" thickBot="1" x14ac:dyDescent="0.25">
      <c r="B15" s="1263" t="s">
        <v>625</v>
      </c>
      <c r="C15" s="1884">
        <f>'Table2(I).A-H'!H14</f>
        <v>1491.2594770658789</v>
      </c>
      <c r="D15" s="1885"/>
      <c r="E15" s="1885"/>
      <c r="F15" s="3003"/>
      <c r="G15" s="3003"/>
      <c r="H15" s="3003"/>
      <c r="I15" s="3003"/>
      <c r="J15" s="3003"/>
      <c r="K15" s="2622" t="s">
        <v>199</v>
      </c>
      <c r="L15" s="2622" t="s">
        <v>199</v>
      </c>
      <c r="M15" s="2622" t="s">
        <v>199</v>
      </c>
      <c r="N15" s="2623" t="s">
        <v>199</v>
      </c>
      <c r="O15" s="1887">
        <f t="shared" si="1"/>
        <v>1491.2594770658789</v>
      </c>
    </row>
    <row r="16" spans="1:15" ht="18" customHeight="1" x14ac:dyDescent="0.2">
      <c r="B16" s="1264" t="s">
        <v>626</v>
      </c>
      <c r="C16" s="2163">
        <f>IF(SUM(C17:C26)=0,"NO",SUM(C17:C26))</f>
        <v>3232.4648896797153</v>
      </c>
      <c r="D16" s="2163">
        <f t="shared" ref="D16:N16" si="3">IF(SUM(D17:D26)=0,"NO",SUM(D17:D26))</f>
        <v>0.57776360000000004</v>
      </c>
      <c r="E16" s="2163">
        <f t="shared" si="3"/>
        <v>8.0798403411564426</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5389.7999608861719</v>
      </c>
    </row>
    <row r="17" spans="2:15" ht="18" customHeight="1" x14ac:dyDescent="0.2">
      <c r="B17" s="1265" t="s">
        <v>627</v>
      </c>
      <c r="C17" s="2930">
        <f>'Table2(I).A-H'!H23</f>
        <v>1991.9950205464343</v>
      </c>
      <c r="D17" s="2165" t="str">
        <f>'Table2(I).A-H'!I23</f>
        <v>NO</v>
      </c>
      <c r="E17" s="2165" t="str">
        <f>'Table2(I).A-H'!J23</f>
        <v>NO</v>
      </c>
      <c r="F17" s="2161"/>
      <c r="G17" s="2161"/>
      <c r="H17" s="2161"/>
      <c r="I17" s="2161"/>
      <c r="J17" s="2161"/>
      <c r="K17" s="700" t="s">
        <v>199</v>
      </c>
      <c r="L17" s="700" t="s">
        <v>199</v>
      </c>
      <c r="M17" s="700" t="s">
        <v>199</v>
      </c>
      <c r="N17" s="700" t="s">
        <v>199</v>
      </c>
      <c r="O17" s="2943">
        <f t="shared" si="1"/>
        <v>1991.9950205464343</v>
      </c>
    </row>
    <row r="18" spans="2:15" ht="18" customHeight="1" x14ac:dyDescent="0.2">
      <c r="B18" s="1263" t="s">
        <v>628</v>
      </c>
      <c r="C18" s="1935"/>
      <c r="D18" s="2162"/>
      <c r="E18" s="2165">
        <f>'Table2(I).A-H'!J24</f>
        <v>8.0798403411564426</v>
      </c>
      <c r="F18" s="615"/>
      <c r="G18" s="615"/>
      <c r="H18" s="2161"/>
      <c r="I18" s="615"/>
      <c r="J18" s="2161"/>
      <c r="K18" s="700" t="s">
        <v>199</v>
      </c>
      <c r="L18" s="615"/>
      <c r="M18" s="615"/>
      <c r="N18" s="1842"/>
      <c r="O18" s="2943">
        <f t="shared" si="1"/>
        <v>2141.1576904064573</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1013.8021903229074</v>
      </c>
      <c r="D22" s="1939"/>
      <c r="E22" s="615"/>
      <c r="F22" s="615"/>
      <c r="G22" s="615"/>
      <c r="H22" s="2161"/>
      <c r="I22" s="615"/>
      <c r="J22" s="2161"/>
      <c r="K22" s="1939"/>
      <c r="L22" s="1939"/>
      <c r="M22" s="1939"/>
      <c r="N22" s="2931"/>
      <c r="O22" s="1887">
        <f t="shared" si="1"/>
        <v>1013.8021903229074</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48.294806000000001</v>
      </c>
      <c r="D24" s="1884">
        <f>'Table2(I).A-H'!I35</f>
        <v>0.57776360000000004</v>
      </c>
      <c r="E24" s="615"/>
      <c r="F24" s="615"/>
      <c r="G24" s="615"/>
      <c r="H24" s="2161"/>
      <c r="I24" s="615"/>
      <c r="J24" s="2161"/>
      <c r="K24" s="700" t="s">
        <v>199</v>
      </c>
      <c r="L24" s="700" t="s">
        <v>199</v>
      </c>
      <c r="M24" s="699">
        <v>2.8425606806999988</v>
      </c>
      <c r="N24" s="700" t="s">
        <v>199</v>
      </c>
      <c r="O24" s="1887">
        <f t="shared" si="1"/>
        <v>64.472186800000003</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178.37287281037399</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178.37287281037399</v>
      </c>
    </row>
    <row r="27" spans="2:15" ht="18" customHeight="1" x14ac:dyDescent="0.2">
      <c r="B27" s="1262" t="s">
        <v>637</v>
      </c>
      <c r="C27" s="2163">
        <f>IF(SUM(C28:C34)=0,"NO",SUM(C28:C34))</f>
        <v>11398.781007211961</v>
      </c>
      <c r="D27" s="2163">
        <f t="shared" ref="D27:N27" si="4">IF(SUM(D28:D34)=0,"NO",SUM(D28:D34))</f>
        <v>2.4352972782400002</v>
      </c>
      <c r="E27" s="2163">
        <f t="shared" si="4"/>
        <v>6.4365041777428564E-2</v>
      </c>
      <c r="F27" s="2164" t="str">
        <f t="shared" si="4"/>
        <v>NO</v>
      </c>
      <c r="G27" s="2164">
        <f t="shared" si="4"/>
        <v>265.12979067717396</v>
      </c>
      <c r="H27" s="2164" t="str">
        <f t="shared" si="4"/>
        <v>NO</v>
      </c>
      <c r="I27" s="2164" t="str">
        <f t="shared" si="4"/>
        <v>NO</v>
      </c>
      <c r="J27" s="2164" t="str">
        <f t="shared" si="4"/>
        <v>NO</v>
      </c>
      <c r="K27" s="2163">
        <f t="shared" si="4"/>
        <v>32.89694912647856</v>
      </c>
      <c r="L27" s="2163">
        <f t="shared" si="4"/>
        <v>8.791235453705708</v>
      </c>
      <c r="M27" s="2927">
        <f t="shared" si="4"/>
        <v>8.0269704660142868E-2</v>
      </c>
      <c r="N27" s="2928">
        <f t="shared" si="4"/>
        <v>1791.4374563769563</v>
      </c>
      <c r="O27" s="2950">
        <f t="shared" si="1"/>
        <v>11749.155857750875</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3193.6197834852833</v>
      </c>
      <c r="D30" s="1885"/>
      <c r="E30" s="615"/>
      <c r="F30" s="615"/>
      <c r="G30" s="2166">
        <f>SUM('Table2(II)'!X41:Y41)</f>
        <v>265.12979067717396</v>
      </c>
      <c r="H30" s="2162"/>
      <c r="I30" s="2168" t="s">
        <v>199</v>
      </c>
      <c r="J30" s="2161"/>
      <c r="K30" s="699" t="s">
        <v>205</v>
      </c>
      <c r="L30" s="699" t="s">
        <v>205</v>
      </c>
      <c r="M30" s="699" t="s">
        <v>205</v>
      </c>
      <c r="N30" s="2921">
        <v>49.62156384</v>
      </c>
      <c r="O30" s="1887">
        <f t="shared" si="1"/>
        <v>3458.7495741624571</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8205.1612237266781</v>
      </c>
      <c r="D34" s="1888">
        <f>'Table2(I).A-H'!I67</f>
        <v>2.4352972782400002</v>
      </c>
      <c r="E34" s="1888">
        <f>'Table2(I).A-H'!J67</f>
        <v>6.4365041777428564E-2</v>
      </c>
      <c r="F34" s="2172" t="s">
        <v>199</v>
      </c>
      <c r="G34" s="2172" t="s">
        <v>199</v>
      </c>
      <c r="H34" s="2172" t="s">
        <v>199</v>
      </c>
      <c r="I34" s="2172" t="s">
        <v>199</v>
      </c>
      <c r="J34" s="2172" t="s">
        <v>199</v>
      </c>
      <c r="K34" s="2622">
        <v>32.89694912647856</v>
      </c>
      <c r="L34" s="2622">
        <v>8.791235453705708</v>
      </c>
      <c r="M34" s="2622">
        <v>8.0269704660142868E-2</v>
      </c>
      <c r="N34" s="2623">
        <v>1741.8158925369564</v>
      </c>
      <c r="O34" s="1890">
        <f t="shared" si="1"/>
        <v>8290.4062835884179</v>
      </c>
    </row>
    <row r="35" spans="2:15" ht="18" customHeight="1" x14ac:dyDescent="0.2">
      <c r="B35" s="2489" t="s">
        <v>645</v>
      </c>
      <c r="C35" s="2930">
        <f>IF(SUM(C36:C38)=0,"NO",SUM(C36:C38))</f>
        <v>192.64508823</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185.13279564421933</v>
      </c>
      <c r="N35" s="2077" t="str">
        <f t="shared" ref="N35" si="7">IF(SUM(N36:N38)=0,"NO",SUM(N36:N38))</f>
        <v>NO</v>
      </c>
      <c r="O35" s="2943">
        <f t="shared" si="1"/>
        <v>192.64508823</v>
      </c>
    </row>
    <row r="36" spans="2:15" ht="18" customHeight="1" x14ac:dyDescent="0.2">
      <c r="B36" s="1269" t="s">
        <v>646</v>
      </c>
      <c r="C36" s="1884">
        <f>'Table2(I).A-H'!H73</f>
        <v>192.64508823</v>
      </c>
      <c r="D36" s="2166" t="str">
        <f>'Table2(I).A-H'!I73</f>
        <v>NO</v>
      </c>
      <c r="E36" s="2166" t="str">
        <f>'Table2(I).A-H'!J73</f>
        <v>NO</v>
      </c>
      <c r="F36" s="615"/>
      <c r="G36" s="615"/>
      <c r="H36" s="2161"/>
      <c r="I36" s="615"/>
      <c r="J36" s="2161"/>
      <c r="K36" s="2173" t="s">
        <v>205</v>
      </c>
      <c r="L36" s="2173" t="s">
        <v>205</v>
      </c>
      <c r="M36" s="699" t="s">
        <v>205</v>
      </c>
      <c r="N36" s="2167" t="s">
        <v>205</v>
      </c>
      <c r="O36" s="1887">
        <f t="shared" si="1"/>
        <v>192.64508823</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185.13279564421933</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7816.4186628708085</v>
      </c>
      <c r="G45" s="2163" t="str">
        <f t="shared" ref="G45:J45" si="9">IF(SUM(G46:G51)=0,"NO",SUM(G46:G51))</f>
        <v>NO</v>
      </c>
      <c r="H45" s="2930" t="str">
        <f t="shared" si="9"/>
        <v>NO</v>
      </c>
      <c r="I45" s="2930" t="str">
        <f t="shared" si="9"/>
        <v>NO</v>
      </c>
      <c r="J45" s="2165" t="str">
        <f t="shared" si="9"/>
        <v>NO</v>
      </c>
      <c r="K45" s="1955"/>
      <c r="L45" s="1955"/>
      <c r="M45" s="1955"/>
      <c r="N45" s="2178"/>
      <c r="O45" s="2950">
        <f t="shared" si="1"/>
        <v>7816.4186628708085</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7423.4579708927768</v>
      </c>
      <c r="G46" s="1884" t="s">
        <v>199</v>
      </c>
      <c r="H46" s="1884" t="s">
        <v>199</v>
      </c>
      <c r="I46" s="1884" t="s">
        <v>199</v>
      </c>
      <c r="J46" s="2165" t="str">
        <f t="shared" ref="J46" si="10">IF(SUM(J47:J52)=0,"NO",SUM(J47:J52))</f>
        <v>NO</v>
      </c>
      <c r="K46" s="615"/>
      <c r="L46" s="615"/>
      <c r="M46" s="615"/>
      <c r="N46" s="1842"/>
      <c r="O46" s="1887">
        <f t="shared" si="1"/>
        <v>7423.4579708927768</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51.336876868575885</v>
      </c>
      <c r="G47" s="1884" t="s">
        <v>199</v>
      </c>
      <c r="H47" s="1884" t="s">
        <v>199</v>
      </c>
      <c r="I47" s="1884" t="s">
        <v>199</v>
      </c>
      <c r="J47" s="2165" t="str">
        <f t="shared" ref="J47" si="11">IF(SUM(J48:J53)=0,"NO",SUM(J48:J53))</f>
        <v>NO</v>
      </c>
      <c r="K47" s="615"/>
      <c r="L47" s="615"/>
      <c r="M47" s="615"/>
      <c r="N47" s="1842"/>
      <c r="O47" s="1887">
        <f t="shared" si="1"/>
        <v>51.336876868575885</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56.016051475947272</v>
      </c>
      <c r="G48" s="1884" t="s">
        <v>199</v>
      </c>
      <c r="H48" s="1884" t="s">
        <v>199</v>
      </c>
      <c r="I48" s="1884" t="s">
        <v>199</v>
      </c>
      <c r="J48" s="2165" t="str">
        <f t="shared" ref="J48" si="12">IF(SUM(J49:J54)=0,"NO",SUM(J49:J54))</f>
        <v>NO</v>
      </c>
      <c r="K48" s="615"/>
      <c r="L48" s="615"/>
      <c r="M48" s="615"/>
      <c r="N48" s="1842"/>
      <c r="O48" s="1887">
        <f t="shared" si="1"/>
        <v>56.016051475947272</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188.13976790689463</v>
      </c>
      <c r="G49" s="1884" t="s">
        <v>199</v>
      </c>
      <c r="H49" s="1884" t="s">
        <v>199</v>
      </c>
      <c r="I49" s="1884" t="s">
        <v>199</v>
      </c>
      <c r="J49" s="2165" t="str">
        <f t="shared" ref="J49" si="13">IF(SUM(J50:J55)=0,"NO",SUM(J50:J55))</f>
        <v>NO</v>
      </c>
      <c r="K49" s="615"/>
      <c r="L49" s="615"/>
      <c r="M49" s="615"/>
      <c r="N49" s="1842"/>
      <c r="O49" s="1887">
        <f t="shared" si="1"/>
        <v>188.13976790689463</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97.467995726613921</v>
      </c>
      <c r="G50" s="1884" t="s">
        <v>199</v>
      </c>
      <c r="H50" s="1884" t="s">
        <v>199</v>
      </c>
      <c r="I50" s="1884" t="s">
        <v>199</v>
      </c>
      <c r="J50" s="2165" t="str">
        <f t="shared" ref="J50" si="14">IF(SUM(J51:J56)=0,"NO",SUM(J51:J56))</f>
        <v>NO</v>
      </c>
      <c r="K50" s="615"/>
      <c r="L50" s="615"/>
      <c r="M50" s="615"/>
      <c r="N50" s="1842"/>
      <c r="O50" s="1887">
        <f t="shared" si="1"/>
        <v>97.467995726613921</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5.0188659819423893E-3</v>
      </c>
      <c r="J52" s="2165" t="str">
        <f t="shared" si="16"/>
        <v>NO</v>
      </c>
      <c r="K52" s="2165" t="str">
        <f t="shared" si="16"/>
        <v>NO</v>
      </c>
      <c r="L52" s="2165" t="str">
        <f t="shared" si="16"/>
        <v>NO</v>
      </c>
      <c r="M52" s="2165" t="str">
        <f t="shared" si="16"/>
        <v>NO</v>
      </c>
      <c r="N52" s="2077" t="str">
        <f t="shared" si="16"/>
        <v>NO</v>
      </c>
      <c r="O52" s="2943">
        <f t="shared" si="1"/>
        <v>117.94335057564615</v>
      </c>
    </row>
    <row r="53" spans="2:15" ht="18" customHeight="1" x14ac:dyDescent="0.2">
      <c r="B53" s="1269" t="s">
        <v>663</v>
      </c>
      <c r="C53" s="2161"/>
      <c r="D53" s="2161"/>
      <c r="E53" s="2161"/>
      <c r="F53" s="2930" t="s">
        <v>199</v>
      </c>
      <c r="G53" s="2930" t="s">
        <v>199</v>
      </c>
      <c r="H53" s="2930" t="s">
        <v>199</v>
      </c>
      <c r="I53" s="2930">
        <f>SUM('Table2(II).B-Hs2'!J163:M163)/1000</f>
        <v>4.2314972626488825E-3</v>
      </c>
      <c r="J53" s="2930" t="s">
        <v>199</v>
      </c>
      <c r="K53" s="2161"/>
      <c r="L53" s="2161"/>
      <c r="M53" s="2161"/>
      <c r="N53" s="2174"/>
      <c r="O53" s="2943">
        <f t="shared" si="1"/>
        <v>99.440185672248745</v>
      </c>
    </row>
    <row r="54" spans="2:15" ht="18" customHeight="1" x14ac:dyDescent="0.2">
      <c r="B54" s="1269" t="s">
        <v>664</v>
      </c>
      <c r="C54" s="2161"/>
      <c r="D54" s="2161"/>
      <c r="E54" s="2161"/>
      <c r="F54" s="2161"/>
      <c r="G54" s="2930" t="s">
        <v>199</v>
      </c>
      <c r="H54" s="3007"/>
      <c r="I54" s="2930">
        <f>SUM('Table2(II).B-Hs2'!J165:M165)/1000</f>
        <v>7.8736871929350723E-4</v>
      </c>
      <c r="J54" s="2161"/>
      <c r="K54" s="2161"/>
      <c r="L54" s="2161"/>
      <c r="M54" s="2161"/>
      <c r="N54" s="2174"/>
      <c r="O54" s="2943">
        <f t="shared" si="1"/>
        <v>18.503164903397419</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218.00598284134924</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41.225176842780726</v>
      </c>
      <c r="N57" s="2100" t="str">
        <f>N58</f>
        <v>NA</v>
      </c>
      <c r="O57" s="2950">
        <f t="shared" si="1"/>
        <v>218.00598284134924</v>
      </c>
    </row>
    <row r="58" spans="2:15" ht="18" customHeight="1" thickBot="1" x14ac:dyDescent="0.25">
      <c r="B58" s="2613" t="s">
        <v>668</v>
      </c>
      <c r="C58" s="2517">
        <f>'Table2(I).A-H'!H98</f>
        <v>218.00598284134924</v>
      </c>
      <c r="D58" s="2517" t="str">
        <f>'Table2(I).A-H'!I98</f>
        <v>NO</v>
      </c>
      <c r="E58" s="2517" t="str">
        <f>'Table2(I).A-H'!J98</f>
        <v>NO</v>
      </c>
      <c r="F58" s="2517" t="s">
        <v>199</v>
      </c>
      <c r="G58" s="2517" t="s">
        <v>199</v>
      </c>
      <c r="H58" s="2517" t="s">
        <v>199</v>
      </c>
      <c r="I58" s="2517" t="s">
        <v>199</v>
      </c>
      <c r="J58" s="2517" t="s">
        <v>199</v>
      </c>
      <c r="K58" s="2922" t="s">
        <v>205</v>
      </c>
      <c r="L58" s="2922" t="s">
        <v>205</v>
      </c>
      <c r="M58" s="2922">
        <v>41.225176842780726</v>
      </c>
      <c r="N58" s="2932" t="s">
        <v>205</v>
      </c>
      <c r="O58" s="2935">
        <f t="shared" si="1"/>
        <v>218.00598284134924</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45.494324366241628</v>
      </c>
      <c r="D10" s="4431">
        <f t="shared" ref="D10:X10" si="0">IF(SUM(D11,D16,D20,D26,D33,D37)=0,"NO",SUM(D11,D16,D20,D26,D33,D37))</f>
        <v>202.81583704901954</v>
      </c>
      <c r="E10" s="4431" t="str">
        <f t="shared" si="0"/>
        <v>NO</v>
      </c>
      <c r="F10" s="4431" t="str">
        <f t="shared" si="0"/>
        <v>NO</v>
      </c>
      <c r="G10" s="4431">
        <f t="shared" si="0"/>
        <v>603.64268996403837</v>
      </c>
      <c r="H10" s="4431">
        <f t="shared" si="0"/>
        <v>1.607301593432817</v>
      </c>
      <c r="I10" s="4431">
        <f t="shared" si="0"/>
        <v>1872.5216615972599</v>
      </c>
      <c r="J10" s="4431" t="str">
        <f t="shared" si="0"/>
        <v>NO</v>
      </c>
      <c r="K10" s="4431">
        <f t="shared" si="0"/>
        <v>529.30837361486351</v>
      </c>
      <c r="L10" s="2073" t="str">
        <f t="shared" si="0"/>
        <v>NO</v>
      </c>
      <c r="M10" s="2073">
        <f t="shared" si="0"/>
        <v>76.769991626036031</v>
      </c>
      <c r="N10" s="2073" t="str">
        <f t="shared" si="0"/>
        <v>NO</v>
      </c>
      <c r="O10" s="4431">
        <f t="shared" si="0"/>
        <v>19.991865803223558</v>
      </c>
      <c r="P10" s="2073" t="str">
        <f t="shared" si="0"/>
        <v>NO</v>
      </c>
      <c r="Q10" s="2073" t="str">
        <f t="shared" si="0"/>
        <v>NO</v>
      </c>
      <c r="R10" s="2073">
        <f t="shared" si="0"/>
        <v>5.2652184344619446</v>
      </c>
      <c r="S10" s="2073" t="str">
        <f t="shared" si="0"/>
        <v>NO</v>
      </c>
      <c r="T10" s="2073">
        <f t="shared" si="0"/>
        <v>56.130689999506494</v>
      </c>
      <c r="U10" s="2073">
        <f t="shared" si="0"/>
        <v>70.288630301323479</v>
      </c>
      <c r="V10" s="2074" t="str">
        <f t="shared" si="0"/>
        <v>NO</v>
      </c>
      <c r="W10" s="2075"/>
      <c r="X10" s="2073">
        <f t="shared" si="0"/>
        <v>33.785883846153851</v>
      </c>
      <c r="Y10" s="4431">
        <f t="shared" ref="Y10" si="1">IF(SUM(Y11,Y16,Y20,Y26,Y33,Y37)=0,"NO",SUM(Y11,Y16,Y20,Y26,Y33,Y37))</f>
        <v>3.7053496195652178</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5.0188659819423895</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33.785883846153851</v>
      </c>
      <c r="Y16" s="4432">
        <f t="shared" ref="Y16" si="35">IF(SUM(Y17:Y19)=0,"NO",SUM(Y17:Y19))</f>
        <v>3.7053496195652178</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33.785883846153851</v>
      </c>
      <c r="Y17" s="4432">
        <f>'Table2(II).B-Hs1'!G26</f>
        <v>3.7053496195652178</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45.494324366241628</v>
      </c>
      <c r="D26" s="4430">
        <f t="shared" ref="D26:AK26" si="58">IF(SUM(D27:D32)=0,"NO",SUM(D27:D32))</f>
        <v>202.81583704901954</v>
      </c>
      <c r="E26" s="2097" t="str">
        <f t="shared" si="58"/>
        <v>NO</v>
      </c>
      <c r="F26" s="2097" t="str">
        <f t="shared" si="58"/>
        <v>NO</v>
      </c>
      <c r="G26" s="4430">
        <f t="shared" si="58"/>
        <v>603.64268996403837</v>
      </c>
      <c r="H26" s="4430">
        <f t="shared" si="58"/>
        <v>1.607301593432817</v>
      </c>
      <c r="I26" s="4430">
        <f t="shared" si="58"/>
        <v>1872.5216615972599</v>
      </c>
      <c r="J26" s="4430" t="str">
        <f t="shared" si="58"/>
        <v>NO</v>
      </c>
      <c r="K26" s="4430">
        <f t="shared" si="58"/>
        <v>529.30837361486351</v>
      </c>
      <c r="L26" s="2097" t="str">
        <f t="shared" si="58"/>
        <v>NO</v>
      </c>
      <c r="M26" s="2097">
        <f t="shared" si="58"/>
        <v>76.769991626036031</v>
      </c>
      <c r="N26" s="2097" t="str">
        <f t="shared" si="58"/>
        <v>NO</v>
      </c>
      <c r="O26" s="4430">
        <f t="shared" si="58"/>
        <v>19.991865803223558</v>
      </c>
      <c r="P26" s="2097" t="str">
        <f t="shared" si="58"/>
        <v>NO</v>
      </c>
      <c r="Q26" s="2097" t="str">
        <f t="shared" si="58"/>
        <v>NO</v>
      </c>
      <c r="R26" s="2097">
        <f t="shared" si="58"/>
        <v>5.2652184344619446</v>
      </c>
      <c r="S26" s="2097" t="str">
        <f t="shared" si="58"/>
        <v>NO</v>
      </c>
      <c r="T26" s="2097">
        <f t="shared" si="58"/>
        <v>56.130689999506494</v>
      </c>
      <c r="U26" s="2097">
        <f t="shared" si="58"/>
        <v>70.288630301323479</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43.207153993836656</v>
      </c>
      <c r="D27" s="4431">
        <f>IF(SUM('Table2(II).B-Hs2'!J14:M14,'Table2(II).B-Hs2'!J27:M27,'Table2(II).B-Hs2'!J40:M40,'Table2(II).B-Hs2'!J53:M53,'Table2(II).B-Hs2'!J66:M66,'Table2(II).B-Hs2'!J79:M79)=0,"NO",SUM('Table2(II).B-Hs2'!J14:M14,'Table2(II).B-Hs2'!J27:M27,'Table2(II).B-Hs2'!J40:M40,'Table2(II).B-Hs2'!J53:M53,'Table2(II).B-Hs2'!J66:M66,'Table2(II).B-Hs2'!J79:M79))</f>
        <v>192.61952399206066</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573.29530718085618</v>
      </c>
      <c r="H27" s="4431">
        <f>IF(SUM('Table2(II).B-Hs2'!J17:M17,'Table2(II).B-Hs2'!J30:M30,'Table2(II).B-Hs2'!J43:M43,'Table2(II).B-Hs2'!J56:M56,'Table2(II).B-Hs2'!J69:M69,'Table2(II).B-Hs2'!J82:M82)=0,"NO",SUM('Table2(II).B-Hs2'!J17:M17,'Table2(II).B-Hs2'!J30:M30,'Table2(II).B-Hs2'!J43:M43,'Table2(II).B-Hs2'!J56:M56,'Table2(II).B-Hs2'!J69:M69,'Table2(II).B-Hs2'!J82:M82))</f>
        <v>1.5264965120247571</v>
      </c>
      <c r="I27" s="4431">
        <f>IF(SUM('Table2(II).B-Hs2'!J18:M18,'Table2(II).B-Hs2'!J31:M31,'Table2(II).B-Hs2'!J44:M44,'Table2(II).B-Hs2'!J57:M57,'Table2(II).B-Hs2'!J70:M70,'Table2(II).B-Hs2'!J83:M83)=0,"NO",SUM('Table2(II).B-Hs2'!J18:M18,'Table2(II).B-Hs2'!J31:M31,'Table2(II).B-Hs2'!J44:M44,'Table2(II).B-Hs2'!J57:M57,'Table2(II).B-Hs2'!J70:M70,'Table2(II).B-Hs2'!J83:M83))</f>
        <v>1778.3829723046294</v>
      </c>
      <c r="J27" s="4431" t="s">
        <v>199</v>
      </c>
      <c r="K27" s="4431">
        <f>IF(SUM('Table2(II).B-Hs2'!J19:M19,'Table2(II).B-Hs2'!J32:M32,'Table2(II).B-Hs2'!J45:M45,'Table2(II).B-Hs2'!J58:M58,'Table2(II).B-Hs2'!J71:M71,'Table2(II).B-Hs2'!J84:M84)=0,"NO",SUM('Table2(II).B-Hs2'!J19:M19,'Table2(II).B-Hs2'!J32:M32,'Table2(II).B-Hs2'!J45:M45,'Table2(II).B-Hs2'!J58:M58,'Table2(II).B-Hs2'!J71:M71,'Table2(II).B-Hs2'!J84:M84))</f>
        <v>502.69805580352585</v>
      </c>
      <c r="L27" s="2073" t="s">
        <v>199</v>
      </c>
      <c r="M27" s="2073">
        <f>IF(SUM('Table2(II).B-Hs2'!J20:M20,'Table2(II).B-Hs2'!J33:M33,'Table2(II).B-Hs2'!J46:M46,'Table2(II).B-Hs2'!J59:M59,'Table2(II).B-Hs2'!J72:M72,'Table2(II).B-Hs2'!J85:M85)=0,"NO",SUM('Table2(II).B-Hs2'!J20:M20,'Table2(II).B-Hs2'!J33:M33,'Table2(II).B-Hs2'!J46:M46,'Table2(II).B-Hs2'!J59:M59,'Table2(II).B-Hs2'!J72:M72,'Table2(II).B-Hs2'!J85:M85))</f>
        <v>72.910476119808678</v>
      </c>
      <c r="N27" s="2073" t="s">
        <v>199</v>
      </c>
      <c r="O27" s="4431">
        <f>IF(SUM('Table2(II).B-Hs2'!J21:M21,'Table2(II).B-Hs2'!J34:M34,'Table2(II).B-Hs2'!J47:M47,'Table2(II).B-Hs2'!J60:M60,'Table2(II).B-Hs2'!J73:M73,'Table2(II).B-Hs2'!J86:M86)=0,"NO",SUM('Table2(II).B-Hs2'!J21:M21,'Table2(II).B-Hs2'!J34:M34,'Table2(II).B-Hs2'!J47:M47,'Table2(II).B-Hs2'!J60:M60,'Table2(II).B-Hs2'!J73:M73,'Table2(II).B-Hs2'!J86:M86))</f>
        <v>18.986799703414448</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5.0005161496099522</v>
      </c>
      <c r="S27" s="2073" t="s">
        <v>199</v>
      </c>
      <c r="T27" s="2073">
        <f>IF(SUM('Table2(II).B-Hs2'!J23:M23,'Table2(II).B-Hs2'!J36:M36,'Table2(II).B-Hs2'!J49:M49,'Table2(II).B-Hs2'!J62:M62,'Table2(II).B-Hs2'!J75:M75,'Table2(II).B-Hs2'!J88:M88)=0,"NO",SUM('Table2(II).B-Hs2'!J23:M23,'Table2(II).B-Hs2'!J36:M36,'Table2(II).B-Hs2'!J49:M49,'Table2(II).B-Hs2'!J62:M62,'Table2(II).B-Hs2'!J75:M75,'Table2(II).B-Hs2'!J88:M88))</f>
        <v>53.30878962098847</v>
      </c>
      <c r="U27" s="2073">
        <f>IF(SUM('Table2(II).B-Hs2'!J24:M24,'Table2(II).B-Hs2'!J37:M37,'Table2(II).B-Hs2'!J50:M50,'Table2(II).B-Hs2'!J63:M63,'Table2(II).B-Hs2'!J76:M76,'Table2(II).B-Hs2'!J89:M89)=0,"NO",SUM('Table2(II).B-Hs2'!J24:M24,'Table2(II).B-Hs2'!J37:M37,'Table2(II).B-Hs2'!J50:M50,'Table2(II).B-Hs2'!J63:M63,'Table2(II).B-Hs2'!J76:M76,'Table2(II).B-Hs2'!J89:M89))</f>
        <v>66.754957145790172</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0.29879880146427618</v>
      </c>
      <c r="D28" s="4431">
        <f>IF(SUM('Table2(II).B-Hs2'!J93:M93,'Table2(II).B-Hs2'!J106:M106)=0,"NO",SUM('Table2(II).B-Hs2'!J93:M93,'Table2(II).B-Hs2'!J106:M106))</f>
        <v>1.3320591056670166</v>
      </c>
      <c r="E28" s="2073" t="s">
        <v>199</v>
      </c>
      <c r="F28" s="2073" t="str">
        <f>IF(SUM('Table2(II).B-Hs2'!J94:M94,'Table2(II).B-Hs2'!J107:M107)=0,"NO",SUM('Table2(II).B-Hs2'!J94:M94,'Table2(II).B-Hs2'!J107:M107))</f>
        <v>NO</v>
      </c>
      <c r="G28" s="4431">
        <f>IF(SUM('Table2(II).B-Hs2'!J95:M95,'Table2(II).B-Hs2'!J108:M108)=0,"NO",SUM('Table2(II).B-Hs2'!J95:M95,'Table2(II).B-Hs2'!J108:M108))</f>
        <v>3.964620088033783</v>
      </c>
      <c r="H28" s="4431">
        <f>IF(SUM('Table2(II).B-Hs2'!J96:M96,'Table2(II).B-Hs2'!J109:M109)=0,"NO",SUM('Table2(II).B-Hs2'!J96:M96,'Table2(II).B-Hs2'!J109:M109))</f>
        <v>1.0556477019927273E-2</v>
      </c>
      <c r="I28" s="4431">
        <f>IF(SUM('Table2(II).B-Hs2'!J97:M97,'Table2(II).B-Hs2'!J110:M110)=0,"NO",SUM('Table2(II).B-Hs2'!J97:M97,'Table2(II).B-Hs2'!J110:M110))</f>
        <v>12.298396250419541</v>
      </c>
      <c r="J28" s="4431" t="s">
        <v>199</v>
      </c>
      <c r="K28" s="4431">
        <f>IF(SUM('Table2(II).B-Hs2'!J98:M98,'Table2(II).B-Hs2'!J111:M111)=0,"NO",SUM('Table2(II).B-Hs2'!J98:M98,'Table2(II).B-Hs2'!J111:M111))</f>
        <v>3.4764052405289556</v>
      </c>
      <c r="L28" s="2073" t="s">
        <v>199</v>
      </c>
      <c r="M28" s="2073">
        <f>IF(SUM('Table2(II).B-Hs2'!J99:M99,'Table2(II).B-Hs2'!J112:M112)=0,"NO",SUM('Table2(II).B-Hs2'!J99:M99,'Table2(II).B-Hs2'!J112:M112))</f>
        <v>0.50421193865016423</v>
      </c>
      <c r="N28" s="2073" t="s">
        <v>199</v>
      </c>
      <c r="O28" s="4431">
        <f>IF(SUM('Table2(II).B-Hs2'!J100:M100,'Table2(II).B-Hs2'!J113:M113)=0,"NO",SUM('Table2(II).B-Hs2'!J100:M100,'Table2(II).B-Hs2'!J113:M113))</f>
        <v>0.13130309383098404</v>
      </c>
      <c r="P28" s="2073" t="s">
        <v>199</v>
      </c>
      <c r="Q28" s="2073" t="s">
        <v>199</v>
      </c>
      <c r="R28" s="2073">
        <f>IF(SUM('Table2(II).B-Hs2'!J101:M101,'Table2(II).B-Hs2'!J114:M114)=0,"NO",SUM('Table2(II).B-Hs2'!J101:M101,'Table2(II).B-Hs2'!J114:M114))</f>
        <v>3.4581037955412335E-2</v>
      </c>
      <c r="S28" s="2073" t="s">
        <v>199</v>
      </c>
      <c r="T28" s="2073">
        <f>IF(SUM('Table2(II).B-Hs2'!J102:M102,'Table2(II).B-Hs2'!J115:M115)=0,"NO",SUM('Table2(II).B-Hs2'!J102:M102,'Table2(II).B-Hs2'!J115:M115))</f>
        <v>0.36865659905613685</v>
      </c>
      <c r="U28" s="2073">
        <f>IF(SUM('Table2(II).B-Hs2'!J103:M103,'Table2(II).B-Hs2'!J116:M116)=0,"NO",SUM('Table2(II).B-Hs2'!J103:M103,'Table2(II).B-Hs2'!J116:M116))</f>
        <v>0.46164348593305848</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0.32603325454765925</v>
      </c>
      <c r="D29" s="4431">
        <f>IF(SUM('Table2(II).B-Hs2'!J119:M119)=0,"NO",SUM('Table2(II).B-Hs2'!J119:M119))</f>
        <v>1.4534715780055945</v>
      </c>
      <c r="E29" s="2073" t="s">
        <v>199</v>
      </c>
      <c r="F29" s="2073" t="str">
        <f>IF(SUM('Table2(II).B-Hs2'!J120:M120)=0,"NO",SUM('Table2(II).B-Hs2'!J120:M120))</f>
        <v>NO</v>
      </c>
      <c r="G29" s="4431">
        <f>IF(SUM('Table2(II).B-Hs2'!J121:M121)=0,"NO",SUM('Table2(II).B-Hs2'!J121:M121))</f>
        <v>4.3259811753335384</v>
      </c>
      <c r="H29" s="4431">
        <f>IF(SUM('Table2(II).B-Hs2'!J122:M122)=0,"NO",SUM('Table2(II).B-Hs2'!J122:M122))</f>
        <v>1.1518662533109108E-2</v>
      </c>
      <c r="I29" s="4431">
        <f>IF(SUM('Table2(II).B-Hs2'!J123:M123)=0,"NO",SUM('Table2(II).B-Hs2'!J123:M123))</f>
        <v>13.419351535519475</v>
      </c>
      <c r="J29" s="4431" t="s">
        <v>199</v>
      </c>
      <c r="K29" s="4431">
        <f>IF(SUM('Table2(II).B-Hs2'!J124:M124)=0,"NO",SUM('Table2(II).B-Hs2'!J124:M124))</f>
        <v>3.7932672726322956</v>
      </c>
      <c r="L29" s="2073" t="s">
        <v>199</v>
      </c>
      <c r="M29" s="2073">
        <f>IF(SUM('Table2(II).B-Hs2'!J125:M125)=0,"NO",SUM('Table2(II).B-Hs2'!J125:M125))</f>
        <v>0.55016907207893162</v>
      </c>
      <c r="N29" s="2073" t="s">
        <v>199</v>
      </c>
      <c r="O29" s="4431">
        <f>IF(SUM('Table2(II).B-Hs2'!J126:M126)=0,"NO",SUM('Table2(II).B-Hs2'!J126:M126))</f>
        <v>0.14327090605485776</v>
      </c>
      <c r="P29" s="2073" t="s">
        <v>199</v>
      </c>
      <c r="Q29" s="2073" t="s">
        <v>199</v>
      </c>
      <c r="R29" s="2073">
        <f>IF(SUM('Table2(II).B-Hs2'!J127:M127)=0,"NO",SUM('Table2(II).B-Hs2'!J127:M127))</f>
        <v>3.7732977157163013E-2</v>
      </c>
      <c r="S29" s="2073" t="s">
        <v>199</v>
      </c>
      <c r="T29" s="2073">
        <f>IF(SUM('Table2(II).B-Hs2'!J128:M128)=0,"NO",SUM('Table2(II).B-Hs2'!J128:M128))</f>
        <v>0.40225834311157377</v>
      </c>
      <c r="U29" s="2073">
        <f>IF(SUM('Table2(II).B-Hs2'!J129:M129)=0,"NO",SUM('Table2(II).B-Hs2'!J129:M129))</f>
        <v>0.5037206555779189</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1.0950400684144046</v>
      </c>
      <c r="D30" s="4431">
        <f>IF(SUM('Table2(II).B-Hs2'!J133:M133)=0,"NO",SUM('Table2(II).B-Hs2'!J133:M133))</f>
        <v>4.8817401109155218</v>
      </c>
      <c r="E30" s="2073" t="s">
        <v>199</v>
      </c>
      <c r="F30" s="2073" t="str">
        <f>IF(SUM('Table2(II).B-Hs2'!J134:M134)=0,"NO",SUM('Table2(II).B-Hs2'!J134:M134))</f>
        <v>NO</v>
      </c>
      <c r="G30" s="4431">
        <f>IF(SUM('Table2(II).B-Hs2'!J135:M135)=0,"NO",SUM('Table2(II).B-Hs2'!J135:M135))</f>
        <v>14.5295691654797</v>
      </c>
      <c r="H30" s="4431">
        <f>IF(SUM('Table2(II).B-Hs2'!J136:M136)=0,"NO",SUM('Table2(II).B-Hs2'!J136:M136))</f>
        <v>3.868745544315149E-2</v>
      </c>
      <c r="I30" s="4431">
        <f>IF(SUM('Table2(II).B-Hs2'!J137:M137)=0,"NO",SUM('Table2(II).B-Hs2'!J137:M137))</f>
        <v>45.071253985792815</v>
      </c>
      <c r="J30" s="4431" t="s">
        <v>199</v>
      </c>
      <c r="K30" s="4431">
        <f>IF(SUM('Table2(II).B-Hs2'!J138:M138)=0,"NO",SUM('Table2(II).B-Hs2'!J138:M138))</f>
        <v>12.740355763709974</v>
      </c>
      <c r="L30" s="2073" t="s">
        <v>199</v>
      </c>
      <c r="M30" s="2073">
        <f>IF(SUM('Table2(II).B-Hs2'!J139:M139)=0,"NO",SUM('Table2(II).B-Hs2'!J139:M139))</f>
        <v>1.8478396602967879</v>
      </c>
      <c r="N30" s="2073" t="s">
        <v>199</v>
      </c>
      <c r="O30" s="4431">
        <f>IF(SUM('Table2(II).B-Hs2'!J140:M140)=0,"NO",SUM('Table2(II).B-Hs2'!J140:M140))</f>
        <v>0.48120055417589785</v>
      </c>
      <c r="P30" s="2073" t="s">
        <v>199</v>
      </c>
      <c r="Q30" s="2073" t="s">
        <v>199</v>
      </c>
      <c r="R30" s="2073">
        <f>IF(SUM('Table2(II).B-Hs2'!J141:M141)=0,"NO",SUM('Table2(II).B-Hs2'!J141:M141))</f>
        <v>0.12673284492094336</v>
      </c>
      <c r="S30" s="2073" t="s">
        <v>199</v>
      </c>
      <c r="T30" s="2073">
        <f>IF(SUM('Table2(II).B-Hs2'!J142:M142)=0,"NO",SUM('Table2(II).B-Hs2'!J142:M142))</f>
        <v>1.3510554442438711</v>
      </c>
      <c r="U30" s="2073">
        <f>IF(SUM('Table2(II).B-Hs2'!J143:M143)=0,"NO",SUM('Table2(II).B-Hs2'!J143:M143))</f>
        <v>1.6918344783911037</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0.56729824797862372</v>
      </c>
      <c r="D31" s="4431">
        <f>IF(SUM('Table2(II).B-Hs2'!J148:M148)=0,"NO",SUM('Table2(II).B-Hs2'!J148:M148))</f>
        <v>2.5290422623707141</v>
      </c>
      <c r="E31" s="2073" t="s">
        <v>199</v>
      </c>
      <c r="F31" s="2073" t="str">
        <f>IF(SUM('Table2(II).B-Hs2'!J149:M149)=0,"NO",SUM('Table2(II).B-Hs2'!J149:M149))</f>
        <v>NO</v>
      </c>
      <c r="G31" s="4431">
        <f>IF(SUM('Table2(II).B-Hs2'!J150:M150)=0,"NO",SUM('Table2(II).B-Hs2'!J150:M150))</f>
        <v>7.5272123543351057</v>
      </c>
      <c r="H31" s="4431">
        <f>IF(SUM('Table2(II).B-Hs2'!J151:M151)=0,"NO",SUM('Table2(II).B-Hs2'!J151:M151))</f>
        <v>2.0042486411871833E-2</v>
      </c>
      <c r="I31" s="4431">
        <f>IF(SUM('Table2(II).B-Hs2'!J152:M152)=0,"NO",SUM('Table2(II).B-Hs2'!J152:M152))</f>
        <v>23.349687520898648</v>
      </c>
      <c r="J31" s="4431" t="s">
        <v>199</v>
      </c>
      <c r="K31" s="4431">
        <f>IF(SUM('Table2(II).B-Hs2'!J153:M153)=0,"NO",SUM('Table2(II).B-Hs2'!J153:M153))</f>
        <v>6.6002895344664569</v>
      </c>
      <c r="L31" s="2073" t="s">
        <v>199</v>
      </c>
      <c r="M31" s="2073">
        <f>IF(SUM('Table2(II).B-Hs2'!J154:M154)=0,"NO",SUM('Table2(II).B-Hs2'!J154:M154))</f>
        <v>0.95729483520147807</v>
      </c>
      <c r="N31" s="2073" t="s">
        <v>199</v>
      </c>
      <c r="O31" s="4431">
        <f>IF(SUM('Table2(II).B-Hs2'!J155:M155)=0,"NO",SUM('Table2(II).B-Hs2'!J155:M155))</f>
        <v>0.24929154574736717</v>
      </c>
      <c r="P31" s="2073" t="s">
        <v>199</v>
      </c>
      <c r="Q31" s="2073" t="s">
        <v>199</v>
      </c>
      <c r="R31" s="2073">
        <f>IF(SUM('Table2(II).B-Hs2'!J156:M156)=0,"NO",SUM('Table2(II).B-Hs2'!J156:M156))</f>
        <v>6.5655424818473279E-2</v>
      </c>
      <c r="S31" s="2073" t="s">
        <v>199</v>
      </c>
      <c r="T31" s="2073">
        <f>IF(SUM('Table2(II).B-Hs2'!J157:M157)=0,"NO",SUM('Table2(II).B-Hs2'!J157:M157))</f>
        <v>0.69992999210643936</v>
      </c>
      <c r="U31" s="2073">
        <f>IF(SUM('Table2(II).B-Hs2'!J158:M158)=0,"NO",SUM('Table2(II).B-Hs2'!J158:M158))</f>
        <v>0.87647453563122646</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5.0188659819423895</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4.2314972626488823</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0.78736871929350727</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564.12962214139611</v>
      </c>
      <c r="D39" s="4183">
        <f t="shared" ref="D39:AK39" si="72">IF(SUM(D40:D45)=0,"NO",SUM(D40:D45))</f>
        <v>137.30632168218622</v>
      </c>
      <c r="E39" s="4183" t="str">
        <f t="shared" si="72"/>
        <v>NO</v>
      </c>
      <c r="F39" s="4183" t="str">
        <f t="shared" si="72"/>
        <v>NO</v>
      </c>
      <c r="G39" s="4183">
        <f t="shared" si="72"/>
        <v>1913.5473271860017</v>
      </c>
      <c r="H39" s="4183">
        <f t="shared" si="72"/>
        <v>1.8001777846447551</v>
      </c>
      <c r="I39" s="4183">
        <f t="shared" si="72"/>
        <v>2434.2781600764379</v>
      </c>
      <c r="J39" s="4183" t="str">
        <f t="shared" si="72"/>
        <v>NO</v>
      </c>
      <c r="K39" s="4183">
        <f t="shared" si="72"/>
        <v>2540.6801933513448</v>
      </c>
      <c r="L39" s="4183" t="str">
        <f t="shared" si="72"/>
        <v>NO</v>
      </c>
      <c r="M39" s="4183">
        <f t="shared" si="72"/>
        <v>10.594258844392973</v>
      </c>
      <c r="N39" s="4183" t="str">
        <f t="shared" si="72"/>
        <v>NO</v>
      </c>
      <c r="O39" s="4183">
        <f t="shared" si="72"/>
        <v>66.972750440798919</v>
      </c>
      <c r="P39" s="4183" t="str">
        <f t="shared" si="72"/>
        <v>NO</v>
      </c>
      <c r="Q39" s="4183" t="str">
        <f t="shared" si="72"/>
        <v>NO</v>
      </c>
      <c r="R39" s="4183">
        <f t="shared" si="72"/>
        <v>42.437660581763275</v>
      </c>
      <c r="S39" s="4183" t="str">
        <f t="shared" si="72"/>
        <v>NO</v>
      </c>
      <c r="T39" s="4183">
        <f t="shared" si="72"/>
        <v>48.160132019576572</v>
      </c>
      <c r="U39" s="4183">
        <f t="shared" si="72"/>
        <v>56.512058762264076</v>
      </c>
      <c r="V39" s="4183" t="str">
        <f t="shared" si="72"/>
        <v>NO</v>
      </c>
      <c r="W39" s="4183">
        <f t="shared" si="72"/>
        <v>7816.4186628708085</v>
      </c>
      <c r="X39" s="4183">
        <f t="shared" si="72"/>
        <v>224.00040990000002</v>
      </c>
      <c r="Y39" s="4183">
        <f t="shared" si="72"/>
        <v>41.129380777173914</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265.12979067717396</v>
      </c>
      <c r="AI39" s="4184" t="str">
        <f t="shared" si="72"/>
        <v>NO</v>
      </c>
      <c r="AJ39" s="4184">
        <f t="shared" si="72"/>
        <v>117.94335057564615</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224.00040990000002</v>
      </c>
      <c r="Y41" s="4186">
        <f>IF(SUM(Y16)=0,"NO",Y16*11100/1000)</f>
        <v>41.129380777173914</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265.12979067717396</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564.12962214139611</v>
      </c>
      <c r="D43" s="4186">
        <f>IF(SUM(D26)=0,"NO",D26*677/1000)</f>
        <v>137.30632168218622</v>
      </c>
      <c r="E43" s="4186" t="str">
        <f>IF(SUM(E26)=0,"NO",E26*116/1000)</f>
        <v>NO</v>
      </c>
      <c r="F43" s="4186" t="str">
        <f>IF(SUM(F26)=0,"NO",F26*1650/1000)</f>
        <v>NO</v>
      </c>
      <c r="G43" s="4186">
        <f>IF(SUM(G26)=0,"NO",G26*3170/1000)</f>
        <v>1913.5473271860017</v>
      </c>
      <c r="H43" s="4186">
        <f>IF(SUM(H26)=0,"NO",H26*1120/1000)</f>
        <v>1.8001777846447551</v>
      </c>
      <c r="I43" s="4186">
        <f>IF(SUM(I26)=0,"NO",I26*1300/1000)</f>
        <v>2434.2781600764379</v>
      </c>
      <c r="J43" s="4186" t="str">
        <f>IF(SUM(J26)=0,"NO",J26*328/1000)</f>
        <v>NO</v>
      </c>
      <c r="K43" s="4186">
        <f>IF(SUM(K26)=0,"NO",K26*4800/1000)</f>
        <v>2540.6801933513448</v>
      </c>
      <c r="L43" s="4186" t="str">
        <f>IF(SUM(L26)=0,"NO",L26*16/1000)</f>
        <v>NO</v>
      </c>
      <c r="M43" s="4186">
        <f>IF(SUM(M26)=0,"NO",M26*138/1000)</f>
        <v>10.594258844392973</v>
      </c>
      <c r="N43" s="4186" t="str">
        <f>IF(SUM(N26)=0,"NO",N26*4/1000)</f>
        <v>NO</v>
      </c>
      <c r="O43" s="4186">
        <f>IF(SUM(O26)=0,"NO",O26*3350/1000)</f>
        <v>66.972750440798919</v>
      </c>
      <c r="P43" s="4186" t="str">
        <f>IF(SUM(P26)=0,"NO",P26*1210/1000)</f>
        <v>NO</v>
      </c>
      <c r="Q43" s="4186" t="str">
        <f>IF(SUM(Q26)=0,"NO",Q26*1330/1000)</f>
        <v>NO</v>
      </c>
      <c r="R43" s="4186">
        <f>IF(SUM(R26)=0,"NO",R26*8060/1000)</f>
        <v>42.437660581763275</v>
      </c>
      <c r="S43" s="4186" t="str">
        <f>IF(SUM(S26)=0,"NO",S26*716/1000)</f>
        <v>NO</v>
      </c>
      <c r="T43" s="4186">
        <f>IF(SUM(T26)=0,"NO",T26*858/1000)</f>
        <v>48.160132019576572</v>
      </c>
      <c r="U43" s="4186">
        <f>IF(SUM(U26)=0,"NO",U26*804/1000)</f>
        <v>56.512058762264076</v>
      </c>
      <c r="V43" s="4186" t="str">
        <f>IF(SUM(V26)=0,"NO",V26*1/1000)</f>
        <v>NO</v>
      </c>
      <c r="W43" s="4186">
        <f t="shared" si="73"/>
        <v>7816.4186628708085</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117.94335057564615</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topLeftCell="A44"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6411.455571665676</v>
      </c>
      <c r="I10" s="615"/>
      <c r="J10" s="615"/>
      <c r="K10" s="3161" t="str">
        <f>IF(SUM(K11:K14)=0,"NO",SUM(K11:K14))</f>
        <v>NO</v>
      </c>
      <c r="L10" s="3161" t="str">
        <f>IF(SUM(L11:L14)=0,"NO",SUM(L11:L14))</f>
        <v>NO</v>
      </c>
      <c r="M10" s="615"/>
      <c r="N10" s="1842"/>
    </row>
    <row r="11" spans="2:14" ht="18" customHeight="1" x14ac:dyDescent="0.2">
      <c r="B11" s="286" t="s">
        <v>748</v>
      </c>
      <c r="C11" s="2126" t="s">
        <v>749</v>
      </c>
      <c r="D11" s="699">
        <v>6424.6210000000001</v>
      </c>
      <c r="E11" s="1938">
        <f>IF(SUM($D11)=0,"NA",H11/$D11)</f>
        <v>0.54761788665199085</v>
      </c>
      <c r="F11" s="615"/>
      <c r="G11" s="615"/>
      <c r="H11" s="3149">
        <v>3518.2373745599998</v>
      </c>
      <c r="I11" s="615"/>
      <c r="J11" s="615"/>
      <c r="K11" s="3149" t="s">
        <v>199</v>
      </c>
      <c r="L11" s="699" t="s">
        <v>199</v>
      </c>
      <c r="M11" s="615"/>
      <c r="N11" s="1842"/>
    </row>
    <row r="12" spans="2:14" ht="18" customHeight="1" x14ac:dyDescent="0.2">
      <c r="B12" s="286" t="s">
        <v>750</v>
      </c>
      <c r="C12" s="2127" t="s">
        <v>751</v>
      </c>
      <c r="D12" s="699">
        <v>1592.623</v>
      </c>
      <c r="E12" s="1938">
        <f>IF(SUM($D12)=0,"NA",H12/$D12)</f>
        <v>0.81922353993794672</v>
      </c>
      <c r="F12" s="615"/>
      <c r="G12" s="615"/>
      <c r="H12" s="3149">
        <v>1304.7142518465926</v>
      </c>
      <c r="I12" s="615"/>
      <c r="J12" s="615"/>
      <c r="K12" s="3149" t="s">
        <v>199</v>
      </c>
      <c r="L12" s="699" t="s">
        <v>199</v>
      </c>
      <c r="M12" s="615"/>
      <c r="N12" s="1842"/>
    </row>
    <row r="13" spans="2:14" ht="18" customHeight="1" x14ac:dyDescent="0.2">
      <c r="B13" s="286" t="s">
        <v>752</v>
      </c>
      <c r="C13" s="2127" t="s">
        <v>753</v>
      </c>
      <c r="D13" s="699">
        <v>225.37818009999995</v>
      </c>
      <c r="E13" s="1938">
        <f>IF(SUM($D13)=0,"NA",H13/$D13)</f>
        <v>0.43147241738333797</v>
      </c>
      <c r="F13" s="615"/>
      <c r="G13" s="615"/>
      <c r="H13" s="3149">
        <v>97.244468193204298</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1491.2594770658789</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29.10826509922283</v>
      </c>
      <c r="I15" s="615"/>
      <c r="J15" s="615"/>
      <c r="K15" s="3149" t="s">
        <v>199</v>
      </c>
      <c r="L15" s="699" t="s">
        <v>199</v>
      </c>
      <c r="M15" s="615"/>
      <c r="N15" s="1842"/>
    </row>
    <row r="16" spans="2:14" ht="18" customHeight="1" x14ac:dyDescent="0.2">
      <c r="B16" s="160" t="s">
        <v>756</v>
      </c>
      <c r="C16" s="474" t="s">
        <v>757</v>
      </c>
      <c r="D16" s="2917">
        <v>352.50003900000013</v>
      </c>
      <c r="E16" s="1938">
        <f>IF(SUM($D16)=0,"NA",H16/$D16)</f>
        <v>0.4149199999999999</v>
      </c>
      <c r="F16" s="615"/>
      <c r="G16" s="615"/>
      <c r="H16" s="3149">
        <v>146.25931618188002</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1315.8918957847759</v>
      </c>
      <c r="I18" s="615"/>
      <c r="J18" s="615"/>
      <c r="K18" s="3150" t="str">
        <f>K19</f>
        <v>NO</v>
      </c>
      <c r="L18" s="3162" t="str">
        <f>L19</f>
        <v>NO</v>
      </c>
      <c r="M18" s="615"/>
      <c r="N18" s="1842"/>
    </row>
    <row r="19" spans="2:14" ht="18" customHeight="1" x14ac:dyDescent="0.2">
      <c r="B19" s="3151" t="s">
        <v>761</v>
      </c>
      <c r="C19" s="474" t="s">
        <v>753</v>
      </c>
      <c r="D19" s="2917">
        <v>1442.3770410000002</v>
      </c>
      <c r="E19" s="1938">
        <f>IF(SUM($D19)=0,"NA",H19/$D19)</f>
        <v>0.41301803654099889</v>
      </c>
      <c r="F19" s="615"/>
      <c r="G19" s="615"/>
      <c r="H19" s="3149">
        <v>595.72773342563596</v>
      </c>
      <c r="I19" s="615"/>
      <c r="J19" s="615"/>
      <c r="K19" s="3149" t="s">
        <v>199</v>
      </c>
      <c r="L19" s="3149" t="s">
        <v>199</v>
      </c>
      <c r="M19" s="615"/>
      <c r="N19" s="1842"/>
    </row>
    <row r="20" spans="2:14" ht="18" customHeight="1" x14ac:dyDescent="0.2">
      <c r="B20" s="3152" t="s">
        <v>762</v>
      </c>
      <c r="C20" s="474" t="s">
        <v>753</v>
      </c>
      <c r="D20" s="2917">
        <v>551.52219463312372</v>
      </c>
      <c r="E20" s="1938">
        <f>IF(SUM($D20)=0,"NA",H20/$D20)</f>
        <v>0.51336128361728517</v>
      </c>
      <c r="F20" s="615"/>
      <c r="G20" s="615"/>
      <c r="H20" s="3149">
        <v>283.1301417802826</v>
      </c>
      <c r="I20" s="615"/>
      <c r="J20" s="615"/>
      <c r="K20" s="3149" t="s">
        <v>199</v>
      </c>
      <c r="L20" s="3149" t="s">
        <v>199</v>
      </c>
      <c r="M20" s="2161"/>
      <c r="N20" s="2174"/>
    </row>
    <row r="21" spans="2:14" ht="18" customHeight="1" thickBot="1" x14ac:dyDescent="0.25">
      <c r="B21" s="3152" t="s">
        <v>763</v>
      </c>
      <c r="C21" s="474" t="s">
        <v>753</v>
      </c>
      <c r="D21" s="2917">
        <v>1017.86179416</v>
      </c>
      <c r="E21" s="1938">
        <f>IF(SUM($D21)=0,"NA",H21/$D21)</f>
        <v>0.42936479499117425</v>
      </c>
      <c r="F21" s="615"/>
      <c r="G21" s="615"/>
      <c r="H21" s="3149">
        <v>437.03402057885722</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3232.4648896797153</v>
      </c>
      <c r="I22" s="3046">
        <f>IF(SUM(I23:I26,I30,I33:I35,I47)=0,"IE",SUM(I23:I26,I30,I33:I35,I47))</f>
        <v>0.57776360000000004</v>
      </c>
      <c r="J22" s="3046">
        <f>IF(SUM(J23:J26,J30,J33:J35,J47)=0,"IE",SUM(J23:J26,J30,J33:J35,J47))</f>
        <v>8.0798403411564426</v>
      </c>
      <c r="K22" s="3046">
        <f>IF(SUM(K23:K26,K30,K33:K35,K47)=0,"NO",SUM(K23:K26,K30,K33:K35,K47))</f>
        <v>-284.69908999999996</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1917.2465400000001</v>
      </c>
      <c r="E23" s="1938">
        <f>IF(SUM($D23)=0,"NA",(H23-K23)/$D23)</f>
        <v>1.1874811418600522</v>
      </c>
      <c r="F23" s="1938" t="str">
        <f>IFERROR(IF(SUM($D23)=0,"NA",I23/$D23),"NA")</f>
        <v>NA</v>
      </c>
      <c r="G23" s="1938" t="str">
        <f>IFERROR(IF(SUM($D23)=0,"NA",J23/$D23),"NA")</f>
        <v>NA</v>
      </c>
      <c r="H23" s="699">
        <v>1991.9950205464343</v>
      </c>
      <c r="I23" s="699" t="s">
        <v>199</v>
      </c>
      <c r="J23" s="699" t="s">
        <v>199</v>
      </c>
      <c r="K23" s="3149">
        <v>-284.69908999999996</v>
      </c>
      <c r="L23" s="699" t="s">
        <v>199</v>
      </c>
      <c r="M23" s="699" t="s">
        <v>199</v>
      </c>
      <c r="N23" s="2921" t="s">
        <v>199</v>
      </c>
    </row>
    <row r="24" spans="2:14" ht="18" customHeight="1" x14ac:dyDescent="0.2">
      <c r="B24" s="286" t="s">
        <v>766</v>
      </c>
      <c r="C24" s="474" t="s">
        <v>349</v>
      </c>
      <c r="D24" s="699">
        <v>1283.857</v>
      </c>
      <c r="E24" s="2135"/>
      <c r="F24" s="2135"/>
      <c r="G24" s="1938">
        <f>IF(SUM($D24)=0,"NA",J24/$D24)</f>
        <v>6.2934114478142367E-3</v>
      </c>
      <c r="H24" s="2135"/>
      <c r="I24" s="2135"/>
      <c r="J24" s="699">
        <v>8.0798403411564426</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1013.8021903229074</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48.294806000000001</v>
      </c>
      <c r="I35" s="3165">
        <f>I46</f>
        <v>0.57776360000000004</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48.294806000000001</v>
      </c>
      <c r="I42" s="3167">
        <f>IF(SUM(I44:I45)=0,"NO",SUM(I44:I45))</f>
        <v>0.57776360000000004</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48.294806000000001</v>
      </c>
      <c r="I45" s="3167">
        <f>I46</f>
        <v>0.57776360000000004</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48.294806000000001</v>
      </c>
      <c r="I46" s="699">
        <v>0.57776360000000004</v>
      </c>
      <c r="J46" s="615"/>
      <c r="K46" s="699" t="s">
        <v>199</v>
      </c>
      <c r="L46" s="699" t="s">
        <v>199</v>
      </c>
      <c r="M46" s="699" t="s">
        <v>199</v>
      </c>
      <c r="N46" s="1842"/>
    </row>
    <row r="47" spans="2:16" ht="18" customHeight="1" x14ac:dyDescent="0.2">
      <c r="B47" s="286" t="s">
        <v>787</v>
      </c>
      <c r="C47" s="2131"/>
      <c r="D47" s="615"/>
      <c r="E47" s="615"/>
      <c r="F47" s="615"/>
      <c r="G47" s="615"/>
      <c r="H47" s="3167">
        <f>H50</f>
        <v>178.37287281037399</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178.37287281037399</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178.37287281037399</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11398.781007211961</v>
      </c>
      <c r="I52" s="3161">
        <f>IF(SUM(I53,I62:I67)=0,"IE",SUM(I53,I62:I67))</f>
        <v>2.4352972782400002</v>
      </c>
      <c r="J52" s="1934">
        <f>J67</f>
        <v>6.4365041777428564E-2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1942.896</v>
      </c>
      <c r="E63" s="4121">
        <f>IF(SUM($D63)=0,"NA",H63/$D63)</f>
        <v>1.6437420137183274</v>
      </c>
      <c r="F63" s="1917"/>
      <c r="G63" s="2134"/>
      <c r="H63" s="699">
        <v>3193.6197834852833</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8205.1612237266781</v>
      </c>
      <c r="I67" s="3168">
        <f t="shared" ref="I67:N67" si="8">IF(SUM(I69:I70)=0,I70,SUM(I69:I70))</f>
        <v>2.4352972782400002</v>
      </c>
      <c r="J67" s="3168">
        <f t="shared" si="8"/>
        <v>6.4365041777428564E-2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8205.1612237266781</v>
      </c>
      <c r="I70" s="3074">
        <f t="shared" si="9"/>
        <v>2.4352972782400002</v>
      </c>
      <c r="J70" s="3074">
        <f t="shared" si="9"/>
        <v>6.4365041777428564E-2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8205.1612237266781</v>
      </c>
      <c r="I71" s="3101">
        <v>2.4352972782400002</v>
      </c>
      <c r="J71" s="3101">
        <v>6.4365041777428564E-2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192.64508823</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358.29896907216499</v>
      </c>
      <c r="E73" s="4121">
        <f t="shared" ref="E73:G74" si="11">IF(SUM($D73)=0,"NA",H73/$D73)</f>
        <v>0.53766576199999994</v>
      </c>
      <c r="F73" s="276" t="s">
        <v>205</v>
      </c>
      <c r="G73" s="276" t="s">
        <v>205</v>
      </c>
      <c r="H73" s="3100">
        <v>192.64508823</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315.798</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218.00598284134924</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218.00598284134924</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18"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37.49123346571907</v>
      </c>
      <c r="H22" s="2628" t="str">
        <f>H23</f>
        <v>NO</v>
      </c>
    </row>
    <row r="23" spans="2:8" ht="18" customHeight="1" x14ac:dyDescent="0.2">
      <c r="B23" s="169" t="s">
        <v>857</v>
      </c>
      <c r="C23" s="2523"/>
      <c r="D23" s="76"/>
      <c r="E23" s="76"/>
      <c r="F23" s="1829"/>
      <c r="G23" s="3157">
        <f>IF(SUM(G24,G27)=0,"NO",SUM(G24,G27))</f>
        <v>37.49123346571907</v>
      </c>
      <c r="H23" s="2628" t="str">
        <f>H24</f>
        <v>NO</v>
      </c>
    </row>
    <row r="24" spans="2:8" ht="18" customHeight="1" x14ac:dyDescent="0.2">
      <c r="B24" s="171" t="s">
        <v>858</v>
      </c>
      <c r="C24" s="2523"/>
      <c r="D24" s="76"/>
      <c r="E24" s="76"/>
      <c r="F24" s="1829"/>
      <c r="G24" s="3157">
        <f>IF(SUM(G25:G26)=0,"NO",SUM(G25:G26))</f>
        <v>37.49123346571907</v>
      </c>
      <c r="H24" s="2628" t="str">
        <f>H25</f>
        <v>NO</v>
      </c>
    </row>
    <row r="25" spans="2:8" ht="18" customHeight="1" x14ac:dyDescent="0.25">
      <c r="B25" s="2626" t="s">
        <v>859</v>
      </c>
      <c r="C25" s="2638" t="s">
        <v>859</v>
      </c>
      <c r="D25" s="73" t="s">
        <v>860</v>
      </c>
      <c r="E25" s="699">
        <v>1942896</v>
      </c>
      <c r="F25" s="4135">
        <f>IF(SUM(E25)=0,"NA",G25*1000/E25)</f>
        <v>1.7389445367201259E-2</v>
      </c>
      <c r="G25" s="699">
        <v>33.785883846153851</v>
      </c>
      <c r="H25" s="2627" t="s">
        <v>199</v>
      </c>
    </row>
    <row r="26" spans="2:8" ht="18" customHeight="1" x14ac:dyDescent="0.25">
      <c r="B26" s="2626" t="s">
        <v>861</v>
      </c>
      <c r="C26" s="2638" t="s">
        <v>861</v>
      </c>
      <c r="D26" s="73" t="s">
        <v>860</v>
      </c>
      <c r="E26" s="699">
        <v>1942896</v>
      </c>
      <c r="F26" s="4135">
        <f>IF(SUM(E26)=0,"NA",G26*1000/E26)</f>
        <v>1.9071271028223938E-3</v>
      </c>
      <c r="G26" s="699">
        <v>3.7053496195652178</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35.9267314436402</v>
      </c>
      <c r="K10" s="3191">
        <f>IF(SUM(K11,K90,K117,K130,K146,K159)=0,"NO",SUM(K11,K90,K117,K130,K146,K159))</f>
        <v>2760.3947167648516</v>
      </c>
      <c r="L10" s="3192">
        <f>IF(SUM(L11,L90,L117,L130,L146,L159)=0,"NO",SUM(L11,L90,L117,L130,L146,L159))</f>
        <v>945.56593883447215</v>
      </c>
      <c r="M10" s="3462">
        <f>IF(SUM(M11,M90,M117,M130,M146,M159)=0,"NO",SUM(M11,M90,M117,M130,M146,M159))</f>
        <v>-258.05080269355676</v>
      </c>
    </row>
    <row r="11" spans="1:13" ht="18" customHeight="1" x14ac:dyDescent="0.2">
      <c r="B11" s="147" t="s">
        <v>888</v>
      </c>
      <c r="C11" s="2524"/>
      <c r="D11" s="150"/>
      <c r="E11" s="150"/>
      <c r="F11" s="150"/>
      <c r="G11" s="150"/>
      <c r="H11" s="150"/>
      <c r="I11" s="150"/>
      <c r="J11" s="3081">
        <f>IF(SUM(J12,J25,J38,J51,J64,J77)=0,"NO",SUM(J12,J25,J38,J51,J64,J77))</f>
        <v>18.785845465621591</v>
      </c>
      <c r="K11" s="3081">
        <f t="shared" ref="K11:M11" si="0">IF(SUM(K12,K25,K38,K51,K64,K77)=0,"NO",SUM(K12,K25,K38,K51,K64,K77))</f>
        <v>2625.4728053678018</v>
      </c>
      <c r="L11" s="3081">
        <f t="shared" si="0"/>
        <v>913.88357796875448</v>
      </c>
      <c r="M11" s="3193">
        <f t="shared" si="0"/>
        <v>-249.45118027563231</v>
      </c>
    </row>
    <row r="12" spans="1:13" ht="18" customHeight="1" x14ac:dyDescent="0.2">
      <c r="B12" s="104" t="s">
        <v>889</v>
      </c>
      <c r="C12" s="2524"/>
      <c r="D12" s="150"/>
      <c r="E12" s="150"/>
      <c r="F12" s="150"/>
      <c r="G12" s="150"/>
      <c r="H12" s="150"/>
      <c r="I12" s="150"/>
      <c r="J12" s="3081">
        <f>IF(SUM(J13:J24)=0,"NO",SUM(J13:J24))</f>
        <v>14.294070158993719</v>
      </c>
      <c r="K12" s="3081">
        <f>IF(SUM(K13:K24)=0,"NO",SUM(K13:K24))</f>
        <v>1554.0376663545985</v>
      </c>
      <c r="L12" s="3081">
        <f>IF(SUM(L13:L24)=0,"NO",SUM(L13:L24))</f>
        <v>333.57511988894379</v>
      </c>
      <c r="M12" s="3193">
        <f>IF(SUM(M13:M24)=0,"NO",SUM(M13:M24))</f>
        <v>-75.848455179392431</v>
      </c>
    </row>
    <row r="13" spans="1:13" ht="18" customHeight="1" x14ac:dyDescent="0.2">
      <c r="B13" s="2634" t="s">
        <v>671</v>
      </c>
      <c r="C13" s="2636" t="s">
        <v>671</v>
      </c>
      <c r="D13" s="3160">
        <v>10.666386219121463</v>
      </c>
      <c r="E13" s="3160">
        <v>142.50095491203643</v>
      </c>
      <c r="F13" s="3160">
        <v>5.3585478063210932</v>
      </c>
      <c r="G13" s="3668">
        <f>IF(SUM(D13)=0,"NA",J13/D13)</f>
        <v>1.7500000000000005E-2</v>
      </c>
      <c r="H13" s="3081">
        <f>IF(SUM(E13)=0,"NA",K13/E13)</f>
        <v>0.14241089328265255</v>
      </c>
      <c r="I13" s="3081">
        <f>IF(SUM(F13)=0,"NA",L13/F13)</f>
        <v>0.81403763098257631</v>
      </c>
      <c r="J13" s="3194">
        <v>0.18666175883462566</v>
      </c>
      <c r="K13" s="3194">
        <v>20.293688282654102</v>
      </c>
      <c r="L13" s="3194">
        <v>4.3620595617645037</v>
      </c>
      <c r="M13" s="3460">
        <v>-0.99648824455659446</v>
      </c>
    </row>
    <row r="14" spans="1:13" ht="18" customHeight="1" x14ac:dyDescent="0.2">
      <c r="B14" s="2634" t="s">
        <v>672</v>
      </c>
      <c r="C14" s="2636" t="s">
        <v>672</v>
      </c>
      <c r="D14" s="3160">
        <v>47.55125127046616</v>
      </c>
      <c r="E14" s="3160">
        <v>635.27595702058943</v>
      </c>
      <c r="F14" s="3160">
        <v>23.888658065502391</v>
      </c>
      <c r="G14" s="3668">
        <f t="shared" ref="G14:G24" si="1">IF(SUM(D14)=0,"NA",J14/D14)</f>
        <v>1.7500000000000005E-2</v>
      </c>
      <c r="H14" s="3081">
        <f t="shared" ref="H14:H24" si="2">IF(SUM(E14)=0,"NA",K14/E14)</f>
        <v>0.14241089328265252</v>
      </c>
      <c r="I14" s="3081">
        <f t="shared" ref="I14:I24" si="3">IF(SUM(F14)=0,"NA",L14/F14)</f>
        <v>0.81403763098257531</v>
      </c>
      <c r="J14" s="3194">
        <v>0.83214689723315804</v>
      </c>
      <c r="K14" s="3194">
        <v>90.470216520294116</v>
      </c>
      <c r="L14" s="3194">
        <v>19.446266618994358</v>
      </c>
      <c r="M14" s="3460">
        <v>-4.4423914465080339</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141.52723794011456</v>
      </c>
      <c r="E16" s="3160">
        <v>1890.7778265496222</v>
      </c>
      <c r="F16" s="3160">
        <v>71.100038459056307</v>
      </c>
      <c r="G16" s="3668">
        <f t="shared" si="1"/>
        <v>1.7500000000000005E-2</v>
      </c>
      <c r="H16" s="3081">
        <f t="shared" si="2"/>
        <v>0.14241089328265252</v>
      </c>
      <c r="I16" s="3081">
        <f t="shared" si="3"/>
        <v>0.81403763098257664</v>
      </c>
      <c r="J16" s="3194">
        <v>2.4767266639520056</v>
      </c>
      <c r="K16" s="3194">
        <v>269.26735927796392</v>
      </c>
      <c r="L16" s="3194">
        <v>57.878106869980286</v>
      </c>
      <c r="M16" s="3460">
        <v>-13.221931589076117</v>
      </c>
    </row>
    <row r="17" spans="2:13" ht="18" customHeight="1" x14ac:dyDescent="0.2">
      <c r="B17" s="2634" t="s">
        <v>676</v>
      </c>
      <c r="C17" s="2636" t="s">
        <v>676</v>
      </c>
      <c r="D17" s="3160">
        <v>0.37684040383035766</v>
      </c>
      <c r="E17" s="3160">
        <v>5.0345183731483534</v>
      </c>
      <c r="F17" s="3160">
        <v>0.18931597616991586</v>
      </c>
      <c r="G17" s="3668">
        <f t="shared" si="1"/>
        <v>1.7499999999999998E-2</v>
      </c>
      <c r="H17" s="3081">
        <f t="shared" si="2"/>
        <v>0.14241089328265252</v>
      </c>
      <c r="I17" s="3081">
        <f t="shared" si="3"/>
        <v>0.81403763098257509</v>
      </c>
      <c r="J17" s="3194">
        <v>6.594707067031259E-3</v>
      </c>
      <c r="K17" s="3194">
        <v>0.71697025876798359</v>
      </c>
      <c r="L17" s="3194">
        <v>0.15411032874851194</v>
      </c>
      <c r="M17" s="3460">
        <v>-3.520564742140387E-2</v>
      </c>
    </row>
    <row r="18" spans="2:13" ht="18" customHeight="1" x14ac:dyDescent="0.2">
      <c r="B18" s="2634" t="s">
        <v>677</v>
      </c>
      <c r="C18" s="2636" t="s">
        <v>677</v>
      </c>
      <c r="D18" s="3160">
        <v>439.02265885913755</v>
      </c>
      <c r="E18" s="3160">
        <v>5865.2618450376322</v>
      </c>
      <c r="F18" s="3160">
        <v>220.55491496619092</v>
      </c>
      <c r="G18" s="3668">
        <f t="shared" si="1"/>
        <v>1.7500000000000002E-2</v>
      </c>
      <c r="H18" s="3081">
        <f t="shared" si="2"/>
        <v>0.14241089328265252</v>
      </c>
      <c r="I18" s="3081">
        <f t="shared" si="3"/>
        <v>0.81403763098257542</v>
      </c>
      <c r="J18" s="3194">
        <v>7.6828965300349079</v>
      </c>
      <c r="K18" s="3194">
        <v>835.27717868846787</v>
      </c>
      <c r="L18" s="3194">
        <v>179.54000048064142</v>
      </c>
      <c r="M18" s="3460">
        <v>-41.014914485549511</v>
      </c>
    </row>
    <row r="19" spans="2:13" ht="18" customHeight="1" x14ac:dyDescent="0.2">
      <c r="B19" s="2634" t="s">
        <v>679</v>
      </c>
      <c r="C19" s="2636" t="s">
        <v>679</v>
      </c>
      <c r="D19" s="3160">
        <v>124.09916227221879</v>
      </c>
      <c r="E19" s="3160">
        <v>1657.9419462491119</v>
      </c>
      <c r="F19" s="3160">
        <v>62.344572950861632</v>
      </c>
      <c r="G19" s="3668">
        <f t="shared" si="1"/>
        <v>1.7500000000000002E-2</v>
      </c>
      <c r="H19" s="3081">
        <f t="shared" si="2"/>
        <v>0.14241089328265255</v>
      </c>
      <c r="I19" s="3081">
        <f t="shared" si="3"/>
        <v>0.81403763098257453</v>
      </c>
      <c r="J19" s="3194">
        <v>2.171735339763829</v>
      </c>
      <c r="K19" s="3194">
        <v>236.10899357611555</v>
      </c>
      <c r="L19" s="3194">
        <v>50.750828469539698</v>
      </c>
      <c r="M19" s="3460">
        <v>-11.593744481321885</v>
      </c>
    </row>
    <row r="20" spans="2:13" ht="18" customHeight="1" x14ac:dyDescent="0.2">
      <c r="B20" s="2634" t="s">
        <v>681</v>
      </c>
      <c r="C20" s="2636" t="s">
        <v>681</v>
      </c>
      <c r="D20" s="3160">
        <v>17.999132685870652</v>
      </c>
      <c r="E20" s="3160">
        <v>240.46509685979407</v>
      </c>
      <c r="F20" s="3160">
        <v>9.0423514570146981</v>
      </c>
      <c r="G20" s="3668">
        <f t="shared" si="1"/>
        <v>1.7499999999999998E-2</v>
      </c>
      <c r="H20" s="3081">
        <f t="shared" si="2"/>
        <v>0.14241089328265252</v>
      </c>
      <c r="I20" s="3081">
        <f t="shared" si="3"/>
        <v>0.79481648243571201</v>
      </c>
      <c r="J20" s="3194">
        <v>0.31498482200273636</v>
      </c>
      <c r="K20" s="3194">
        <v>34.244849247102835</v>
      </c>
      <c r="L20" s="3194">
        <v>7.1870099780118579</v>
      </c>
      <c r="M20" s="3460">
        <v>-1.5077327178663871</v>
      </c>
    </row>
    <row r="21" spans="2:13" ht="18" customHeight="1" x14ac:dyDescent="0.2">
      <c r="B21" s="2634" t="s">
        <v>683</v>
      </c>
      <c r="C21" s="2636" t="s">
        <v>683</v>
      </c>
      <c r="D21" s="3160">
        <v>4.6871992247072836</v>
      </c>
      <c r="E21" s="3160">
        <v>62.620118160202793</v>
      </c>
      <c r="F21" s="3160">
        <v>2.3547413910738615</v>
      </c>
      <c r="G21" s="3668">
        <f t="shared" si="1"/>
        <v>1.7500000000000002E-2</v>
      </c>
      <c r="H21" s="3081">
        <f t="shared" si="2"/>
        <v>0.14241089328265255</v>
      </c>
      <c r="I21" s="3081">
        <f t="shared" si="3"/>
        <v>0.81403763098257531</v>
      </c>
      <c r="J21" s="3194">
        <v>8.2025986432377462E-2</v>
      </c>
      <c r="K21" s="3194">
        <v>8.917786964659733</v>
      </c>
      <c r="L21" s="3194">
        <v>1.9168481035663802</v>
      </c>
      <c r="M21" s="3460">
        <v>-0.4378932875074813</v>
      </c>
    </row>
    <row r="22" spans="2:13" ht="18" customHeight="1" x14ac:dyDescent="0.2">
      <c r="B22" s="2634" t="s">
        <v>686</v>
      </c>
      <c r="C22" s="2636" t="s">
        <v>686</v>
      </c>
      <c r="D22" s="3160">
        <v>1.2344584545953277</v>
      </c>
      <c r="E22" s="3160">
        <v>14.414733186838202</v>
      </c>
      <c r="F22" s="3160">
        <v>0.62016361567780875</v>
      </c>
      <c r="G22" s="3668">
        <f t="shared" si="1"/>
        <v>1.7500000000000002E-2</v>
      </c>
      <c r="H22" s="3081">
        <f t="shared" si="2"/>
        <v>0.16293468694495467</v>
      </c>
      <c r="I22" s="3081">
        <f t="shared" si="3"/>
        <v>0.81403763098257564</v>
      </c>
      <c r="J22" s="3194">
        <v>2.1603022955418237E-2</v>
      </c>
      <c r="K22" s="3194">
        <v>2.3486600391925312</v>
      </c>
      <c r="L22" s="3194">
        <v>0.50483652052795192</v>
      </c>
      <c r="M22" s="3460">
        <v>-0.11532709514985701</v>
      </c>
    </row>
    <row r="23" spans="2:13" ht="18" customHeight="1" x14ac:dyDescent="0.2">
      <c r="B23" s="2634" t="s">
        <v>688</v>
      </c>
      <c r="C23" s="2636" t="s">
        <v>688</v>
      </c>
      <c r="D23" s="3160">
        <v>13.160138690284189</v>
      </c>
      <c r="E23" s="3160">
        <v>175.81702852447393</v>
      </c>
      <c r="F23" s="3160">
        <v>6.611351854415787</v>
      </c>
      <c r="G23" s="3668">
        <f t="shared" si="1"/>
        <v>1.7500000000000002E-2</v>
      </c>
      <c r="H23" s="3081">
        <f t="shared" si="2"/>
        <v>0.14241089328265252</v>
      </c>
      <c r="I23" s="3081">
        <f t="shared" si="3"/>
        <v>0.79481648243571135</v>
      </c>
      <c r="J23" s="3194">
        <v>0.23030242707997334</v>
      </c>
      <c r="K23" s="3194">
        <v>25.038260086471933</v>
      </c>
      <c r="L23" s="3194">
        <v>5.2548114250715727</v>
      </c>
      <c r="M23" s="3460">
        <v>-1.1023848771655957</v>
      </c>
    </row>
    <row r="24" spans="2:13" ht="18" customHeight="1" x14ac:dyDescent="0.2">
      <c r="B24" s="2634" t="s">
        <v>689</v>
      </c>
      <c r="C24" s="2636" t="s">
        <v>689</v>
      </c>
      <c r="D24" s="3160">
        <v>16.479543065008848</v>
      </c>
      <c r="E24" s="3160">
        <v>220.16365946584023</v>
      </c>
      <c r="F24" s="3160">
        <v>8.2789444827969572</v>
      </c>
      <c r="G24" s="3668">
        <f t="shared" si="1"/>
        <v>1.7500000000000002E-2</v>
      </c>
      <c r="H24" s="3081">
        <f t="shared" si="2"/>
        <v>0.14241089328265255</v>
      </c>
      <c r="I24" s="3081">
        <f t="shared" si="3"/>
        <v>0.79481648243571157</v>
      </c>
      <c r="J24" s="3194">
        <v>0.28839200363765488</v>
      </c>
      <c r="K24" s="3194">
        <v>31.353703412908029</v>
      </c>
      <c r="L24" s="3194">
        <v>6.5802415320972187</v>
      </c>
      <c r="M24" s="3460">
        <v>-1.3804413072695829</v>
      </c>
    </row>
    <row r="25" spans="2:13" ht="18" customHeight="1" x14ac:dyDescent="0.2">
      <c r="B25" s="105" t="s">
        <v>890</v>
      </c>
      <c r="C25" s="2524"/>
      <c r="D25" s="150"/>
      <c r="E25" s="150"/>
      <c r="F25" s="150"/>
      <c r="G25" s="3669"/>
      <c r="H25" s="2135"/>
      <c r="I25" s="2135"/>
      <c r="J25" s="3081">
        <f>IF(SUM(J26:J37)=0,"NO",SUM(J26:J37))</f>
        <v>6.986410657738841E-2</v>
      </c>
      <c r="K25" s="3081">
        <f>IF(SUM(K26:K37)=0,"NO",SUM(K26:K37))</f>
        <v>13.504623638718106</v>
      </c>
      <c r="L25" s="3081">
        <f>IF(SUM(L26:L37)=0,"NO",SUM(L26:L37))</f>
        <v>33.269179358337666</v>
      </c>
      <c r="M25" s="3193">
        <f>IF(SUM(M26:M37)=0,"NO",SUM(M26:M37))</f>
        <v>-6.2377123601229423</v>
      </c>
    </row>
    <row r="26" spans="2:13" ht="18" customHeight="1" x14ac:dyDescent="0.2">
      <c r="B26" s="2634" t="s">
        <v>671</v>
      </c>
      <c r="C26" s="2636" t="s">
        <v>671</v>
      </c>
      <c r="D26" s="3461">
        <v>0.15205555949763069</v>
      </c>
      <c r="E26" s="3461">
        <v>10.115963546777026</v>
      </c>
      <c r="F26" s="3461">
        <v>0.51590805223640457</v>
      </c>
      <c r="G26" s="3668">
        <f>IF(SUM(D26)=0,"NA",J26/D26)</f>
        <v>5.9999999999999993E-3</v>
      </c>
      <c r="H26" s="3081">
        <f>IF(SUM(E26)=0,"NA",K26/E26)</f>
        <v>1.7433102109094944E-2</v>
      </c>
      <c r="I26" s="3081">
        <f>IF(SUM(F26)=0,"NA",L26/F26)</f>
        <v>0.84211077893510378</v>
      </c>
      <c r="J26" s="3194">
        <v>9.1233335698578401E-4</v>
      </c>
      <c r="K26" s="3194">
        <v>0.17635262544284613</v>
      </c>
      <c r="L26" s="3194">
        <v>0.43445173172769086</v>
      </c>
      <c r="M26" s="3460">
        <v>-8.1456320508713667E-2</v>
      </c>
    </row>
    <row r="27" spans="2:13" ht="18" customHeight="1" x14ac:dyDescent="0.2">
      <c r="B27" s="2634" t="s">
        <v>672</v>
      </c>
      <c r="C27" s="2636" t="s">
        <v>672</v>
      </c>
      <c r="D27" s="3461">
        <v>0.67787083349572241</v>
      </c>
      <c r="E27" s="3461">
        <v>45.097441117718141</v>
      </c>
      <c r="F27" s="3461">
        <v>2.2999423535191132</v>
      </c>
      <c r="G27" s="3668">
        <f t="shared" ref="G27:G37" si="7">IF(SUM(D27)=0,"NA",J27/D27)</f>
        <v>5.9999999999999993E-3</v>
      </c>
      <c r="H27" s="3081">
        <f t="shared" ref="H27:H37" si="8">IF(SUM(E27)=0,"NA",K27/E27)</f>
        <v>1.7433102109094947E-2</v>
      </c>
      <c r="I27" s="3081">
        <f t="shared" ref="I27:I37" si="9">IF(SUM(F27)=0,"NA",L27/F27)</f>
        <v>0.84211077893510344</v>
      </c>
      <c r="J27" s="3194">
        <v>4.0672250009743342E-3</v>
      </c>
      <c r="K27" s="3194">
        <v>0.78618829586407735</v>
      </c>
      <c r="L27" s="3194">
        <v>1.9368062468278155</v>
      </c>
      <c r="M27" s="3460">
        <v>-0.36313610669129681</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v>2.0175533594086303</v>
      </c>
      <c r="E29" s="3461">
        <v>134.22393962368244</v>
      </c>
      <c r="F29" s="3461">
        <v>6.8453401333986736</v>
      </c>
      <c r="G29" s="3668">
        <f t="shared" si="7"/>
        <v>5.9999999999999984E-3</v>
      </c>
      <c r="H29" s="3081">
        <f t="shared" si="8"/>
        <v>1.7433102109094944E-2</v>
      </c>
      <c r="I29" s="3081">
        <f t="shared" si="9"/>
        <v>0.84211077893510355</v>
      </c>
      <c r="J29" s="3194">
        <v>1.210532015645178E-2</v>
      </c>
      <c r="K29" s="3194">
        <v>2.3399396449446508</v>
      </c>
      <c r="L29" s="3194">
        <v>5.7645347118120824</v>
      </c>
      <c r="M29" s="3460">
        <v>-1.080805421586589</v>
      </c>
    </row>
    <row r="30" spans="2:13" ht="18" customHeight="1" x14ac:dyDescent="0.2">
      <c r="B30" s="2634" t="s">
        <v>676</v>
      </c>
      <c r="C30" s="2636" t="s">
        <v>676</v>
      </c>
      <c r="D30" s="3461">
        <v>5.3720798467822295E-3</v>
      </c>
      <c r="E30" s="3461">
        <v>0.3573941267255758</v>
      </c>
      <c r="F30" s="3461">
        <v>1.822688535275192E-2</v>
      </c>
      <c r="G30" s="3668">
        <f t="shared" si="7"/>
        <v>6.000000000000001E-3</v>
      </c>
      <c r="H30" s="3081">
        <f t="shared" si="8"/>
        <v>1.7433102109094944E-2</v>
      </c>
      <c r="I30" s="3081">
        <f t="shared" si="9"/>
        <v>0.84211077893510378</v>
      </c>
      <c r="J30" s="3194">
        <v>3.2232479080693383E-5</v>
      </c>
      <c r="K30" s="3194">
        <v>6.2304883043977815E-3</v>
      </c>
      <c r="L30" s="3194">
        <v>1.5349056621966752E-2</v>
      </c>
      <c r="M30" s="3460">
        <v>-2.8778287307851657E-3</v>
      </c>
    </row>
    <row r="31" spans="2:13" ht="18" customHeight="1" x14ac:dyDescent="0.2">
      <c r="B31" s="2634" t="s">
        <v>677</v>
      </c>
      <c r="C31" s="2636" t="s">
        <v>677</v>
      </c>
      <c r="D31" s="3461">
        <v>6.2585241761911314</v>
      </c>
      <c r="E31" s="3461">
        <v>416.36756085829745</v>
      </c>
      <c r="F31" s="3461">
        <v>21.234494998280724</v>
      </c>
      <c r="G31" s="3668">
        <f t="shared" si="7"/>
        <v>6.000000000000001E-3</v>
      </c>
      <c r="H31" s="3081">
        <f t="shared" si="8"/>
        <v>1.7433102109094947E-2</v>
      </c>
      <c r="I31" s="3081">
        <f t="shared" si="9"/>
        <v>0.84211077893510367</v>
      </c>
      <c r="J31" s="3194">
        <v>3.7551145057146795E-2</v>
      </c>
      <c r="K31" s="3194">
        <v>7.2585782033575041</v>
      </c>
      <c r="L31" s="3194">
        <v>17.881797123295744</v>
      </c>
      <c r="M31" s="3460">
        <v>-3.3526978749849765</v>
      </c>
    </row>
    <row r="32" spans="2:13" ht="18" customHeight="1" x14ac:dyDescent="0.2">
      <c r="B32" s="2634" t="s">
        <v>679</v>
      </c>
      <c r="C32" s="2636" t="s">
        <v>679</v>
      </c>
      <c r="D32" s="3461">
        <v>1.7691059713046573</v>
      </c>
      <c r="E32" s="3461">
        <v>117.69521334984358</v>
      </c>
      <c r="F32" s="3461">
        <v>6.002385041829398</v>
      </c>
      <c r="G32" s="3668">
        <f t="shared" si="7"/>
        <v>6.0000000000000001E-3</v>
      </c>
      <c r="H32" s="3081">
        <f t="shared" si="8"/>
        <v>1.7433102109094944E-2</v>
      </c>
      <c r="I32" s="3081">
        <f t="shared" si="9"/>
        <v>0.84211077893510389</v>
      </c>
      <c r="J32" s="3194">
        <v>1.0614635827827944E-2</v>
      </c>
      <c r="K32" s="3194">
        <v>2.0517926720795376</v>
      </c>
      <c r="L32" s="3194">
        <v>5.0546731430433702</v>
      </c>
      <c r="M32" s="3460">
        <v>-0.9477118987860278</v>
      </c>
    </row>
    <row r="33" spans="2:13" ht="18" customHeight="1" x14ac:dyDescent="0.2">
      <c r="B33" s="2634" t="s">
        <v>681</v>
      </c>
      <c r="C33" s="2636" t="s">
        <v>681</v>
      </c>
      <c r="D33" s="3461">
        <v>0.25658813911274025</v>
      </c>
      <c r="E33" s="3461">
        <v>17.070314761100715</v>
      </c>
      <c r="F33" s="3461">
        <v>0.87057577844551037</v>
      </c>
      <c r="G33" s="3668">
        <f t="shared" si="7"/>
        <v>6.000000000000001E-3</v>
      </c>
      <c r="H33" s="3081">
        <f t="shared" si="8"/>
        <v>1.7433102109094947E-2</v>
      </c>
      <c r="I33" s="3081">
        <f t="shared" si="9"/>
        <v>0.84211077893510378</v>
      </c>
      <c r="J33" s="3194">
        <v>1.5395288346764418E-3</v>
      </c>
      <c r="K33" s="3194">
        <v>0.29758854026465947</v>
      </c>
      <c r="L33" s="3194">
        <v>0.73312124690878311</v>
      </c>
      <c r="M33" s="3460">
        <v>-0.13745453153672726</v>
      </c>
    </row>
    <row r="34" spans="2:13" ht="18" customHeight="1" x14ac:dyDescent="0.2">
      <c r="B34" s="2634" t="s">
        <v>683</v>
      </c>
      <c r="C34" s="2636" t="s">
        <v>683</v>
      </c>
      <c r="D34" s="3461">
        <v>6.6818759976275219E-2</v>
      </c>
      <c r="E34" s="3461">
        <v>4.4453234225308025</v>
      </c>
      <c r="F34" s="3461">
        <v>0.22670881897448225</v>
      </c>
      <c r="G34" s="3668">
        <f t="shared" si="7"/>
        <v>5.9999999999999993E-3</v>
      </c>
      <c r="H34" s="3081">
        <f t="shared" si="8"/>
        <v>1.7433102109094947E-2</v>
      </c>
      <c r="I34" s="3081">
        <f t="shared" si="9"/>
        <v>0.84211077893510378</v>
      </c>
      <c r="J34" s="3194">
        <v>4.0091255985765125E-4</v>
      </c>
      <c r="K34" s="3194">
        <v>7.7495777132930904E-2</v>
      </c>
      <c r="L34" s="3194">
        <v>0.19091394013805868</v>
      </c>
      <c r="M34" s="3460">
        <v>-3.5794878836423558E-2</v>
      </c>
    </row>
    <row r="35" spans="2:13" ht="18" customHeight="1" x14ac:dyDescent="0.2">
      <c r="B35" s="2634" t="s">
        <v>686</v>
      </c>
      <c r="C35" s="2636" t="s">
        <v>686</v>
      </c>
      <c r="D35" s="3461">
        <v>1.7597925589228614E-2</v>
      </c>
      <c r="E35" s="3461">
        <v>1.1707560995972999</v>
      </c>
      <c r="F35" s="3461">
        <v>5.9707856418637448E-2</v>
      </c>
      <c r="G35" s="3668">
        <f t="shared" si="7"/>
        <v>5.9999999999999993E-3</v>
      </c>
      <c r="H35" s="3081">
        <f t="shared" si="8"/>
        <v>1.7433102109094947E-2</v>
      </c>
      <c r="I35" s="3081">
        <f t="shared" si="9"/>
        <v>0.84211077893510355</v>
      </c>
      <c r="J35" s="3194">
        <v>1.0558755353537168E-4</v>
      </c>
      <c r="K35" s="3194">
        <v>2.0409910629125463E-2</v>
      </c>
      <c r="L35" s="3194">
        <v>5.0280629477244106E-2</v>
      </c>
      <c r="M35" s="3460">
        <v>-9.4272269413933265E-3</v>
      </c>
    </row>
    <row r="36" spans="2:13" ht="18" customHeight="1" x14ac:dyDescent="0.2">
      <c r="B36" s="2634" t="s">
        <v>688</v>
      </c>
      <c r="C36" s="2636" t="s">
        <v>688</v>
      </c>
      <c r="D36" s="3461">
        <v>0.18760545610380097</v>
      </c>
      <c r="E36" s="3461">
        <v>12.481029706461339</v>
      </c>
      <c r="F36" s="3461">
        <v>0.63652500288187341</v>
      </c>
      <c r="G36" s="3668">
        <f t="shared" si="7"/>
        <v>5.9999999999999993E-3</v>
      </c>
      <c r="H36" s="3081">
        <f t="shared" si="8"/>
        <v>1.7433102109094944E-2</v>
      </c>
      <c r="I36" s="3081">
        <f t="shared" si="9"/>
        <v>0.84211077893510389</v>
      </c>
      <c r="J36" s="3194">
        <v>1.1256327366228056E-3</v>
      </c>
      <c r="K36" s="3194">
        <v>0.21758306529938781</v>
      </c>
      <c r="L36" s="3194">
        <v>0.53602456598852366</v>
      </c>
      <c r="M36" s="3460">
        <v>-0.10050043689334977</v>
      </c>
    </row>
    <row r="37" spans="2:13" ht="18" customHeight="1" x14ac:dyDescent="0.2">
      <c r="B37" s="2634" t="s">
        <v>689</v>
      </c>
      <c r="C37" s="2636" t="s">
        <v>689</v>
      </c>
      <c r="D37" s="3461">
        <v>0.23492550237146867</v>
      </c>
      <c r="E37" s="3461">
        <v>15.629141256325372</v>
      </c>
      <c r="F37" s="3461">
        <v>0.79707679712303958</v>
      </c>
      <c r="G37" s="3668">
        <f t="shared" si="7"/>
        <v>6.000000000000001E-3</v>
      </c>
      <c r="H37" s="3081">
        <f t="shared" si="8"/>
        <v>1.7433102109094947E-2</v>
      </c>
      <c r="I37" s="3081">
        <f t="shared" si="9"/>
        <v>0.84211077893510355</v>
      </c>
      <c r="J37" s="3194">
        <v>1.4095530142288122E-3</v>
      </c>
      <c r="K37" s="3194">
        <v>0.27246441539898869</v>
      </c>
      <c r="L37" s="3194">
        <v>0.67122696249638036</v>
      </c>
      <c r="M37" s="3460">
        <v>-0.12584983462665897</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3.4465148346153742</v>
      </c>
      <c r="K51" s="3081">
        <f>IF(SUM(K52:K63)=0,"NO",SUM(K52:K63))</f>
        <v>128.9974051856118</v>
      </c>
      <c r="L51" s="3081">
        <f>IF(SUM(L52:L63)=0,"NO",SUM(L52:L63))</f>
        <v>51.131402177680897</v>
      </c>
      <c r="M51" s="3193">
        <f>IF(SUM(M52:M63)=0,"NO",SUM(M52:M63))</f>
        <v>-11.184530239594691</v>
      </c>
    </row>
    <row r="52" spans="2:13" ht="18" customHeight="1" x14ac:dyDescent="0.2">
      <c r="B52" s="2634" t="s">
        <v>671</v>
      </c>
      <c r="C52" s="2636" t="s">
        <v>671</v>
      </c>
      <c r="D52" s="3461">
        <v>0.88248924303425613</v>
      </c>
      <c r="E52" s="3461">
        <v>7.6024621973045035</v>
      </c>
      <c r="F52" s="3461">
        <v>0.8137641286942735</v>
      </c>
      <c r="G52" s="3081">
        <f>IF(SUM(D52)=0,"NA",J52/D52)</f>
        <v>5.0999999999999997E-2</v>
      </c>
      <c r="H52" s="3081">
        <f>IF(SUM(E52)=0,"NA",K52/E52)</f>
        <v>0.2215777507001909</v>
      </c>
      <c r="I52" s="3081">
        <f>IF(SUM(F52)=0,"NA",L52/F52)</f>
        <v>0.82051892981875596</v>
      </c>
      <c r="J52" s="3194">
        <v>4.5006951394747058E-2</v>
      </c>
      <c r="K52" s="3194">
        <v>1.6845364734619628</v>
      </c>
      <c r="L52" s="3194">
        <v>0.66770887200111773</v>
      </c>
      <c r="M52" s="3460">
        <v>-0.14605525669315556</v>
      </c>
    </row>
    <row r="53" spans="2:13" ht="18" customHeight="1" x14ac:dyDescent="0.2">
      <c r="B53" s="2634" t="s">
        <v>672</v>
      </c>
      <c r="C53" s="2636" t="s">
        <v>672</v>
      </c>
      <c r="D53" s="3461">
        <v>3.9341785377861282</v>
      </c>
      <c r="E53" s="3461">
        <v>33.89213392350068</v>
      </c>
      <c r="F53" s="3461">
        <v>3.6277987467830988</v>
      </c>
      <c r="G53" s="3081">
        <f t="shared" ref="G53:G63" si="39">IF(SUM(D53)=0,"NA",J53/D53)</f>
        <v>5.0999999999999997E-2</v>
      </c>
      <c r="H53" s="3081">
        <f t="shared" ref="H53:H63" si="40">IF(SUM(E53)=0,"NA",K53/E53)</f>
        <v>0.22157775070019095</v>
      </c>
      <c r="I53" s="3081">
        <f t="shared" ref="I53:I63" si="41">IF(SUM(F53)=0,"NA",L53/F53)</f>
        <v>0.82051892981875552</v>
      </c>
      <c r="J53" s="3194">
        <v>0.20064310542709252</v>
      </c>
      <c r="K53" s="3194">
        <v>7.509742801198918</v>
      </c>
      <c r="L53" s="3194">
        <v>2.9766775453082905</v>
      </c>
      <c r="M53" s="3460">
        <v>-0.65112120147480546</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11.709332712385867</v>
      </c>
      <c r="E55" s="3461">
        <v>100.87347806699447</v>
      </c>
      <c r="F55" s="3461">
        <v>10.797451648842548</v>
      </c>
      <c r="G55" s="3081">
        <f t="shared" si="39"/>
        <v>5.0999999999999997E-2</v>
      </c>
      <c r="H55" s="3081">
        <f t="shared" si="40"/>
        <v>0.2215777507001909</v>
      </c>
      <c r="I55" s="3081">
        <f t="shared" si="41"/>
        <v>0.82051892981875563</v>
      </c>
      <c r="J55" s="3194">
        <v>0.59717596833167919</v>
      </c>
      <c r="K55" s="3194">
        <v>22.351318375389674</v>
      </c>
      <c r="L55" s="3194">
        <v>8.8595134716780457</v>
      </c>
      <c r="M55" s="3460">
        <v>-1.937938177164495</v>
      </c>
    </row>
    <row r="56" spans="2:13" ht="18" customHeight="1" x14ac:dyDescent="0.2">
      <c r="B56" s="2634" t="s">
        <v>676</v>
      </c>
      <c r="C56" s="2636" t="s">
        <v>676</v>
      </c>
      <c r="D56" s="3461">
        <v>3.1178094988235556E-2</v>
      </c>
      <c r="E56" s="3461">
        <v>0.26859283600676015</v>
      </c>
      <c r="F56" s="3461">
        <v>2.8750056165232983E-2</v>
      </c>
      <c r="G56" s="3081">
        <f t="shared" si="39"/>
        <v>5.0999999999999997E-2</v>
      </c>
      <c r="H56" s="3081">
        <f t="shared" si="40"/>
        <v>0.2215777507001909</v>
      </c>
      <c r="I56" s="3081">
        <f t="shared" si="41"/>
        <v>0.82051892981875596</v>
      </c>
      <c r="J56" s="3194">
        <v>1.5900828444000133E-3</v>
      </c>
      <c r="K56" s="3194">
        <v>5.9514196456563154E-2</v>
      </c>
      <c r="L56" s="3194">
        <v>2.3589965316926094E-2</v>
      </c>
      <c r="M56" s="3460">
        <v>-5.1600908483068796E-3</v>
      </c>
    </row>
    <row r="57" spans="2:13" ht="18" customHeight="1" x14ac:dyDescent="0.2">
      <c r="B57" s="2634" t="s">
        <v>677</v>
      </c>
      <c r="C57" s="2636" t="s">
        <v>677</v>
      </c>
      <c r="D57" s="3461">
        <v>36.322777549245508</v>
      </c>
      <c r="E57" s="3461">
        <v>312.91321157613305</v>
      </c>
      <c r="F57" s="3461">
        <v>33.494089199872896</v>
      </c>
      <c r="G57" s="3081">
        <f t="shared" si="39"/>
        <v>5.099999999999999E-2</v>
      </c>
      <c r="H57" s="3081">
        <f t="shared" si="40"/>
        <v>0.22157775070019092</v>
      </c>
      <c r="I57" s="3081">
        <f t="shared" si="41"/>
        <v>0.8205189298187554</v>
      </c>
      <c r="J57" s="3194">
        <v>1.8524616550115205</v>
      </c>
      <c r="K57" s="3194">
        <v>69.334605585412504</v>
      </c>
      <c r="L57" s="3194">
        <v>27.482534225533641</v>
      </c>
      <c r="M57" s="3460">
        <v>-6.0115549743392256</v>
      </c>
    </row>
    <row r="58" spans="2:13" ht="18" customHeight="1" x14ac:dyDescent="0.2">
      <c r="B58" s="2634" t="s">
        <v>679</v>
      </c>
      <c r="C58" s="2636" t="s">
        <v>679</v>
      </c>
      <c r="D58" s="3461">
        <v>10.267411429230616</v>
      </c>
      <c r="E58" s="3461">
        <v>88.45162461869009</v>
      </c>
      <c r="F58" s="3461">
        <v>9.4678220517744585</v>
      </c>
      <c r="G58" s="3081">
        <f t="shared" si="39"/>
        <v>5.1000000000000004E-2</v>
      </c>
      <c r="H58" s="3081">
        <f t="shared" si="40"/>
        <v>0.2215777507001909</v>
      </c>
      <c r="I58" s="3081">
        <f t="shared" si="41"/>
        <v>0.82051892981875552</v>
      </c>
      <c r="J58" s="3194">
        <v>0.52363798289076147</v>
      </c>
      <c r="K58" s="3194">
        <v>19.59891202878698</v>
      </c>
      <c r="L58" s="3194">
        <v>7.7685272176363931</v>
      </c>
      <c r="M58" s="3460">
        <v>-1.6992948341380587</v>
      </c>
    </row>
    <row r="59" spans="2:13" ht="18" customHeight="1" x14ac:dyDescent="0.2">
      <c r="B59" s="2634" t="s">
        <v>681</v>
      </c>
      <c r="C59" s="2636" t="s">
        <v>681</v>
      </c>
      <c r="D59" s="3461">
        <v>1.4891679949439722</v>
      </c>
      <c r="E59" s="3461">
        <v>12.828874092641861</v>
      </c>
      <c r="F59" s="3461">
        <v>1.3731969034753884</v>
      </c>
      <c r="G59" s="3081">
        <f t="shared" si="39"/>
        <v>5.0999999999999997E-2</v>
      </c>
      <c r="H59" s="3081">
        <f t="shared" si="40"/>
        <v>0.2215777507001909</v>
      </c>
      <c r="I59" s="3081">
        <f t="shared" si="41"/>
        <v>0.82051892981875585</v>
      </c>
      <c r="J59" s="3194">
        <v>7.5947567742142577E-2</v>
      </c>
      <c r="K59" s="3194">
        <v>2.8425930654635359</v>
      </c>
      <c r="L59" s="3194">
        <v>1.126734053670055</v>
      </c>
      <c r="M59" s="3460">
        <v>-0.24646284980533276</v>
      </c>
    </row>
    <row r="60" spans="2:13" ht="18" customHeight="1" x14ac:dyDescent="0.2">
      <c r="B60" s="2634" t="s">
        <v>683</v>
      </c>
      <c r="C60" s="2636" t="s">
        <v>683</v>
      </c>
      <c r="D60" s="3461">
        <v>0.38779796744537698</v>
      </c>
      <c r="E60" s="3461">
        <v>3.340799234626544</v>
      </c>
      <c r="F60" s="3461">
        <v>0.35759764504613628</v>
      </c>
      <c r="G60" s="3081">
        <f t="shared" si="39"/>
        <v>5.099999999999999E-2</v>
      </c>
      <c r="H60" s="3081">
        <f t="shared" si="40"/>
        <v>0.2215777507001909</v>
      </c>
      <c r="I60" s="3081">
        <f t="shared" si="41"/>
        <v>0.82051892981875596</v>
      </c>
      <c r="J60" s="3194">
        <v>1.9777696339714223E-2</v>
      </c>
      <c r="K60" s="3194">
        <v>0.74024677994946897</v>
      </c>
      <c r="L60" s="3194">
        <v>0.29341563701896312</v>
      </c>
      <c r="M60" s="3460">
        <v>-6.4182008027173068E-2</v>
      </c>
    </row>
    <row r="61" spans="2:13" ht="18" customHeight="1" x14ac:dyDescent="0.2">
      <c r="B61" s="2634" t="s">
        <v>686</v>
      </c>
      <c r="C61" s="2636" t="s">
        <v>686</v>
      </c>
      <c r="D61" s="3461">
        <v>0.10213358908756974</v>
      </c>
      <c r="E61" s="3461">
        <v>0.87985973340996315</v>
      </c>
      <c r="F61" s="3461">
        <v>9.4179789487857712E-2</v>
      </c>
      <c r="G61" s="3081">
        <f t="shared" si="39"/>
        <v>5.1000000000000004E-2</v>
      </c>
      <c r="H61" s="3081">
        <f t="shared" si="40"/>
        <v>0.2215777507001909</v>
      </c>
      <c r="I61" s="3081">
        <f t="shared" si="41"/>
        <v>0.82051892981875563</v>
      </c>
      <c r="J61" s="3194">
        <v>5.2088130434660568E-3</v>
      </c>
      <c r="K61" s="3194">
        <v>0.19495734066064924</v>
      </c>
      <c r="L61" s="3194">
        <v>7.7276300081132704E-2</v>
      </c>
      <c r="M61" s="3460">
        <v>-1.6903489406724953E-2</v>
      </c>
    </row>
    <row r="62" spans="2:13" ht="18" customHeight="1" x14ac:dyDescent="0.2">
      <c r="B62" s="2634" t="s">
        <v>688</v>
      </c>
      <c r="C62" s="2636" t="s">
        <v>688</v>
      </c>
      <c r="D62" s="3461">
        <v>1.0888112048854053</v>
      </c>
      <c r="E62" s="3461">
        <v>9.3798832002551027</v>
      </c>
      <c r="F62" s="3461">
        <v>1.0040184721228835</v>
      </c>
      <c r="G62" s="3081">
        <f t="shared" si="39"/>
        <v>5.099999999999999E-2</v>
      </c>
      <c r="H62" s="3081">
        <f t="shared" si="40"/>
        <v>0.22157775070019092</v>
      </c>
      <c r="I62" s="3081">
        <f t="shared" si="41"/>
        <v>0.82051892981875529</v>
      </c>
      <c r="J62" s="3194">
        <v>5.5529371449155658E-2</v>
      </c>
      <c r="K62" s="3194">
        <v>2.0783734213430343</v>
      </c>
      <c r="L62" s="3194">
        <v>0.82381616226453014</v>
      </c>
      <c r="M62" s="3460">
        <v>-0.18020230985835234</v>
      </c>
    </row>
    <row r="63" spans="2:13" ht="18" customHeight="1" x14ac:dyDescent="0.2">
      <c r="B63" s="2634" t="s">
        <v>689</v>
      </c>
      <c r="C63" s="2636" t="s">
        <v>689</v>
      </c>
      <c r="D63" s="3461">
        <v>1.3634439243273453</v>
      </c>
      <c r="E63" s="3461">
        <v>11.745787242916888</v>
      </c>
      <c r="F63" s="3461">
        <v>1.2572637750108804</v>
      </c>
      <c r="G63" s="3081">
        <f t="shared" si="39"/>
        <v>5.0999999999999997E-2</v>
      </c>
      <c r="H63" s="3081">
        <f t="shared" si="40"/>
        <v>0.22157775070019084</v>
      </c>
      <c r="I63" s="3081">
        <f t="shared" si="41"/>
        <v>0.82051892981875529</v>
      </c>
      <c r="J63" s="3194">
        <v>6.9535640140694605E-2</v>
      </c>
      <c r="K63" s="3194">
        <v>2.6026051174885203</v>
      </c>
      <c r="L63" s="3194">
        <v>1.031608727171816</v>
      </c>
      <c r="M63" s="3460">
        <v>-0.22565504783906326</v>
      </c>
    </row>
    <row r="64" spans="2:13" ht="18" customHeight="1" x14ac:dyDescent="0.2">
      <c r="B64" s="104" t="s">
        <v>893</v>
      </c>
      <c r="C64" s="2524"/>
      <c r="D64" s="150"/>
      <c r="E64" s="150"/>
      <c r="F64" s="150"/>
      <c r="G64" s="2135"/>
      <c r="H64" s="2135"/>
      <c r="I64" s="2135"/>
      <c r="J64" s="3081">
        <f>IF(SUM(J65:J76)=0,"NO",SUM(J65:J76))</f>
        <v>0.33691911405931091</v>
      </c>
      <c r="K64" s="3081">
        <f>IF(SUM(K65:K76)=0,"NO",SUM(K65:K76))</f>
        <v>456.27699891658148</v>
      </c>
      <c r="L64" s="3081">
        <f>IF(SUM(L65:L76)=0,"NO",SUM(L65:L76))</f>
        <v>87.449207119597915</v>
      </c>
      <c r="M64" s="3193">
        <f>IF(SUM(M65:M76)=0,"NO",SUM(M65:M76))</f>
        <v>-28.791093947135487</v>
      </c>
    </row>
    <row r="65" spans="2:13" ht="18" customHeight="1" x14ac:dyDescent="0.2">
      <c r="B65" s="2634" t="s">
        <v>671</v>
      </c>
      <c r="C65" s="2636" t="s">
        <v>671</v>
      </c>
      <c r="D65" s="3461">
        <v>1.2570630181564182</v>
      </c>
      <c r="E65" s="3461">
        <v>55.304151602765359</v>
      </c>
      <c r="F65" s="3461">
        <v>1.6225948619741644</v>
      </c>
      <c r="G65" s="3081">
        <f>IF(SUM(D65)=0,"NA",J65/D65)</f>
        <v>3.5000000000000005E-3</v>
      </c>
      <c r="H65" s="3081">
        <f>IF(SUM(E65)=0,"NA",K65/E65)</f>
        <v>0.10773834161288053</v>
      </c>
      <c r="I65" s="3081">
        <f>IF(SUM(F65)=0,"NA",L65/F65)</f>
        <v>0.70379345547820416</v>
      </c>
      <c r="J65" s="3194">
        <v>4.3997205635474641E-3</v>
      </c>
      <c r="K65" s="3194">
        <v>5.9583775779892685</v>
      </c>
      <c r="L65" s="3194">
        <v>1.1419716447499768</v>
      </c>
      <c r="M65" s="3460">
        <v>-0.37597382517140165</v>
      </c>
    </row>
    <row r="66" spans="2:13" ht="18" customHeight="1" x14ac:dyDescent="0.2">
      <c r="B66" s="2634" t="s">
        <v>672</v>
      </c>
      <c r="C66" s="2636" t="s">
        <v>672</v>
      </c>
      <c r="D66" s="3461">
        <v>5.6040460387613606</v>
      </c>
      <c r="E66" s="3461">
        <v>246.54850810189879</v>
      </c>
      <c r="F66" s="3461">
        <v>7.2336041848535118</v>
      </c>
      <c r="G66" s="3081">
        <f t="shared" ref="G66:G76" si="42">IF(SUM(D66)=0,"NA",J66/D66)</f>
        <v>3.5000000000000005E-3</v>
      </c>
      <c r="H66" s="3081">
        <f t="shared" ref="H66:H76" si="43">IF(SUM(E66)=0,"NA",K66/E66)</f>
        <v>0.10773834161288051</v>
      </c>
      <c r="I66" s="3081">
        <f t="shared" ref="I66:I76" si="44">IF(SUM(F66)=0,"NA",L66/F66)</f>
        <v>0.7037934554782046</v>
      </c>
      <c r="J66" s="3194">
        <v>1.9614161135664766E-2</v>
      </c>
      <c r="K66" s="3194">
        <v>26.56272739002841</v>
      </c>
      <c r="L66" s="3194">
        <v>5.0909632848196544</v>
      </c>
      <c r="M66" s="3460">
        <v>-1.6761089899214392</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16.679375115576438</v>
      </c>
      <c r="E68" s="3461">
        <v>733.8046515631811</v>
      </c>
      <c r="F68" s="3461">
        <v>21.52944440539294</v>
      </c>
      <c r="G68" s="3081">
        <f t="shared" si="42"/>
        <v>3.5000000000000005E-3</v>
      </c>
      <c r="H68" s="3081">
        <f t="shared" si="43"/>
        <v>0.10773834161288053</v>
      </c>
      <c r="I68" s="3081">
        <f t="shared" si="44"/>
        <v>0.70379345547820416</v>
      </c>
      <c r="J68" s="3194">
        <v>5.8377812904517538E-2</v>
      </c>
      <c r="K68" s="3194">
        <v>79.058896227234769</v>
      </c>
      <c r="L68" s="3194">
        <v>15.152282072597387</v>
      </c>
      <c r="M68" s="3460">
        <v>-4.9886190056476956</v>
      </c>
    </row>
    <row r="69" spans="2:13" ht="18" customHeight="1" x14ac:dyDescent="0.2">
      <c r="B69" s="2634" t="s">
        <v>676</v>
      </c>
      <c r="C69" s="2636" t="s">
        <v>676</v>
      </c>
      <c r="D69" s="3461">
        <v>4.441168036396962E-2</v>
      </c>
      <c r="E69" s="3461">
        <v>1.9538800110313252</v>
      </c>
      <c r="F69" s="3461">
        <v>5.7325816867877341E-2</v>
      </c>
      <c r="G69" s="3081">
        <f t="shared" si="42"/>
        <v>3.5000000000000005E-3</v>
      </c>
      <c r="H69" s="3081">
        <f t="shared" si="43"/>
        <v>0.10773834161288053</v>
      </c>
      <c r="I69" s="3081">
        <f t="shared" si="44"/>
        <v>0.70379345547820404</v>
      </c>
      <c r="J69" s="3194">
        <v>1.5544088127389369E-4</v>
      </c>
      <c r="K69" s="3194">
        <v>0.21050779209907169</v>
      </c>
      <c r="L69" s="3194">
        <v>4.0345534741554112E-2</v>
      </c>
      <c r="M69" s="3460">
        <v>-1.3283048747404625E-2</v>
      </c>
    </row>
    <row r="70" spans="2:13" ht="18" customHeight="1" x14ac:dyDescent="0.2">
      <c r="B70" s="2634" t="s">
        <v>677</v>
      </c>
      <c r="C70" s="2636" t="s">
        <v>677</v>
      </c>
      <c r="D70" s="3461">
        <v>51.740030526475593</v>
      </c>
      <c r="E70" s="3461">
        <v>2276.2888183318273</v>
      </c>
      <c r="F70" s="3461">
        <v>66.785122526132028</v>
      </c>
      <c r="G70" s="3081">
        <f t="shared" si="42"/>
        <v>3.4999999999999996E-3</v>
      </c>
      <c r="H70" s="3081">
        <f t="shared" si="43"/>
        <v>0.10773834161288053</v>
      </c>
      <c r="I70" s="3081">
        <f t="shared" si="44"/>
        <v>0.70379345547820371</v>
      </c>
      <c r="J70" s="3194">
        <v>0.18109010684266455</v>
      </c>
      <c r="K70" s="3194">
        <v>245.24358231901454</v>
      </c>
      <c r="L70" s="3194">
        <v>47.002932157201684</v>
      </c>
      <c r="M70" s="3460">
        <v>-15.474878276232579</v>
      </c>
    </row>
    <row r="71" spans="2:13" ht="18" customHeight="1" x14ac:dyDescent="0.2">
      <c r="B71" s="2634" t="s">
        <v>679</v>
      </c>
      <c r="C71" s="2636" t="s">
        <v>679</v>
      </c>
      <c r="D71" s="3461">
        <v>14.625428357069882</v>
      </c>
      <c r="E71" s="3461">
        <v>643.44181272710887</v>
      </c>
      <c r="F71" s="3461">
        <v>18.878246009620447</v>
      </c>
      <c r="G71" s="3081">
        <f t="shared" si="42"/>
        <v>3.5000000000000001E-3</v>
      </c>
      <c r="H71" s="3081">
        <f t="shared" si="43"/>
        <v>0.10773834161288053</v>
      </c>
      <c r="I71" s="3081">
        <f t="shared" si="44"/>
        <v>0.70379345547820382</v>
      </c>
      <c r="J71" s="3194">
        <v>5.1188999249744592E-2</v>
      </c>
      <c r="K71" s="3194">
        <v>69.32335382760435</v>
      </c>
      <c r="L71" s="3194">
        <v>13.286385992478387</v>
      </c>
      <c r="M71" s="3460">
        <v>-4.3743059534455506</v>
      </c>
    </row>
    <row r="72" spans="2:13" ht="18" customHeight="1" x14ac:dyDescent="0.2">
      <c r="B72" s="2634" t="s">
        <v>681</v>
      </c>
      <c r="C72" s="2636" t="s">
        <v>681</v>
      </c>
      <c r="D72" s="3461">
        <v>2.12124740221173</v>
      </c>
      <c r="E72" s="3461">
        <v>93.323712673482035</v>
      </c>
      <c r="F72" s="3461">
        <v>2.7380688844483312</v>
      </c>
      <c r="G72" s="3081">
        <f t="shared" si="42"/>
        <v>3.5000000000000001E-3</v>
      </c>
      <c r="H72" s="3081">
        <f t="shared" si="43"/>
        <v>0.10773834161288053</v>
      </c>
      <c r="I72" s="3081">
        <f t="shared" si="44"/>
        <v>0.70379345547820338</v>
      </c>
      <c r="J72" s="3194">
        <v>7.4243659077410555E-3</v>
      </c>
      <c r="K72" s="3194">
        <v>10.054542036597915</v>
      </c>
      <c r="L72" s="3194">
        <v>1.9270349615232405</v>
      </c>
      <c r="M72" s="3460">
        <v>-0.63444194000241017</v>
      </c>
    </row>
    <row r="73" spans="2:13" ht="18" customHeight="1" x14ac:dyDescent="0.2">
      <c r="B73" s="2634" t="s">
        <v>683</v>
      </c>
      <c r="C73" s="2636" t="s">
        <v>683</v>
      </c>
      <c r="D73" s="3461">
        <v>0.552399349045535</v>
      </c>
      <c r="E73" s="3461">
        <v>24.302661762882106</v>
      </c>
      <c r="F73" s="3461">
        <v>0.71302737617218448</v>
      </c>
      <c r="G73" s="3081">
        <f t="shared" si="42"/>
        <v>3.4999999999999996E-3</v>
      </c>
      <c r="H73" s="3081">
        <f t="shared" si="43"/>
        <v>0.10773834161288054</v>
      </c>
      <c r="I73" s="3081">
        <f t="shared" si="44"/>
        <v>0.70379345547820427</v>
      </c>
      <c r="J73" s="3194">
        <v>1.9333977216593723E-3</v>
      </c>
      <c r="K73" s="3194">
        <v>2.618328475111682</v>
      </c>
      <c r="L73" s="3194">
        <v>0.50182400092677915</v>
      </c>
      <c r="M73" s="3460">
        <v>-0.16521661466696583</v>
      </c>
    </row>
    <row r="74" spans="2:13" ht="18" customHeight="1" x14ac:dyDescent="0.2">
      <c r="B74" s="2634" t="s">
        <v>686</v>
      </c>
      <c r="C74" s="2636" t="s">
        <v>686</v>
      </c>
      <c r="D74" s="3461">
        <v>0.14548433169806255</v>
      </c>
      <c r="E74" s="3461">
        <v>6.4005443003617906</v>
      </c>
      <c r="F74" s="3461">
        <v>0.1877886197441597</v>
      </c>
      <c r="G74" s="3081">
        <f t="shared" si="42"/>
        <v>3.4999999999999996E-3</v>
      </c>
      <c r="H74" s="3081">
        <f t="shared" si="43"/>
        <v>0.10773834161288053</v>
      </c>
      <c r="I74" s="3081">
        <f t="shared" si="44"/>
        <v>0.70379345547820493</v>
      </c>
      <c r="J74" s="3194">
        <v>5.0919516094321887E-4</v>
      </c>
      <c r="K74" s="3194">
        <v>0.68958402834075394</v>
      </c>
      <c r="L74" s="3194">
        <v>0.13216440158922482</v>
      </c>
      <c r="M74" s="3460">
        <v>-4.3512775335038445E-2</v>
      </c>
    </row>
    <row r="75" spans="2:13" ht="18" customHeight="1" x14ac:dyDescent="0.2">
      <c r="B75" s="2634" t="s">
        <v>688</v>
      </c>
      <c r="C75" s="2636" t="s">
        <v>688</v>
      </c>
      <c r="D75" s="3461">
        <v>1.5509586209909687</v>
      </c>
      <c r="E75" s="3461">
        <v>68.234010122018717</v>
      </c>
      <c r="F75" s="3461">
        <v>2.0019501434743026</v>
      </c>
      <c r="G75" s="3081">
        <f t="shared" si="42"/>
        <v>3.5000000000000009E-3</v>
      </c>
      <c r="H75" s="3081">
        <f t="shared" si="43"/>
        <v>0.10773834161288053</v>
      </c>
      <c r="I75" s="3081">
        <f t="shared" si="44"/>
        <v>0.70379345547820349</v>
      </c>
      <c r="J75" s="3194">
        <v>5.4283551734683917E-3</v>
      </c>
      <c r="K75" s="3194">
        <v>7.3514190921428</v>
      </c>
      <c r="L75" s="3194">
        <v>1.4089594091708646</v>
      </c>
      <c r="M75" s="3460">
        <v>-0.46387479147364291</v>
      </c>
    </row>
    <row r="76" spans="2:13" ht="18" customHeight="1" x14ac:dyDescent="0.2">
      <c r="B76" s="2634" t="s">
        <v>689</v>
      </c>
      <c r="C76" s="2636" t="s">
        <v>689</v>
      </c>
      <c r="D76" s="3461">
        <v>1.9421595765960322</v>
      </c>
      <c r="E76" s="3461">
        <v>85.4447916369014</v>
      </c>
      <c r="F76" s="3461">
        <v>2.5069054650420992</v>
      </c>
      <c r="G76" s="3081">
        <f t="shared" si="42"/>
        <v>3.5000000000000005E-3</v>
      </c>
      <c r="H76" s="3081">
        <f t="shared" si="43"/>
        <v>0.10773834161288053</v>
      </c>
      <c r="I76" s="3081">
        <f t="shared" si="44"/>
        <v>0.70379345547820504</v>
      </c>
      <c r="J76" s="3194">
        <v>6.7975585180861135E-3</v>
      </c>
      <c r="K76" s="3194">
        <v>9.20568015041788</v>
      </c>
      <c r="L76" s="3194">
        <v>1.7643436597991755</v>
      </c>
      <c r="M76" s="3460">
        <v>-0.58087872649135575</v>
      </c>
    </row>
    <row r="77" spans="2:13" ht="18" customHeight="1" x14ac:dyDescent="0.2">
      <c r="B77" s="104" t="s">
        <v>894</v>
      </c>
      <c r="C77" s="2524"/>
      <c r="D77" s="150"/>
      <c r="E77" s="150"/>
      <c r="F77" s="150"/>
      <c r="G77" s="2135"/>
      <c r="H77" s="2135"/>
      <c r="I77" s="2135"/>
      <c r="J77" s="3081">
        <f>IF(SUM(J78:J89)=0,"NO",SUM(J78:J89))</f>
        <v>0.6384772513758008</v>
      </c>
      <c r="K77" s="3081">
        <f>IF(SUM(K78:K89)=0,"NO",SUM(K78:K89))</f>
        <v>472.65611127229192</v>
      </c>
      <c r="L77" s="3081">
        <f>IF(SUM(L78:L89)=0,"NO",SUM(L78:L89))</f>
        <v>408.45866942419423</v>
      </c>
      <c r="M77" s="3193">
        <f>IF(SUM(M78:M89)=0,"NO",SUM(M78:M89))</f>
        <v>-127.38938854938675</v>
      </c>
    </row>
    <row r="78" spans="2:13" ht="18" customHeight="1" x14ac:dyDescent="0.2">
      <c r="B78" s="2634" t="s">
        <v>671</v>
      </c>
      <c r="C78" s="2636" t="s">
        <v>671</v>
      </c>
      <c r="D78" s="3461">
        <v>0.7131045773341802</v>
      </c>
      <c r="E78" s="3461">
        <v>153.55314696888476</v>
      </c>
      <c r="F78" s="3461">
        <v>4.6595331427192432</v>
      </c>
      <c r="G78" s="3081">
        <f>IF(SUM(D78)=0,"NA",J78/D78)</f>
        <v>1.169207650232262E-2</v>
      </c>
      <c r="H78" s="3081">
        <f>IF(SUM(E78)=0,"NA",K78/E78)</f>
        <v>4.0196292735214099E-2</v>
      </c>
      <c r="I78" s="3081">
        <f>IF(SUM(F78)=0,"NA",L78/F78)</f>
        <v>0.89210820444311811</v>
      </c>
      <c r="J78" s="3194">
        <v>8.3376732723476725E-3</v>
      </c>
      <c r="K78" s="3194">
        <v>6.1722672459746457</v>
      </c>
      <c r="L78" s="3194">
        <v>4.1568077454944632</v>
      </c>
      <c r="M78" s="3460">
        <v>-0.48641255791631455</v>
      </c>
    </row>
    <row r="79" spans="2:13" ht="18" customHeight="1" x14ac:dyDescent="0.2">
      <c r="B79" s="2634" t="s">
        <v>672</v>
      </c>
      <c r="C79" s="2636" t="s">
        <v>672</v>
      </c>
      <c r="D79" s="3461">
        <v>3.1790537340705898</v>
      </c>
      <c r="E79" s="3461">
        <v>684.5471488552248</v>
      </c>
      <c r="F79" s="3461">
        <v>20.772417829321476</v>
      </c>
      <c r="G79" s="3081">
        <f t="shared" ref="G79:G89" si="45">IF(SUM(D79)=0,"NA",J79/D79)</f>
        <v>1.169207650232262E-2</v>
      </c>
      <c r="H79" s="3081">
        <f t="shared" ref="H79:H89" si="46">IF(SUM(E79)=0,"NA",K79/E79)</f>
        <v>4.0196292735214106E-2</v>
      </c>
      <c r="I79" s="3081">
        <f t="shared" ref="I79:I89" si="47">IF(SUM(F79)=0,"NA",L79/F79)</f>
        <v>4.6842395557008896</v>
      </c>
      <c r="J79" s="3194">
        <v>3.7169739463747728E-2</v>
      </c>
      <c r="K79" s="3194">
        <v>27.516257586440801</v>
      </c>
      <c r="L79" s="3194">
        <v>97.302981263654061</v>
      </c>
      <c r="M79" s="3460">
        <v>-80.940186945034924</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9.461847632296962</v>
      </c>
      <c r="E81" s="3461">
        <v>2037.424139823496</v>
      </c>
      <c r="F81" s="3461">
        <v>61.825143233355732</v>
      </c>
      <c r="G81" s="3081">
        <f t="shared" si="45"/>
        <v>1.169207650232262E-2</v>
      </c>
      <c r="H81" s="3081">
        <f t="shared" si="46"/>
        <v>4.0196292735214099E-2</v>
      </c>
      <c r="I81" s="3081">
        <f t="shared" si="47"/>
        <v>0.89210820444311845</v>
      </c>
      <c r="J81" s="3194">
        <v>0.11062864637013622</v>
      </c>
      <c r="K81" s="3194">
        <v>81.896897150137036</v>
      </c>
      <c r="L81" s="3194">
        <v>55.154717519347599</v>
      </c>
      <c r="M81" s="3460">
        <v>-6.4539783584690102</v>
      </c>
    </row>
    <row r="82" spans="2:13" ht="18" customHeight="1" x14ac:dyDescent="0.2">
      <c r="B82" s="2634" t="s">
        <v>676</v>
      </c>
      <c r="C82" s="2636" t="s">
        <v>676</v>
      </c>
      <c r="D82" s="3461">
        <v>2.5193782727850882E-2</v>
      </c>
      <c r="E82" s="3461">
        <v>5.4249891879447469</v>
      </c>
      <c r="F82" s="3461">
        <v>0.16461998610321085</v>
      </c>
      <c r="G82" s="3081">
        <f t="shared" si="45"/>
        <v>1.169207650232262E-2</v>
      </c>
      <c r="H82" s="3081">
        <f t="shared" si="46"/>
        <v>4.0196292735214113E-2</v>
      </c>
      <c r="I82" s="3081">
        <f t="shared" si="47"/>
        <v>1.6798190212404693</v>
      </c>
      <c r="J82" s="3194">
        <v>2.9456763503692677E-4</v>
      </c>
      <c r="K82" s="3194">
        <v>0.21806445348399853</v>
      </c>
      <c r="L82" s="3194">
        <v>0.27653178393251532</v>
      </c>
      <c r="M82" s="3460">
        <v>-0.14685776160765399</v>
      </c>
    </row>
    <row r="83" spans="2:13" ht="18" customHeight="1" x14ac:dyDescent="0.2">
      <c r="B83" s="2634" t="s">
        <v>677</v>
      </c>
      <c r="C83" s="2636" t="s">
        <v>677</v>
      </c>
      <c r="D83" s="3461">
        <v>29.350996781331546</v>
      </c>
      <c r="E83" s="3461">
        <v>6320.1640624654046</v>
      </c>
      <c r="F83" s="3461">
        <v>191.78385137523782</v>
      </c>
      <c r="G83" s="3081">
        <f t="shared" si="45"/>
        <v>1.1692076502322624E-2</v>
      </c>
      <c r="H83" s="3081">
        <f t="shared" si="46"/>
        <v>4.0196292735214093E-2</v>
      </c>
      <c r="I83" s="3081">
        <f t="shared" si="47"/>
        <v>0.91870064151969721</v>
      </c>
      <c r="J83" s="3194">
        <v>0.34317409978675351</v>
      </c>
      <c r="K83" s="3194">
        <v>254.04716478943934</v>
      </c>
      <c r="L83" s="3194">
        <v>176.19194729154924</v>
      </c>
      <c r="M83" s="3460">
        <v>-25.120476484910498</v>
      </c>
    </row>
    <row r="84" spans="2:13" ht="18" customHeight="1" x14ac:dyDescent="0.2">
      <c r="B84" s="2634" t="s">
        <v>679</v>
      </c>
      <c r="C84" s="2636" t="s">
        <v>679</v>
      </c>
      <c r="D84" s="3461">
        <v>8.2966881980151452</v>
      </c>
      <c r="E84" s="3461">
        <v>1786.5298060312523</v>
      </c>
      <c r="F84" s="3461">
        <v>54.211815296401674</v>
      </c>
      <c r="G84" s="3081">
        <f t="shared" si="45"/>
        <v>1.169207650232262E-2</v>
      </c>
      <c r="H84" s="3081">
        <f t="shared" si="46"/>
        <v>4.0196292735214106E-2</v>
      </c>
      <c r="I84" s="3081">
        <f t="shared" si="47"/>
        <v>0.99616734491748038</v>
      </c>
      <c r="J84" s="3194">
        <v>9.7005513127110282E-2</v>
      </c>
      <c r="K84" s="3194">
        <v>71.811875063417489</v>
      </c>
      <c r="L84" s="3194">
        <v>54.004040106973306</v>
      </c>
      <c r="M84" s="3460">
        <v>-11.300451597317025</v>
      </c>
    </row>
    <row r="85" spans="2:13" ht="18" customHeight="1" x14ac:dyDescent="0.2">
      <c r="B85" s="2634" t="s">
        <v>681</v>
      </c>
      <c r="C85" s="2636" t="s">
        <v>681</v>
      </c>
      <c r="D85" s="3461" t="s">
        <v>199</v>
      </c>
      <c r="E85" s="3461">
        <v>246.00115520218154</v>
      </c>
      <c r="F85" s="3461">
        <v>7.7331170928648216</v>
      </c>
      <c r="G85" s="3081" t="str">
        <f t="shared" si="45"/>
        <v>NA</v>
      </c>
      <c r="H85" s="3081">
        <f t="shared" si="46"/>
        <v>4.2339122110319663E-2</v>
      </c>
      <c r="I85" s="3081">
        <f t="shared" si="47"/>
        <v>0.91932791312281614</v>
      </c>
      <c r="J85" s="3194">
        <v>1.4069515620144466E-2</v>
      </c>
      <c r="K85" s="3194">
        <v>10.415472949384863</v>
      </c>
      <c r="L85" s="3194">
        <v>7.1092703989177952</v>
      </c>
      <c r="M85" s="3460">
        <v>-0.91561411893344746</v>
      </c>
    </row>
    <row r="86" spans="2:13" ht="18" customHeight="1" x14ac:dyDescent="0.2">
      <c r="B86" s="2634" t="s">
        <v>683</v>
      </c>
      <c r="C86" s="2636" t="s">
        <v>683</v>
      </c>
      <c r="D86" s="3461">
        <v>0.31336416602129064</v>
      </c>
      <c r="E86" s="3461">
        <v>67.47685454457519</v>
      </c>
      <c r="F86" s="3461">
        <v>2.0475688471601576</v>
      </c>
      <c r="G86" s="3081">
        <f t="shared" si="45"/>
        <v>1.1692076502322618E-2</v>
      </c>
      <c r="H86" s="3081">
        <f t="shared" si="46"/>
        <v>4.0196292735214106E-2</v>
      </c>
      <c r="I86" s="3081">
        <f t="shared" si="47"/>
        <v>0.89720658323495328</v>
      </c>
      <c r="J86" s="3194">
        <v>3.6638778022074561E-3</v>
      </c>
      <c r="K86" s="3194">
        <v>2.7123193981252065</v>
      </c>
      <c r="L86" s="3194">
        <v>1.8370922492988973</v>
      </c>
      <c r="M86" s="3460">
        <v>-0.22418670433142546</v>
      </c>
    </row>
    <row r="87" spans="2:13" ht="18" customHeight="1" x14ac:dyDescent="0.2">
      <c r="B87" s="2634" t="s">
        <v>686</v>
      </c>
      <c r="C87" s="2636" t="s">
        <v>686</v>
      </c>
      <c r="D87" s="3461">
        <v>8.2530104987452058E-2</v>
      </c>
      <c r="E87" s="3461">
        <v>17.771246663246306</v>
      </c>
      <c r="F87" s="3461">
        <v>0.53926418604507176</v>
      </c>
      <c r="G87" s="3081">
        <f t="shared" si="45"/>
        <v>1.1692076502322622E-2</v>
      </c>
      <c r="H87" s="3081">
        <f t="shared" si="46"/>
        <v>4.0196292735214106E-2</v>
      </c>
      <c r="I87" s="3081">
        <f t="shared" si="47"/>
        <v>1.4012550305770557</v>
      </c>
      <c r="J87" s="3194">
        <v>9.6494830125800723E-4</v>
      </c>
      <c r="K87" s="3194">
        <v>0.71433823314554534</v>
      </c>
      <c r="L87" s="3194">
        <v>0.75564665350569804</v>
      </c>
      <c r="M87" s="3460">
        <v>-0.33085888772151106</v>
      </c>
    </row>
    <row r="88" spans="2:13" ht="18" customHeight="1" x14ac:dyDescent="0.2">
      <c r="B88" s="2634" t="s">
        <v>688</v>
      </c>
      <c r="C88" s="2636" t="s">
        <v>688</v>
      </c>
      <c r="D88" s="3461" t="s">
        <v>199</v>
      </c>
      <c r="E88" s="3461">
        <v>179.86473998117739</v>
      </c>
      <c r="F88" s="3461">
        <v>5.6540998517221368</v>
      </c>
      <c r="G88" s="3081" t="str">
        <f t="shared" si="45"/>
        <v>NA</v>
      </c>
      <c r="H88" s="3081">
        <f t="shared" si="46"/>
        <v>4.2339122110319656E-2</v>
      </c>
      <c r="I88" s="3081">
        <f t="shared" si="47"/>
        <v>0.92806561548041999</v>
      </c>
      <c r="J88" s="3194">
        <v>1.0286983272897884E-2</v>
      </c>
      <c r="K88" s="3194">
        <v>7.6153151894039635</v>
      </c>
      <c r="L88" s="3194">
        <v>5.2473756588762566</v>
      </c>
      <c r="M88" s="3460">
        <v>-0.71885880936557356</v>
      </c>
    </row>
    <row r="89" spans="2:13" ht="18" customHeight="1" x14ac:dyDescent="0.2">
      <c r="B89" s="2634" t="s">
        <v>689</v>
      </c>
      <c r="C89" s="2636" t="s">
        <v>689</v>
      </c>
      <c r="D89" s="3461" t="s">
        <v>199</v>
      </c>
      <c r="E89" s="3461">
        <v>225.23233213224006</v>
      </c>
      <c r="F89" s="3461">
        <v>7.0802431640865162</v>
      </c>
      <c r="G89" s="3081" t="str">
        <f t="shared" si="45"/>
        <v>NA</v>
      </c>
      <c r="H89" s="3081">
        <f t="shared" si="46"/>
        <v>4.2339122110319649E-2</v>
      </c>
      <c r="I89" s="3081">
        <f t="shared" si="47"/>
        <v>0.90706754045120219</v>
      </c>
      <c r="J89" s="3194">
        <v>1.2881686724160617E-2</v>
      </c>
      <c r="K89" s="3194">
        <v>9.5361392133389842</v>
      </c>
      <c r="L89" s="3194">
        <v>6.4222587526443942</v>
      </c>
      <c r="M89" s="3460">
        <v>-0.75150632377938043</v>
      </c>
    </row>
    <row r="90" spans="2:13" ht="18" customHeight="1" x14ac:dyDescent="0.2">
      <c r="B90" s="88" t="s">
        <v>657</v>
      </c>
      <c r="C90" s="2524" t="s">
        <v>895</v>
      </c>
      <c r="D90" s="150"/>
      <c r="E90" s="150"/>
      <c r="F90" s="150"/>
      <c r="G90" s="2135"/>
      <c r="H90" s="2135"/>
      <c r="I90" s="2135"/>
      <c r="J90" s="3081">
        <f>IF(SUM(J91,J104)=0,"NO",SUM(J91,J104))</f>
        <v>17.043961348945878</v>
      </c>
      <c r="K90" s="3081">
        <f t="shared" ref="K90:M90" si="48">IF(SUM(K91,K104)=0,"NO",SUM(K91,K104))</f>
        <v>3.4232706799081534</v>
      </c>
      <c r="L90" s="3081">
        <f t="shared" si="48"/>
        <v>2.4140000897052252</v>
      </c>
      <c r="M90" s="3193" t="str">
        <f t="shared" si="48"/>
        <v>NO</v>
      </c>
    </row>
    <row r="91" spans="2:13" ht="18" customHeight="1" x14ac:dyDescent="0.2">
      <c r="B91" s="104" t="s">
        <v>896</v>
      </c>
      <c r="C91" s="2524"/>
      <c r="D91" s="150"/>
      <c r="E91" s="150"/>
      <c r="F91" s="150"/>
      <c r="G91" s="2135"/>
      <c r="H91" s="2135"/>
      <c r="I91" s="2135"/>
      <c r="J91" s="3081">
        <f>IF(SUM(J92:J103)=0,"NO",SUM(J92:J103))</f>
        <v>17.043961348945878</v>
      </c>
      <c r="K91" s="3081">
        <f>IF(SUM(K92:K103)=0,"NO",SUM(K92:K103))</f>
        <v>3.4232706799081534</v>
      </c>
      <c r="L91" s="3081">
        <f>IF(SUM(L92:L103)=0,"NO",SUM(L92:L103))</f>
        <v>2.4140000897052252</v>
      </c>
      <c r="M91" s="3193" t="str">
        <f>IF(SUM(M92:M103)=0,"NO",SUM(M92:M103))</f>
        <v>NO</v>
      </c>
    </row>
    <row r="92" spans="2:13" ht="18" customHeight="1" x14ac:dyDescent="0.2">
      <c r="B92" s="2634" t="s">
        <v>671</v>
      </c>
      <c r="C92" s="2636" t="s">
        <v>671</v>
      </c>
      <c r="D92" s="3461">
        <v>0.37095286921034509</v>
      </c>
      <c r="E92" s="3461">
        <v>1.8734960020980895</v>
      </c>
      <c r="F92" s="3461">
        <v>3.1523666636532229E-2</v>
      </c>
      <c r="G92" s="3081">
        <f>IF(SUM(D92)=0,"NA",J92/D92)</f>
        <v>0.60000000000000009</v>
      </c>
      <c r="H92" s="3081">
        <f>IF(SUM(E92)=0,"NA",K92/E92)</f>
        <v>2.3860960072225622E-2</v>
      </c>
      <c r="I92" s="3081">
        <f>IF(SUM(F92)=0,"NA",L92/F92)</f>
        <v>1.0000000000000016</v>
      </c>
      <c r="J92" s="3194">
        <v>0.22257172152620708</v>
      </c>
      <c r="K92" s="3194">
        <v>4.4703413301536842E-2</v>
      </c>
      <c r="L92" s="3194">
        <v>3.1523666636532277E-2</v>
      </c>
      <c r="M92" s="3460" t="s">
        <v>199</v>
      </c>
    </row>
    <row r="93" spans="2:13" ht="18" customHeight="1" x14ac:dyDescent="0.2">
      <c r="B93" s="2634" t="s">
        <v>672</v>
      </c>
      <c r="C93" s="2636" t="s">
        <v>672</v>
      </c>
      <c r="D93" s="3461">
        <v>1.6537253321748133</v>
      </c>
      <c r="E93" s="3461">
        <v>8.3521332642423012</v>
      </c>
      <c r="F93" s="3461">
        <v>0.14053398802613573</v>
      </c>
      <c r="G93" s="3081">
        <f t="shared" ref="G93:G103" si="49">IF(SUM(D93)=0,"NA",J93/D93)</f>
        <v>0.59999999999999987</v>
      </c>
      <c r="H93" s="3081">
        <f t="shared" ref="H93:H103" si="50">IF(SUM(E93)=0,"NA",K93/E93)</f>
        <v>2.3860960072225625E-2</v>
      </c>
      <c r="I93" s="3081">
        <f t="shared" ref="I93:I103" si="51">IF(SUM(F93)=0,"NA",L93/F93)</f>
        <v>1.0000000000000007</v>
      </c>
      <c r="J93" s="3194">
        <v>0.99223519930488779</v>
      </c>
      <c r="K93" s="3194">
        <v>0.19928991833599302</v>
      </c>
      <c r="L93" s="3194">
        <v>0.14053398802613581</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4.9219983138417502</v>
      </c>
      <c r="E95" s="3461">
        <v>24.858533060940378</v>
      </c>
      <c r="F95" s="3461">
        <v>0.41827263490753447</v>
      </c>
      <c r="G95" s="3081">
        <f t="shared" si="49"/>
        <v>0.6</v>
      </c>
      <c r="H95" s="3081">
        <f t="shared" si="50"/>
        <v>2.3860960072225618E-2</v>
      </c>
      <c r="I95" s="3081">
        <f t="shared" si="51"/>
        <v>1.0000000000000002</v>
      </c>
      <c r="J95" s="3194">
        <v>2.9531989883050498</v>
      </c>
      <c r="K95" s="3194">
        <v>0.59314846482119887</v>
      </c>
      <c r="L95" s="3194">
        <v>0.41827263490753452</v>
      </c>
      <c r="M95" s="3460" t="s">
        <v>199</v>
      </c>
    </row>
    <row r="96" spans="2:13" ht="18" customHeight="1" x14ac:dyDescent="0.2">
      <c r="B96" s="2634" t="s">
        <v>676</v>
      </c>
      <c r="C96" s="2636" t="s">
        <v>676</v>
      </c>
      <c r="D96" s="3461">
        <v>1.3105659795503833E-2</v>
      </c>
      <c r="E96" s="3461">
        <v>6.6190083079830112E-2</v>
      </c>
      <c r="F96" s="3461">
        <v>1.1137222130798508E-3</v>
      </c>
      <c r="G96" s="3081">
        <f t="shared" si="49"/>
        <v>0.59999999999999987</v>
      </c>
      <c r="H96" s="3081">
        <f t="shared" si="50"/>
        <v>2.3860960072225622E-2</v>
      </c>
      <c r="I96" s="3081">
        <f t="shared" si="51"/>
        <v>1.0000000000000009</v>
      </c>
      <c r="J96" s="3194">
        <v>7.863395877302299E-3</v>
      </c>
      <c r="K96" s="3194">
        <v>1.5793589295451231E-3</v>
      </c>
      <c r="L96" s="3194">
        <v>1.1137222130798517E-3</v>
      </c>
      <c r="M96" s="3460" t="s">
        <v>199</v>
      </c>
    </row>
    <row r="97" spans="2:13" ht="18" customHeight="1" x14ac:dyDescent="0.2">
      <c r="B97" s="2634" t="s">
        <v>677</v>
      </c>
      <c r="C97" s="2636" t="s">
        <v>677</v>
      </c>
      <c r="D97" s="3461">
        <v>15.268218458112921</v>
      </c>
      <c r="E97" s="3461">
        <v>77.112077071480101</v>
      </c>
      <c r="F97" s="3461">
        <v>1.2974969834628176</v>
      </c>
      <c r="G97" s="3081">
        <f t="shared" si="49"/>
        <v>0.6</v>
      </c>
      <c r="H97" s="3081">
        <f t="shared" si="50"/>
        <v>2.3860960072225622E-2</v>
      </c>
      <c r="I97" s="3081">
        <f t="shared" si="51"/>
        <v>1</v>
      </c>
      <c r="J97" s="3194">
        <v>9.1609310748677526</v>
      </c>
      <c r="K97" s="3194">
        <v>1.8399681920889717</v>
      </c>
      <c r="L97" s="3194">
        <v>1.2974969834628176</v>
      </c>
      <c r="M97" s="3460" t="s">
        <v>199</v>
      </c>
    </row>
    <row r="98" spans="2:13" ht="18" customHeight="1" x14ac:dyDescent="0.2">
      <c r="B98" s="2634" t="s">
        <v>679</v>
      </c>
      <c r="C98" s="2636" t="s">
        <v>679</v>
      </c>
      <c r="D98" s="3461">
        <v>4.315889127374148</v>
      </c>
      <c r="E98" s="3461">
        <v>21.797381006504914</v>
      </c>
      <c r="F98" s="3461">
        <v>0.36676532622916402</v>
      </c>
      <c r="G98" s="3081">
        <f t="shared" si="49"/>
        <v>0.6</v>
      </c>
      <c r="H98" s="3081">
        <f t="shared" si="50"/>
        <v>2.3860960072225625E-2</v>
      </c>
      <c r="I98" s="3081">
        <f t="shared" si="51"/>
        <v>1.0000000000000002</v>
      </c>
      <c r="J98" s="3194">
        <v>2.5895334764244886</v>
      </c>
      <c r="K98" s="3194">
        <v>0.52010643787530297</v>
      </c>
      <c r="L98" s="3194">
        <v>0.36676532622916413</v>
      </c>
      <c r="M98" s="3460" t="s">
        <v>199</v>
      </c>
    </row>
    <row r="99" spans="2:13" ht="18" customHeight="1" x14ac:dyDescent="0.2">
      <c r="B99" s="2634" t="s">
        <v>681</v>
      </c>
      <c r="C99" s="2636" t="s">
        <v>681</v>
      </c>
      <c r="D99" s="3461">
        <v>0.62596926231228867</v>
      </c>
      <c r="E99" s="3461">
        <v>3.1614552891175141</v>
      </c>
      <c r="F99" s="3461">
        <v>5.3195022839031526E-2</v>
      </c>
      <c r="G99" s="3081">
        <f t="shared" si="49"/>
        <v>0.6</v>
      </c>
      <c r="H99" s="3081">
        <f t="shared" si="50"/>
        <v>2.3860960072225625E-2</v>
      </c>
      <c r="I99" s="3081">
        <f t="shared" si="51"/>
        <v>0.99999999999999933</v>
      </c>
      <c r="J99" s="3194">
        <v>0.3755815573873732</v>
      </c>
      <c r="K99" s="3194">
        <v>7.5435358423759521E-2</v>
      </c>
      <c r="L99" s="3194">
        <v>5.3195022839031492E-2</v>
      </c>
      <c r="M99" s="3460" t="s">
        <v>199</v>
      </c>
    </row>
    <row r="100" spans="2:13" ht="18" customHeight="1" x14ac:dyDescent="0.2">
      <c r="B100" s="2634" t="s">
        <v>683</v>
      </c>
      <c r="C100" s="2636" t="s">
        <v>683</v>
      </c>
      <c r="D100" s="3461">
        <v>0.16301022344837635</v>
      </c>
      <c r="E100" s="3461">
        <v>0.82328249025747768</v>
      </c>
      <c r="F100" s="3461">
        <v>1.3852649133762081E-2</v>
      </c>
      <c r="G100" s="3081">
        <f t="shared" si="49"/>
        <v>0.6</v>
      </c>
      <c r="H100" s="3081">
        <f t="shared" si="50"/>
        <v>2.3860960072225625E-2</v>
      </c>
      <c r="I100" s="3081">
        <f t="shared" si="51"/>
        <v>0.99999999999999989</v>
      </c>
      <c r="J100" s="3194">
        <v>9.7806134069025802E-2</v>
      </c>
      <c r="K100" s="3194">
        <v>1.9644310628196156E-2</v>
      </c>
      <c r="L100" s="3194">
        <v>1.3852649133762079E-2</v>
      </c>
      <c r="M100" s="3460" t="s">
        <v>199</v>
      </c>
    </row>
    <row r="101" spans="2:13" ht="18" customHeight="1" x14ac:dyDescent="0.2">
      <c r="B101" s="2634" t="s">
        <v>686</v>
      </c>
      <c r="C101" s="2636" t="s">
        <v>686</v>
      </c>
      <c r="D101" s="3461">
        <v>4.2931682412942138E-2</v>
      </c>
      <c r="E101" s="3461">
        <v>0.21682629261019032</v>
      </c>
      <c r="F101" s="3461">
        <v>3.6483449970665951E-3</v>
      </c>
      <c r="G101" s="3081">
        <f t="shared" si="49"/>
        <v>0.6</v>
      </c>
      <c r="H101" s="3081">
        <f t="shared" si="50"/>
        <v>2.3860960072225622E-2</v>
      </c>
      <c r="I101" s="3081">
        <f t="shared" si="51"/>
        <v>0.99999999999999867</v>
      </c>
      <c r="J101" s="3194">
        <v>2.5759009447765283E-2</v>
      </c>
      <c r="K101" s="3194">
        <v>5.1736835105804608E-3</v>
      </c>
      <c r="L101" s="3194">
        <v>3.6483449970665903E-3</v>
      </c>
      <c r="M101" s="3460" t="s">
        <v>199</v>
      </c>
    </row>
    <row r="102" spans="2:13" ht="18" customHeight="1" x14ac:dyDescent="0.2">
      <c r="B102" s="2634" t="s">
        <v>688</v>
      </c>
      <c r="C102" s="2636" t="s">
        <v>688</v>
      </c>
      <c r="D102" s="3461">
        <v>0.45767995889887086</v>
      </c>
      <c r="E102" s="3461">
        <v>2.3115108263288224</v>
      </c>
      <c r="F102" s="3461">
        <v>3.8893756183265071E-2</v>
      </c>
      <c r="G102" s="3081">
        <f t="shared" si="49"/>
        <v>0.59999999999999987</v>
      </c>
      <c r="H102" s="3081">
        <f t="shared" si="50"/>
        <v>2.3860960072225625E-2</v>
      </c>
      <c r="I102" s="3081">
        <f t="shared" si="51"/>
        <v>1</v>
      </c>
      <c r="J102" s="3194">
        <v>0.27460797533932246</v>
      </c>
      <c r="K102" s="3194">
        <v>5.5154867533549291E-2</v>
      </c>
      <c r="L102" s="3194">
        <v>3.8893756183265071E-2</v>
      </c>
      <c r="M102" s="3460" t="s">
        <v>199</v>
      </c>
    </row>
    <row r="103" spans="2:13" ht="18" customHeight="1" x14ac:dyDescent="0.2">
      <c r="B103" s="2634" t="s">
        <v>689</v>
      </c>
      <c r="C103" s="2636" t="s">
        <v>689</v>
      </c>
      <c r="D103" s="3461">
        <v>0.57312136066117303</v>
      </c>
      <c r="E103" s="3461">
        <v>2.8945471703761667</v>
      </c>
      <c r="F103" s="3461">
        <v>4.8703995076835295E-2</v>
      </c>
      <c r="G103" s="3081">
        <f t="shared" si="49"/>
        <v>0.6</v>
      </c>
      <c r="H103" s="3081">
        <f t="shared" si="50"/>
        <v>2.3860960072225625E-2</v>
      </c>
      <c r="I103" s="3081">
        <f t="shared" si="51"/>
        <v>1.0000000000000004</v>
      </c>
      <c r="J103" s="3194">
        <v>0.34387281639670381</v>
      </c>
      <c r="K103" s="3194">
        <v>6.9066674459519375E-2</v>
      </c>
      <c r="L103" s="3194">
        <v>4.8703995076835316E-2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9.6924629072728391E-2</v>
      </c>
      <c r="K117" s="3081">
        <f>IF(SUM(K118:K129)=0,"NO",SUM(K118:K129))</f>
        <v>17.281277135574076</v>
      </c>
      <c r="L117" s="3081">
        <f>IF(SUM(L118:L129)=0,"NO",SUM(L118:L129))</f>
        <v>16.188196085829773</v>
      </c>
      <c r="M117" s="3193">
        <f>IF(SUM(M118:M129)=0,"NO",SUM(M118:M129))</f>
        <v>-8.5996224179244631</v>
      </c>
    </row>
    <row r="118" spans="2:13" ht="18" customHeight="1" x14ac:dyDescent="0.2">
      <c r="B118" s="2634" t="s">
        <v>671</v>
      </c>
      <c r="C118" s="2636" t="s">
        <v>671</v>
      </c>
      <c r="D118" s="3461">
        <v>0.36131499851899096</v>
      </c>
      <c r="E118" s="3461">
        <v>4.5015123514551352</v>
      </c>
      <c r="F118" s="3461">
        <v>0.32369631239517965</v>
      </c>
      <c r="G118" s="4443">
        <f>IF(SUM(D118)=0,"NA",J118/D118)</f>
        <v>3.5030602105525616E-3</v>
      </c>
      <c r="H118" s="3081">
        <f>IF(SUM(E118)=0,"NA",K118/E118)</f>
        <v>5.0132208022062648E-2</v>
      </c>
      <c r="I118" s="3081">
        <f>IF(SUM(F118)=0,"NA",L118/F118)</f>
        <v>0.65307062351525547</v>
      </c>
      <c r="J118" s="3194">
        <v>1.2657081947877349E-3</v>
      </c>
      <c r="K118" s="3194">
        <v>0.22567075361703323</v>
      </c>
      <c r="L118" s="3194">
        <v>0.21139655256550888</v>
      </c>
      <c r="M118" s="3460">
        <v>-0.11229975982967062</v>
      </c>
    </row>
    <row r="119" spans="2:13" ht="18" customHeight="1" x14ac:dyDescent="0.2">
      <c r="B119" s="2634" t="s">
        <v>672</v>
      </c>
      <c r="C119" s="2636" t="s">
        <v>672</v>
      </c>
      <c r="D119" s="3461">
        <v>1.6107592514852473</v>
      </c>
      <c r="E119" s="3461">
        <v>20.067953712141183</v>
      </c>
      <c r="F119" s="3461">
        <v>1.4430533800129235</v>
      </c>
      <c r="G119" s="4443">
        <f t="shared" ref="G119:G129" si="77">IF(SUM(D119)=0,"NA",J119/D119)</f>
        <v>3.5030602105525612E-3</v>
      </c>
      <c r="H119" s="3081">
        <f t="shared" ref="H119:H129" si="78">IF(SUM(E119)=0,"NA",K119/E119)</f>
        <v>5.0132208022062641E-2</v>
      </c>
      <c r="I119" s="3081">
        <f t="shared" ref="I119:I129" si="79">IF(SUM(F119)=0,"NA",L119/F119)</f>
        <v>0.65307062351525569</v>
      </c>
      <c r="J119" s="3194">
        <v>5.6425866426573967E-3</v>
      </c>
      <c r="K119" s="3194">
        <v>1.0060508300741859</v>
      </c>
      <c r="L119" s="3194">
        <v>0.94241577065083715</v>
      </c>
      <c r="M119" s="3460">
        <v>-0.50063760936208612</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4.794117962375938</v>
      </c>
      <c r="E121" s="3461">
        <v>59.728440032732031</v>
      </c>
      <c r="F121" s="3461">
        <v>4.2949733943220689</v>
      </c>
      <c r="G121" s="4443">
        <f t="shared" si="77"/>
        <v>3.503060210552562E-3</v>
      </c>
      <c r="H121" s="3081">
        <f t="shared" si="78"/>
        <v>5.0132208022062641E-2</v>
      </c>
      <c r="I121" s="3081">
        <f t="shared" si="79"/>
        <v>0.65307062351525558</v>
      </c>
      <c r="J121" s="3194">
        <v>1.6794083878694473E-2</v>
      </c>
      <c r="K121" s="3194">
        <v>2.9943185805542161</v>
      </c>
      <c r="L121" s="3194">
        <v>2.8049209526113472</v>
      </c>
      <c r="M121" s="3460">
        <v>-1.4900524417107204</v>
      </c>
    </row>
    <row r="122" spans="2:13" ht="18" customHeight="1" x14ac:dyDescent="0.2">
      <c r="B122" s="2634" t="s">
        <v>676</v>
      </c>
      <c r="C122" s="2636" t="s">
        <v>676</v>
      </c>
      <c r="D122" s="3461">
        <v>1.2765156553938874E-2</v>
      </c>
      <c r="E122" s="3461">
        <v>0.15903715630779175</v>
      </c>
      <c r="F122" s="3461">
        <v>1.143609902880904E-2</v>
      </c>
      <c r="G122" s="4443">
        <f t="shared" si="77"/>
        <v>3.5030602105525607E-3</v>
      </c>
      <c r="H122" s="3081">
        <f t="shared" si="78"/>
        <v>5.0132208022062648E-2</v>
      </c>
      <c r="I122" s="3081">
        <f t="shared" si="79"/>
        <v>0.65307062351525558</v>
      </c>
      <c r="J122" s="3194">
        <v>4.4717112005577514E-5</v>
      </c>
      <c r="K122" s="3194">
        <v>7.9728838032595093E-3</v>
      </c>
      <c r="L122" s="3194">
        <v>7.4685803233265286E-3</v>
      </c>
      <c r="M122" s="3460">
        <v>-3.9675187054825081E-3</v>
      </c>
    </row>
    <row r="123" spans="2:13" ht="18" customHeight="1" x14ac:dyDescent="0.2">
      <c r="B123" s="2634" t="s">
        <v>677</v>
      </c>
      <c r="C123" s="2636" t="s">
        <v>677</v>
      </c>
      <c r="D123" s="3461">
        <v>14.871528939307238</v>
      </c>
      <c r="E123" s="3461">
        <v>185.27980150205519</v>
      </c>
      <c r="F123" s="3461">
        <v>13.323164266813381</v>
      </c>
      <c r="G123" s="4443">
        <f t="shared" si="77"/>
        <v>3.5030602105525616E-3</v>
      </c>
      <c r="H123" s="3081">
        <f t="shared" si="78"/>
        <v>5.0132208022062655E-2</v>
      </c>
      <c r="I123" s="3081">
        <f t="shared" si="79"/>
        <v>0.65307062351525558</v>
      </c>
      <c r="J123" s="3194">
        <v>5.2095861297368123E-2</v>
      </c>
      <c r="K123" s="3194">
        <v>9.2884855511875077</v>
      </c>
      <c r="L123" s="3194">
        <v>8.7009671949239866</v>
      </c>
      <c r="M123" s="3460">
        <v>-4.6221970718893894</v>
      </c>
    </row>
    <row r="124" spans="2:13" ht="18" customHeight="1" x14ac:dyDescent="0.2">
      <c r="B124" s="2634" t="s">
        <v>679</v>
      </c>
      <c r="C124" s="2636" t="s">
        <v>679</v>
      </c>
      <c r="D124" s="3461">
        <v>4.2037563342880624</v>
      </c>
      <c r="E124" s="3461">
        <v>52.373306225511861</v>
      </c>
      <c r="F124" s="3461">
        <v>3.7660778799510659</v>
      </c>
      <c r="G124" s="4443">
        <f t="shared" si="77"/>
        <v>3.5030602105525616E-3</v>
      </c>
      <c r="H124" s="3081">
        <f t="shared" si="78"/>
        <v>5.0132208022062648E-2</v>
      </c>
      <c r="I124" s="3081">
        <f t="shared" si="79"/>
        <v>0.65307062351525547</v>
      </c>
      <c r="J124" s="3194">
        <v>1.4726011549502805E-2</v>
      </c>
      <c r="K124" s="3194">
        <v>2.6255894825005495</v>
      </c>
      <c r="L124" s="3194">
        <v>2.459514829266654</v>
      </c>
      <c r="M124" s="3460">
        <v>-1.3065630506844104</v>
      </c>
    </row>
    <row r="125" spans="2:13" ht="18" customHeight="1" x14ac:dyDescent="0.2">
      <c r="B125" s="2634" t="s">
        <v>681</v>
      </c>
      <c r="C125" s="2636" t="s">
        <v>681</v>
      </c>
      <c r="D125" s="3461">
        <v>0.60970571158205489</v>
      </c>
      <c r="E125" s="3461">
        <v>7.5961357892401598</v>
      </c>
      <c r="F125" s="3461">
        <v>0.54622556853259652</v>
      </c>
      <c r="G125" s="4443">
        <f t="shared" si="77"/>
        <v>3.5030602105525616E-3</v>
      </c>
      <c r="H125" s="3081">
        <f t="shared" si="78"/>
        <v>5.0132208022062648E-2</v>
      </c>
      <c r="I125" s="3081">
        <f t="shared" si="79"/>
        <v>0.65307062351525558</v>
      </c>
      <c r="J125" s="3194">
        <v>2.1358358183897327E-3</v>
      </c>
      <c r="K125" s="3194">
        <v>0.3808110595500227</v>
      </c>
      <c r="L125" s="3194">
        <v>0.3567238726215578</v>
      </c>
      <c r="M125" s="3460">
        <v>-0.18950169591103863</v>
      </c>
    </row>
    <row r="126" spans="2:13" ht="18" customHeight="1" x14ac:dyDescent="0.2">
      <c r="B126" s="2634" t="s">
        <v>683</v>
      </c>
      <c r="C126" s="2636" t="s">
        <v>683</v>
      </c>
      <c r="D126" s="3461">
        <v>0.15877499146780541</v>
      </c>
      <c r="E126" s="3461">
        <v>1.978128746728302</v>
      </c>
      <c r="F126" s="3461">
        <v>0.14224396841916148</v>
      </c>
      <c r="G126" s="4443">
        <f t="shared" si="77"/>
        <v>3.5030602105525616E-3</v>
      </c>
      <c r="H126" s="3081">
        <f t="shared" si="78"/>
        <v>5.0132208022062648E-2</v>
      </c>
      <c r="I126" s="3081">
        <f t="shared" si="79"/>
        <v>0.65307062351525524</v>
      </c>
      <c r="J126" s="3194">
        <v>5.5619835504169162E-4</v>
      </c>
      <c r="K126" s="3194">
        <v>9.9167961825405312E-2</v>
      </c>
      <c r="L126" s="3194">
        <v>9.2895357146786067E-2</v>
      </c>
      <c r="M126" s="3460">
        <v>-4.9348611272375324E-2</v>
      </c>
    </row>
    <row r="127" spans="2:13" ht="18" customHeight="1" x14ac:dyDescent="0.2">
      <c r="B127" s="2634" t="s">
        <v>686</v>
      </c>
      <c r="C127" s="2636" t="s">
        <v>686</v>
      </c>
      <c r="D127" s="3461">
        <v>4.1816257683814091E-2</v>
      </c>
      <c r="E127" s="3461">
        <v>0.52097588316812149</v>
      </c>
      <c r="F127" s="3461">
        <v>3.7462514608858029E-2</v>
      </c>
      <c r="G127" s="4443">
        <f t="shared" si="77"/>
        <v>3.5030602105525612E-3</v>
      </c>
      <c r="H127" s="3081">
        <f t="shared" si="78"/>
        <v>5.0132208022062655E-2</v>
      </c>
      <c r="I127" s="3081">
        <f t="shared" si="79"/>
        <v>0.65307062351525569</v>
      </c>
      <c r="J127" s="3194">
        <v>1.4648486844638195E-4</v>
      </c>
      <c r="K127" s="3194">
        <v>2.6117671349462076E-2</v>
      </c>
      <c r="L127" s="3194">
        <v>2.4465667774056288E-2</v>
      </c>
      <c r="M127" s="3460">
        <v>-1.2996846834801734E-2</v>
      </c>
    </row>
    <row r="128" spans="2:13" ht="18" customHeight="1" x14ac:dyDescent="0.2">
      <c r="B128" s="2634" t="s">
        <v>688</v>
      </c>
      <c r="C128" s="2636" t="s">
        <v>688</v>
      </c>
      <c r="D128" s="3461">
        <v>0.44578879797785814</v>
      </c>
      <c r="E128" s="3461">
        <v>5.5539454173314411</v>
      </c>
      <c r="F128" s="3461">
        <v>0.39937503453770373</v>
      </c>
      <c r="G128" s="4443">
        <f t="shared" si="77"/>
        <v>3.5030602105525612E-3</v>
      </c>
      <c r="H128" s="3081">
        <f t="shared" si="78"/>
        <v>5.0132208022062655E-2</v>
      </c>
      <c r="I128" s="3081">
        <f t="shared" si="79"/>
        <v>0.65307062351525536</v>
      </c>
      <c r="J128" s="3194">
        <v>1.5616250005062889E-3</v>
      </c>
      <c r="K128" s="3194">
        <v>0.27843154700484141</v>
      </c>
      <c r="L128" s="3194">
        <v>0.26082010282196483</v>
      </c>
      <c r="M128" s="3460">
        <v>-0.13855493171573868</v>
      </c>
    </row>
    <row r="129" spans="2:13" ht="18" customHeight="1" x14ac:dyDescent="0.2">
      <c r="B129" s="2634" t="s">
        <v>689</v>
      </c>
      <c r="C129" s="2636" t="s">
        <v>689</v>
      </c>
      <c r="D129" s="3461">
        <v>0.55823087180671638</v>
      </c>
      <c r="E129" s="3461">
        <v>6.95482660476776</v>
      </c>
      <c r="F129" s="3461">
        <v>0.50011008513249633</v>
      </c>
      <c r="G129" s="4443">
        <f t="shared" si="77"/>
        <v>3.5030602105525612E-3</v>
      </c>
      <c r="H129" s="3081">
        <f t="shared" si="78"/>
        <v>5.0132208022062655E-2</v>
      </c>
      <c r="I129" s="3081">
        <f t="shared" si="79"/>
        <v>0.65307062351525547</v>
      </c>
      <c r="J129" s="3194">
        <v>1.9555163553281758E-3</v>
      </c>
      <c r="K129" s="3194">
        <v>0.34866081410759309</v>
      </c>
      <c r="L129" s="3194">
        <v>0.32660720512374686</v>
      </c>
      <c r="M129" s="3460">
        <v>-0.17350288000874925</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83.855309531784158</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83.855309531784158</v>
      </c>
      <c r="L131" s="3196"/>
      <c r="M131" s="3193" t="str">
        <f>IF(SUM(M132:M143)=0,"NO",SUM(M132:M143))</f>
        <v>NO</v>
      </c>
    </row>
    <row r="132" spans="2:13" ht="18" customHeight="1" x14ac:dyDescent="0.2">
      <c r="B132" s="2634" t="s">
        <v>671</v>
      </c>
      <c r="C132" s="2636" t="s">
        <v>671</v>
      </c>
      <c r="D132" s="3461" t="s">
        <v>199</v>
      </c>
      <c r="E132" s="3461">
        <v>1.2931922717931059</v>
      </c>
      <c r="F132" s="346"/>
      <c r="G132" s="3668" t="str">
        <f>IF(SUM(D132)=0,"NA",J132/D132)</f>
        <v>NA</v>
      </c>
      <c r="H132" s="3081">
        <f>IF(SUM(E132)=0,"NA",K132/E132)</f>
        <v>0.8467728212573149</v>
      </c>
      <c r="I132" s="4253"/>
      <c r="J132" s="3194" t="s">
        <v>199</v>
      </c>
      <c r="K132" s="3194">
        <v>1.0950400684144046</v>
      </c>
      <c r="L132" s="3196"/>
      <c r="M132" s="3460" t="s">
        <v>199</v>
      </c>
    </row>
    <row r="133" spans="2:13" ht="18" customHeight="1" x14ac:dyDescent="0.2">
      <c r="B133" s="2634" t="s">
        <v>672</v>
      </c>
      <c r="C133" s="2636" t="s">
        <v>672</v>
      </c>
      <c r="D133" s="3461" t="s">
        <v>199</v>
      </c>
      <c r="E133" s="3461">
        <v>5.7651119501768617</v>
      </c>
      <c r="F133" s="346"/>
      <c r="G133" s="3668" t="str">
        <f t="shared" ref="G133:G143" si="80">IF(SUM(D133)=0,"NA",J133/D133)</f>
        <v>NA</v>
      </c>
      <c r="H133" s="3081">
        <f t="shared" ref="H133:H143" si="81">IF(SUM(E133)=0,"NA",K133/E133)</f>
        <v>0.8467728212573149</v>
      </c>
      <c r="I133" s="4253"/>
      <c r="J133" s="3194" t="s">
        <v>199</v>
      </c>
      <c r="K133" s="3194">
        <v>4.8817401109155218</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17.158757107845926</v>
      </c>
      <c r="F135" s="346"/>
      <c r="G135" s="3668" t="str">
        <f t="shared" si="80"/>
        <v>NA</v>
      </c>
      <c r="H135" s="3081">
        <f t="shared" si="81"/>
        <v>0.8467728212573149</v>
      </c>
      <c r="I135" s="4253"/>
      <c r="J135" s="3194" t="s">
        <v>199</v>
      </c>
      <c r="K135" s="3194">
        <v>14.5295691654797</v>
      </c>
      <c r="L135" s="3196"/>
      <c r="M135" s="3460" t="s">
        <v>199</v>
      </c>
    </row>
    <row r="136" spans="2:13" ht="18" customHeight="1" x14ac:dyDescent="0.2">
      <c r="B136" s="2634" t="s">
        <v>676</v>
      </c>
      <c r="C136" s="2636" t="s">
        <v>676</v>
      </c>
      <c r="D136" s="3461" t="s">
        <v>199</v>
      </c>
      <c r="E136" s="3461">
        <v>4.5688116661216333E-2</v>
      </c>
      <c r="F136" s="346"/>
      <c r="G136" s="3668" t="str">
        <f t="shared" si="80"/>
        <v>NA</v>
      </c>
      <c r="H136" s="3081">
        <f t="shared" si="81"/>
        <v>0.8467728212573149</v>
      </c>
      <c r="I136" s="4253"/>
      <c r="J136" s="3194" t="s">
        <v>199</v>
      </c>
      <c r="K136" s="3194">
        <v>3.868745544315149E-2</v>
      </c>
      <c r="L136" s="3196"/>
      <c r="M136" s="3460" t="s">
        <v>199</v>
      </c>
    </row>
    <row r="137" spans="2:13" ht="18" customHeight="1" x14ac:dyDescent="0.2">
      <c r="B137" s="2634" t="s">
        <v>677</v>
      </c>
      <c r="C137" s="2636" t="s">
        <v>677</v>
      </c>
      <c r="D137" s="3461" t="s">
        <v>199</v>
      </c>
      <c r="E137" s="3461">
        <v>53.227090967409183</v>
      </c>
      <c r="F137" s="346"/>
      <c r="G137" s="3668" t="str">
        <f t="shared" si="80"/>
        <v>NA</v>
      </c>
      <c r="H137" s="3081">
        <f t="shared" si="81"/>
        <v>0.8467728212573149</v>
      </c>
      <c r="I137" s="4253"/>
      <c r="J137" s="3194" t="s">
        <v>199</v>
      </c>
      <c r="K137" s="3194">
        <v>45.071253985792815</v>
      </c>
      <c r="L137" s="3196"/>
      <c r="M137" s="3460" t="s">
        <v>199</v>
      </c>
    </row>
    <row r="138" spans="2:13" ht="18" customHeight="1" x14ac:dyDescent="0.2">
      <c r="B138" s="2634" t="s">
        <v>679</v>
      </c>
      <c r="C138" s="2636" t="s">
        <v>679</v>
      </c>
      <c r="D138" s="3461" t="s">
        <v>199</v>
      </c>
      <c r="E138" s="3461">
        <v>15.045777856677891</v>
      </c>
      <c r="F138" s="346"/>
      <c r="G138" s="3668" t="str">
        <f t="shared" si="80"/>
        <v>NA</v>
      </c>
      <c r="H138" s="3081">
        <f t="shared" si="81"/>
        <v>0.8467728212573149</v>
      </c>
      <c r="I138" s="4253"/>
      <c r="J138" s="3194" t="s">
        <v>199</v>
      </c>
      <c r="K138" s="3194">
        <v>12.740355763709974</v>
      </c>
      <c r="L138" s="3196"/>
      <c r="M138" s="3460" t="s">
        <v>199</v>
      </c>
    </row>
    <row r="139" spans="2:13" ht="18" customHeight="1" x14ac:dyDescent="0.2">
      <c r="B139" s="2634" t="s">
        <v>681</v>
      </c>
      <c r="C139" s="2636" t="s">
        <v>681</v>
      </c>
      <c r="D139" s="3461" t="s">
        <v>199</v>
      </c>
      <c r="E139" s="3461">
        <v>2.1822141829647501</v>
      </c>
      <c r="F139" s="346"/>
      <c r="G139" s="3668" t="str">
        <f t="shared" si="80"/>
        <v>NA</v>
      </c>
      <c r="H139" s="3081">
        <f t="shared" si="81"/>
        <v>0.8467728212573149</v>
      </c>
      <c r="I139" s="4253"/>
      <c r="J139" s="3194" t="s">
        <v>199</v>
      </c>
      <c r="K139" s="3194">
        <v>1.8478396602967879</v>
      </c>
      <c r="L139" s="3196"/>
      <c r="M139" s="3460" t="s">
        <v>199</v>
      </c>
    </row>
    <row r="140" spans="2:13" ht="18" customHeight="1" x14ac:dyDescent="0.2">
      <c r="B140" s="2634" t="s">
        <v>683</v>
      </c>
      <c r="C140" s="2636" t="s">
        <v>683</v>
      </c>
      <c r="D140" s="3461" t="s">
        <v>199</v>
      </c>
      <c r="E140" s="3461">
        <v>0.56827586112340756</v>
      </c>
      <c r="F140" s="346"/>
      <c r="G140" s="3668" t="str">
        <f t="shared" si="80"/>
        <v>NA</v>
      </c>
      <c r="H140" s="3081">
        <f t="shared" si="81"/>
        <v>0.84677282125731479</v>
      </c>
      <c r="I140" s="4253"/>
      <c r="J140" s="3194" t="s">
        <v>199</v>
      </c>
      <c r="K140" s="3194">
        <v>0.48120055417589785</v>
      </c>
      <c r="L140" s="3196"/>
      <c r="M140" s="3460" t="s">
        <v>199</v>
      </c>
    </row>
    <row r="141" spans="2:13" ht="18" customHeight="1" x14ac:dyDescent="0.2">
      <c r="B141" s="2634" t="s">
        <v>686</v>
      </c>
      <c r="C141" s="2636" t="s">
        <v>686</v>
      </c>
      <c r="D141" s="3461" t="s">
        <v>199</v>
      </c>
      <c r="E141" s="3461">
        <v>0.14966569750404415</v>
      </c>
      <c r="F141" s="346"/>
      <c r="G141" s="3668" t="str">
        <f t="shared" si="80"/>
        <v>NA</v>
      </c>
      <c r="H141" s="3081">
        <f t="shared" si="81"/>
        <v>0.84677282125731501</v>
      </c>
      <c r="I141" s="4253"/>
      <c r="J141" s="3194" t="s">
        <v>199</v>
      </c>
      <c r="K141" s="3194">
        <v>0.12673284492094336</v>
      </c>
      <c r="L141" s="3196"/>
      <c r="M141" s="3460" t="s">
        <v>199</v>
      </c>
    </row>
    <row r="142" spans="2:13" ht="18" customHeight="1" x14ac:dyDescent="0.2">
      <c r="B142" s="2634" t="s">
        <v>688</v>
      </c>
      <c r="C142" s="2636" t="s">
        <v>688</v>
      </c>
      <c r="D142" s="3461" t="s">
        <v>199</v>
      </c>
      <c r="E142" s="3461">
        <v>1.595534729418667</v>
      </c>
      <c r="F142" s="346"/>
      <c r="G142" s="3668" t="str">
        <f t="shared" si="80"/>
        <v>NA</v>
      </c>
      <c r="H142" s="3081">
        <f t="shared" si="81"/>
        <v>0.84677282125731479</v>
      </c>
      <c r="I142" s="4253"/>
      <c r="J142" s="3194" t="s">
        <v>199</v>
      </c>
      <c r="K142" s="3194">
        <v>1.3510554442438711</v>
      </c>
      <c r="L142" s="3196"/>
      <c r="M142" s="3460" t="s">
        <v>199</v>
      </c>
    </row>
    <row r="143" spans="2:13" ht="18" customHeight="1" x14ac:dyDescent="0.2">
      <c r="B143" s="2634" t="s">
        <v>689</v>
      </c>
      <c r="C143" s="2636" t="s">
        <v>689</v>
      </c>
      <c r="D143" s="3461" t="s">
        <v>199</v>
      </c>
      <c r="E143" s="3461">
        <v>1.9979791933791811</v>
      </c>
      <c r="F143" s="346"/>
      <c r="G143" s="3668" t="str">
        <f t="shared" si="80"/>
        <v>NA</v>
      </c>
      <c r="H143" s="3081">
        <f t="shared" si="81"/>
        <v>0.84677282125731501</v>
      </c>
      <c r="I143" s="4253"/>
      <c r="J143" s="3194" t="s">
        <v>199</v>
      </c>
      <c r="K143" s="3194">
        <v>1.6918344783911037</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30.362054049783794</v>
      </c>
      <c r="L146" s="3081">
        <f>IF(SUM(L147:L158)=0,"NO",SUM(L147:L158))</f>
        <v>13.08016469018261</v>
      </c>
      <c r="M146" s="3193" t="str">
        <f>IF(SUM(M147:M158)=0,"NO",SUM(M147:M158))</f>
        <v>NO</v>
      </c>
    </row>
    <row r="147" spans="2:13" ht="18" customHeight="1" x14ac:dyDescent="0.2">
      <c r="B147" s="2634" t="s">
        <v>671</v>
      </c>
      <c r="C147" s="2636" t="s">
        <v>671</v>
      </c>
      <c r="D147" s="3461">
        <v>0.42880178180951417</v>
      </c>
      <c r="E147" s="3461">
        <v>1.0073778873411019</v>
      </c>
      <c r="F147" s="3461">
        <v>0.17080974976045132</v>
      </c>
      <c r="G147" s="3668" t="str">
        <f>IFERROR(J147/D147,"NA")</f>
        <v>NA</v>
      </c>
      <c r="H147" s="3081">
        <f>IF(SUM(E147)=0,"NA",K147/E147)</f>
        <v>0.39358467482810633</v>
      </c>
      <c r="I147" s="3081">
        <f>IF(SUM(F147)=0,"NA",L147/F147)</f>
        <v>1.0000000000000002</v>
      </c>
      <c r="J147" s="3194" t="s">
        <v>199</v>
      </c>
      <c r="K147" s="3194">
        <v>0.39648849821817234</v>
      </c>
      <c r="L147" s="3194">
        <v>0.17080974976045138</v>
      </c>
      <c r="M147" s="3460" t="s">
        <v>199</v>
      </c>
    </row>
    <row r="148" spans="2:13" ht="18" customHeight="1" x14ac:dyDescent="0.2">
      <c r="B148" s="2634" t="s">
        <v>672</v>
      </c>
      <c r="C148" s="2636" t="s">
        <v>672</v>
      </c>
      <c r="D148" s="3461">
        <v>1.9116185044466951</v>
      </c>
      <c r="E148" s="3461">
        <v>4.4909379860439307</v>
      </c>
      <c r="F148" s="3461">
        <v>0.76147789546042277</v>
      </c>
      <c r="G148" s="3668" t="str">
        <f t="shared" ref="G148:G158" si="82">IFERROR(J148/D148,"NA")</f>
        <v>NA</v>
      </c>
      <c r="H148" s="3081">
        <f t="shared" ref="H148:H158" si="83">IF(SUM(E148)=0,"NA",K148/E148)</f>
        <v>0.39358467482810644</v>
      </c>
      <c r="I148" s="3081">
        <f t="shared" ref="I148:I158" si="84">IF(SUM(F148)=0,"NA",L148/F148)</f>
        <v>0.99999999999999956</v>
      </c>
      <c r="J148" s="3194" t="s">
        <v>199</v>
      </c>
      <c r="K148" s="3194">
        <v>1.7675643669102916</v>
      </c>
      <c r="L148" s="3194">
        <v>0.76147789546042244</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5.6895681964438269</v>
      </c>
      <c r="E150" s="3461">
        <v>13.366421112874061</v>
      </c>
      <c r="F150" s="3461">
        <v>2.2663938470090326</v>
      </c>
      <c r="G150" s="3668" t="str">
        <f t="shared" si="82"/>
        <v>NA</v>
      </c>
      <c r="H150" s="3081">
        <f t="shared" si="83"/>
        <v>0.39358467482810638</v>
      </c>
      <c r="I150" s="3081">
        <f t="shared" si="84"/>
        <v>1</v>
      </c>
      <c r="J150" s="3194" t="s">
        <v>199</v>
      </c>
      <c r="K150" s="3194">
        <v>5.2608185073260731</v>
      </c>
      <c r="L150" s="3194">
        <v>2.2663938470090326</v>
      </c>
      <c r="M150" s="3460" t="s">
        <v>199</v>
      </c>
    </row>
    <row r="151" spans="2:13" ht="18" customHeight="1" x14ac:dyDescent="0.2">
      <c r="B151" s="2634" t="s">
        <v>676</v>
      </c>
      <c r="C151" s="2636" t="s">
        <v>676</v>
      </c>
      <c r="D151" s="3461">
        <v>1.5149445491725647E-2</v>
      </c>
      <c r="E151" s="3461">
        <v>3.5590375416451103E-2</v>
      </c>
      <c r="F151" s="3461">
        <v>6.0346600765776963E-3</v>
      </c>
      <c r="G151" s="3668" t="str">
        <f t="shared" si="82"/>
        <v>NA</v>
      </c>
      <c r="H151" s="3081">
        <f t="shared" si="83"/>
        <v>0.39358467482810638</v>
      </c>
      <c r="I151" s="3081">
        <f t="shared" si="84"/>
        <v>0.99999999999999967</v>
      </c>
      <c r="J151" s="3194" t="s">
        <v>199</v>
      </c>
      <c r="K151" s="3194">
        <v>1.4007826335294139E-2</v>
      </c>
      <c r="L151" s="3194">
        <v>6.0346600765776946E-3</v>
      </c>
      <c r="M151" s="3460" t="s">
        <v>199</v>
      </c>
    </row>
    <row r="152" spans="2:13" ht="18" customHeight="1" x14ac:dyDescent="0.2">
      <c r="B152" s="2634" t="s">
        <v>677</v>
      </c>
      <c r="C152" s="2636" t="s">
        <v>677</v>
      </c>
      <c r="D152" s="3461">
        <v>17.649248255802814</v>
      </c>
      <c r="E152" s="3461">
        <v>41.463126263284522</v>
      </c>
      <c r="F152" s="3461">
        <v>7.0304364532070887</v>
      </c>
      <c r="G152" s="3668" t="str">
        <f t="shared" si="82"/>
        <v>NA</v>
      </c>
      <c r="H152" s="3081">
        <f t="shared" si="83"/>
        <v>0.39358467482810638</v>
      </c>
      <c r="I152" s="3081">
        <f t="shared" si="84"/>
        <v>1.0000000000000004</v>
      </c>
      <c r="J152" s="3194" t="s">
        <v>199</v>
      </c>
      <c r="K152" s="3194">
        <v>16.319251067691557</v>
      </c>
      <c r="L152" s="3194">
        <v>7.0304364532070913</v>
      </c>
      <c r="M152" s="3460" t="s">
        <v>199</v>
      </c>
    </row>
    <row r="153" spans="2:13" ht="18" customHeight="1" x14ac:dyDescent="0.2">
      <c r="B153" s="2634" t="s">
        <v>679</v>
      </c>
      <c r="C153" s="2636" t="s">
        <v>679</v>
      </c>
      <c r="D153" s="3461">
        <v>4.9889382223943528</v>
      </c>
      <c r="E153" s="3461">
        <v>11.720441144956514</v>
      </c>
      <c r="F153" s="3461">
        <v>1.9873035175867886</v>
      </c>
      <c r="G153" s="3668" t="str">
        <f t="shared" si="82"/>
        <v>NA</v>
      </c>
      <c r="H153" s="3081">
        <f t="shared" si="83"/>
        <v>0.39358467482810633</v>
      </c>
      <c r="I153" s="3081">
        <f t="shared" si="84"/>
        <v>1.0000000000000004</v>
      </c>
      <c r="J153" s="3194" t="s">
        <v>199</v>
      </c>
      <c r="K153" s="3194">
        <v>4.6129860168796677</v>
      </c>
      <c r="L153" s="3194">
        <v>1.9873035175867892</v>
      </c>
      <c r="M153" s="3460" t="s">
        <v>199</v>
      </c>
    </row>
    <row r="154" spans="2:13" ht="18" customHeight="1" x14ac:dyDescent="0.2">
      <c r="B154" s="2634" t="s">
        <v>681</v>
      </c>
      <c r="C154" s="2636" t="s">
        <v>681</v>
      </c>
      <c r="D154" s="3461">
        <v>0.72358716515356958</v>
      </c>
      <c r="E154" s="3461">
        <v>1.6999129683265852</v>
      </c>
      <c r="F154" s="3461">
        <v>0.28823514232657804</v>
      </c>
      <c r="G154" s="3668" t="str">
        <f t="shared" si="82"/>
        <v>NA</v>
      </c>
      <c r="H154" s="3081">
        <f t="shared" si="83"/>
        <v>0.39358467482810633</v>
      </c>
      <c r="I154" s="3081">
        <f t="shared" si="84"/>
        <v>0.99999999999999978</v>
      </c>
      <c r="J154" s="3194" t="s">
        <v>199</v>
      </c>
      <c r="K154" s="3194">
        <v>0.66905969287490008</v>
      </c>
      <c r="L154" s="3194">
        <v>0.28823514232657799</v>
      </c>
      <c r="M154" s="3460" t="s">
        <v>199</v>
      </c>
    </row>
    <row r="155" spans="2:13" ht="18" customHeight="1" x14ac:dyDescent="0.2">
      <c r="B155" s="2634" t="s">
        <v>683</v>
      </c>
      <c r="C155" s="2636" t="s">
        <v>683</v>
      </c>
      <c r="D155" s="3461">
        <v>0.18843114602840624</v>
      </c>
      <c r="E155" s="3461">
        <v>0.44267859381163327</v>
      </c>
      <c r="F155" s="3461">
        <v>7.506003534865209E-2</v>
      </c>
      <c r="G155" s="3668" t="str">
        <f t="shared" si="82"/>
        <v>NA</v>
      </c>
      <c r="H155" s="3081">
        <f t="shared" si="83"/>
        <v>0.39358467482810644</v>
      </c>
      <c r="I155" s="3081">
        <f t="shared" si="84"/>
        <v>0.99999999999999978</v>
      </c>
      <c r="J155" s="3194" t="s">
        <v>199</v>
      </c>
      <c r="K155" s="3194">
        <v>0.17423151039871509</v>
      </c>
      <c r="L155" s="3194">
        <v>7.5060035348652077E-2</v>
      </c>
      <c r="M155" s="3460" t="s">
        <v>199</v>
      </c>
    </row>
    <row r="156" spans="2:13" ht="18" customHeight="1" x14ac:dyDescent="0.2">
      <c r="B156" s="2634" t="s">
        <v>686</v>
      </c>
      <c r="C156" s="2636" t="s">
        <v>686</v>
      </c>
      <c r="D156" s="3461">
        <v>4.9626740868557687E-2</v>
      </c>
      <c r="E156" s="3461">
        <v>0.11658739187329266</v>
      </c>
      <c r="F156" s="3461">
        <v>1.9768414098966371E-2</v>
      </c>
      <c r="G156" s="3668" t="str">
        <f t="shared" si="82"/>
        <v>NA</v>
      </c>
      <c r="H156" s="3081">
        <f t="shared" si="83"/>
        <v>0.39358467482810638</v>
      </c>
      <c r="I156" s="3081">
        <f t="shared" si="84"/>
        <v>1.0000000000000002</v>
      </c>
      <c r="J156" s="3194" t="s">
        <v>199</v>
      </c>
      <c r="K156" s="3194">
        <v>4.5887010719506904E-2</v>
      </c>
      <c r="L156" s="3194">
        <v>1.9768414098966375E-2</v>
      </c>
      <c r="M156" s="3460" t="s">
        <v>199</v>
      </c>
    </row>
    <row r="157" spans="2:13" ht="18" customHeight="1" x14ac:dyDescent="0.2">
      <c r="B157" s="2634" t="s">
        <v>688</v>
      </c>
      <c r="C157" s="2636" t="s">
        <v>688</v>
      </c>
      <c r="D157" s="3461">
        <v>0.52905368353697013</v>
      </c>
      <c r="E157" s="3461">
        <v>1.242898244877759</v>
      </c>
      <c r="F157" s="3461">
        <v>0.21074429055180255</v>
      </c>
      <c r="G157" s="3668" t="str">
        <f t="shared" si="82"/>
        <v>NA</v>
      </c>
      <c r="H157" s="3081">
        <f t="shared" si="83"/>
        <v>0.39358467482810638</v>
      </c>
      <c r="I157" s="3081">
        <f t="shared" si="84"/>
        <v>0.99999999999999944</v>
      </c>
      <c r="J157" s="3194" t="s">
        <v>199</v>
      </c>
      <c r="K157" s="3194">
        <v>0.48918570155463692</v>
      </c>
      <c r="L157" s="3194">
        <v>0.21074429055180244</v>
      </c>
      <c r="M157" s="3460" t="s">
        <v>199</v>
      </c>
    </row>
    <row r="158" spans="2:13" ht="18" customHeight="1" x14ac:dyDescent="0.2">
      <c r="B158" s="2634" t="s">
        <v>689</v>
      </c>
      <c r="C158" s="2636" t="s">
        <v>689</v>
      </c>
      <c r="D158" s="3461">
        <v>0.66249780239670009</v>
      </c>
      <c r="E158" s="3461">
        <v>1.5563966029483105</v>
      </c>
      <c r="F158" s="3461">
        <v>0.26390068475624623</v>
      </c>
      <c r="G158" s="3668" t="str">
        <f t="shared" si="82"/>
        <v>NA</v>
      </c>
      <c r="H158" s="3081">
        <f t="shared" si="83"/>
        <v>0.39358467482810638</v>
      </c>
      <c r="I158" s="3081">
        <f t="shared" si="84"/>
        <v>1.0000000000000002</v>
      </c>
      <c r="J158" s="3194" t="s">
        <v>199</v>
      </c>
      <c r="K158" s="3194">
        <v>0.61257385087498017</v>
      </c>
      <c r="L158" s="3194">
        <v>0.26390068475624628</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0.57019372921836287</v>
      </c>
      <c r="K162" s="3200">
        <f t="shared" ref="K162:M162" si="90">IF(SUM(K163,K165,K175)=0,"NO",SUM(K163,K165,K175))</f>
        <v>4.4486722527240268</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0.57019372921836287</v>
      </c>
      <c r="K163" s="3197">
        <f t="shared" ref="K163:M163" si="91">K164</f>
        <v>3.6613035334305191</v>
      </c>
      <c r="L163" s="3197">
        <f t="shared" si="91"/>
        <v>0</v>
      </c>
      <c r="M163" s="3193" t="str">
        <f t="shared" si="91"/>
        <v>NO</v>
      </c>
    </row>
    <row r="164" spans="2:13" ht="18" customHeight="1" x14ac:dyDescent="0.2">
      <c r="B164" s="2634" t="s">
        <v>905</v>
      </c>
      <c r="C164" s="2636" t="s">
        <v>905</v>
      </c>
      <c r="D164" s="4136">
        <v>6.7081615202160325</v>
      </c>
      <c r="E164" s="4136">
        <v>589.7452967947047</v>
      </c>
      <c r="F164" s="2635">
        <v>0</v>
      </c>
      <c r="G164" s="3668">
        <f t="shared" ref="G164" si="92">IF(SUM(D164)=0,"NA",J164/D164)</f>
        <v>8.500000000000002E-2</v>
      </c>
      <c r="H164" s="3081">
        <f t="shared" ref="H164" si="93">IF(SUM(E164)=0,"NA",K164/E164)</f>
        <v>6.2082793255493303E-3</v>
      </c>
      <c r="I164" s="3081" t="str">
        <f t="shared" ref="I164" si="94">IF(SUM(F164)=0,"NA",L164/F164)</f>
        <v>NA</v>
      </c>
      <c r="J164" s="3120">
        <v>0.57019372921836287</v>
      </c>
      <c r="K164" s="3120">
        <v>3.6613035334305191</v>
      </c>
      <c r="L164" s="3120">
        <v>0</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0.78736871929350727</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0.78736871929350727</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0.78736871929350727</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0.78736871929350727</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2045.0737274324219</v>
      </c>
      <c r="D10" s="2517">
        <f t="shared" ref="D10:I10" si="0">IF(SUM(D11,D21,D32:D33,D43:D48)=0,"NO",SUM(D11,D21,D32:D33,D43:D48))</f>
        <v>2397.1864633585074</v>
      </c>
      <c r="E10" s="2517">
        <f t="shared" si="0"/>
        <v>40.636963670468305</v>
      </c>
      <c r="F10" s="2517">
        <f t="shared" si="0"/>
        <v>24.52548966721486</v>
      </c>
      <c r="G10" s="2517">
        <f t="shared" si="0"/>
        <v>396.62812592741602</v>
      </c>
      <c r="H10" s="2925">
        <f t="shared" si="0"/>
        <v>23.136640679099266</v>
      </c>
      <c r="I10" s="2934" t="str">
        <f t="shared" si="0"/>
        <v>NO</v>
      </c>
      <c r="J10" s="2935">
        <f>IF(SUM(C10:E10)=0,"NO",SUM(C10)+28*SUM(D10)+265*SUM(E10))</f>
        <v>79935.090074144726</v>
      </c>
    </row>
    <row r="11" spans="1:10" ht="18" customHeight="1" x14ac:dyDescent="0.2">
      <c r="B11" s="234" t="s">
        <v>923</v>
      </c>
      <c r="C11" s="2936"/>
      <c r="D11" s="2163">
        <f>SUM(D17:D20)</f>
        <v>2124.3232264032076</v>
      </c>
      <c r="E11" s="1955"/>
      <c r="F11" s="1955"/>
      <c r="G11" s="1955"/>
      <c r="H11" s="2937"/>
      <c r="I11" s="2937"/>
      <c r="J11" s="1887">
        <f>IF(SUM(C11:E11)=0,"NO",SUM(C11)+28*SUM(D11)+265*SUM(E11))</f>
        <v>59481.05033928981</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1602.8076295051646</v>
      </c>
      <c r="E17" s="615"/>
      <c r="F17" s="615"/>
      <c r="G17" s="615"/>
      <c r="H17" s="2939"/>
      <c r="I17" s="2940"/>
      <c r="J17" s="2943">
        <f>IF(SUM(C17:E17)=0,"NO",SUM(C17)+28*SUM(D17)+265*SUM(E17))</f>
        <v>44878.613626144608</v>
      </c>
    </row>
    <row r="18" spans="2:10" ht="18" customHeight="1" x14ac:dyDescent="0.2">
      <c r="B18" s="228" t="s">
        <v>930</v>
      </c>
      <c r="C18" s="2945"/>
      <c r="D18" s="2930">
        <f>Table3.A!G24</f>
        <v>508.5835108873552</v>
      </c>
      <c r="E18" s="615"/>
      <c r="F18" s="615"/>
      <c r="G18" s="615"/>
      <c r="H18" s="2939"/>
      <c r="I18" s="2940"/>
      <c r="J18" s="2943">
        <f t="shared" ref="J18:J22" si="1">IF(SUM(C18:E18)=0,"NO",SUM(C18)+28*SUM(D18)+265*SUM(E18))</f>
        <v>14240.338304845945</v>
      </c>
    </row>
    <row r="19" spans="2:10" ht="18" customHeight="1" x14ac:dyDescent="0.2">
      <c r="B19" s="228" t="s">
        <v>931</v>
      </c>
      <c r="C19" s="2945"/>
      <c r="D19" s="2930">
        <f>Table3.A!G27</f>
        <v>3.3576000773765053</v>
      </c>
      <c r="E19" s="615"/>
      <c r="F19" s="615"/>
      <c r="G19" s="615"/>
      <c r="H19" s="2939"/>
      <c r="I19" s="2940"/>
      <c r="J19" s="2943">
        <f t="shared" si="1"/>
        <v>94.012802166542144</v>
      </c>
    </row>
    <row r="20" spans="2:10" ht="18" customHeight="1" thickBot="1" x14ac:dyDescent="0.25">
      <c r="B20" s="1296" t="s">
        <v>932</v>
      </c>
      <c r="C20" s="2946"/>
      <c r="D20" s="2517">
        <f>Table3.A!G30</f>
        <v>9.5744859333113475</v>
      </c>
      <c r="E20" s="1948"/>
      <c r="F20" s="1948"/>
      <c r="G20" s="1948"/>
      <c r="H20" s="2947"/>
      <c r="I20" s="2948"/>
      <c r="J20" s="2943">
        <f t="shared" si="1"/>
        <v>268.08560613271771</v>
      </c>
    </row>
    <row r="21" spans="2:10" ht="18" customHeight="1" x14ac:dyDescent="0.2">
      <c r="B21" s="1455" t="s">
        <v>933</v>
      </c>
      <c r="C21" s="2949"/>
      <c r="D21" s="2930">
        <f>IF(SUM(D27:D31)=0,"NO",SUM(D27:D31))</f>
        <v>246.30831150844341</v>
      </c>
      <c r="E21" s="2930">
        <f>IF(SUM(E27:E31)=0,"NO",SUM(E27:E31))</f>
        <v>1.8459116884230848</v>
      </c>
      <c r="F21" s="2160"/>
      <c r="G21" s="2160"/>
      <c r="H21" s="2930" t="str">
        <f>IF(SUM(H27:H31)=0,"NE",SUM(H27:H31))</f>
        <v>NE</v>
      </c>
      <c r="I21" s="2940"/>
      <c r="J21" s="2950">
        <f t="shared" si="1"/>
        <v>7385.7993196685329</v>
      </c>
    </row>
    <row r="22" spans="2:10" ht="18" customHeight="1" x14ac:dyDescent="0.2">
      <c r="B22" s="228" t="s">
        <v>934</v>
      </c>
      <c r="C22" s="2945"/>
      <c r="D22" s="2930">
        <f>D27</f>
        <v>167.28842705210897</v>
      </c>
      <c r="E22" s="2930">
        <f>E27</f>
        <v>0.74142720278005969</v>
      </c>
      <c r="F22" s="2951"/>
      <c r="G22" s="2951"/>
      <c r="H22" s="2930" t="str">
        <f>H27</f>
        <v>NE</v>
      </c>
      <c r="I22" s="2940"/>
      <c r="J22" s="2943">
        <f t="shared" si="1"/>
        <v>4880.5541661957668</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167.28842705210897</v>
      </c>
      <c r="E27" s="2930">
        <f>'Table3.B(b)'!X15</f>
        <v>0.74142720278005969</v>
      </c>
      <c r="F27" s="615"/>
      <c r="G27" s="615"/>
      <c r="H27" s="2953" t="s">
        <v>221</v>
      </c>
      <c r="I27" s="2940"/>
      <c r="J27" s="2943">
        <f t="shared" ref="J27:J49" si="2">IF(SUM(C27:E27)=0,"NO",SUM(C27)+28*SUM(D27)+265*SUM(E27))</f>
        <v>4880.5541661957668</v>
      </c>
    </row>
    <row r="28" spans="2:10" ht="18" customHeight="1" x14ac:dyDescent="0.2">
      <c r="B28" s="228" t="s">
        <v>938</v>
      </c>
      <c r="C28" s="2945"/>
      <c r="D28" s="2930">
        <f>'Table3.B(a)'!K24</f>
        <v>25.871012180320559</v>
      </c>
      <c r="E28" s="2930" t="str">
        <f>'Table3.B(b)'!X24</f>
        <v>NA</v>
      </c>
      <c r="F28" s="2951"/>
      <c r="G28" s="2951"/>
      <c r="H28" s="2953" t="s">
        <v>221</v>
      </c>
      <c r="I28" s="2940"/>
      <c r="J28" s="2943">
        <f t="shared" si="2"/>
        <v>724.38834104897569</v>
      </c>
    </row>
    <row r="29" spans="2:10" ht="18" customHeight="1" x14ac:dyDescent="0.2">
      <c r="B29" s="228" t="s">
        <v>939</v>
      </c>
      <c r="C29" s="2945"/>
      <c r="D29" s="2930">
        <f>'Table3.B(a)'!K27</f>
        <v>48.867286085642739</v>
      </c>
      <c r="E29" s="2930">
        <f>'Table3.B(b)'!X27</f>
        <v>0.17304445181655917</v>
      </c>
      <c r="F29" s="2951"/>
      <c r="G29" s="2951"/>
      <c r="H29" s="2953" t="s">
        <v>221</v>
      </c>
      <c r="I29" s="2940"/>
      <c r="J29" s="2943">
        <f t="shared" si="2"/>
        <v>1414.1407901293849</v>
      </c>
    </row>
    <row r="30" spans="2:10" ht="18" customHeight="1" x14ac:dyDescent="0.2">
      <c r="B30" s="228" t="s">
        <v>940</v>
      </c>
      <c r="C30" s="2945"/>
      <c r="D30" s="2930">
        <f>'Table3.B(a)'!K30</f>
        <v>4.2815861903711578</v>
      </c>
      <c r="E30" s="2930">
        <f>'Table3.B(b)'!X30</f>
        <v>0.38909521456826679</v>
      </c>
      <c r="F30" s="2951"/>
      <c r="G30" s="2951"/>
      <c r="H30" s="2953" t="s">
        <v>221</v>
      </c>
      <c r="I30" s="2940"/>
      <c r="J30" s="2943">
        <f t="shared" si="2"/>
        <v>222.99464519098314</v>
      </c>
    </row>
    <row r="31" spans="2:10" ht="18" customHeight="1" thickBot="1" x14ac:dyDescent="0.25">
      <c r="B31" s="1296" t="s">
        <v>941</v>
      </c>
      <c r="C31" s="2954"/>
      <c r="D31" s="2955"/>
      <c r="E31" s="2956">
        <f>SUM('Table3.B(b)'!Y47:Z47)</f>
        <v>0.54234481925819933</v>
      </c>
      <c r="F31" s="2957"/>
      <c r="G31" s="2957"/>
      <c r="H31" s="2958"/>
      <c r="I31" s="2959"/>
      <c r="J31" s="2943">
        <f t="shared" si="2"/>
        <v>143.72137710342281</v>
      </c>
    </row>
    <row r="32" spans="2:10" ht="18" customHeight="1" thickBot="1" x14ac:dyDescent="0.25">
      <c r="B32" s="2658" t="s">
        <v>942</v>
      </c>
      <c r="C32" s="2960"/>
      <c r="D32" s="2961">
        <f>Table3.C!G11</f>
        <v>16.384973500000001</v>
      </c>
      <c r="E32" s="2962"/>
      <c r="F32" s="2962"/>
      <c r="G32" s="2962"/>
      <c r="H32" s="2963" t="s">
        <v>221</v>
      </c>
      <c r="I32" s="2964"/>
      <c r="J32" s="2965">
        <f t="shared" si="2"/>
        <v>458.77925800000003</v>
      </c>
    </row>
    <row r="33" spans="2:10" ht="18" customHeight="1" x14ac:dyDescent="0.2">
      <c r="B33" s="2657" t="s">
        <v>943</v>
      </c>
      <c r="C33" s="2966"/>
      <c r="D33" s="2967" t="s">
        <v>221</v>
      </c>
      <c r="E33" s="2967">
        <f>IF(SUM(E34,E42)=0,"NO",SUM(E34,E42))</f>
        <v>38.366552823415994</v>
      </c>
      <c r="F33" s="2967" t="str">
        <f>IF(SUM(F34,F42)=0,"NO",SUM(F34,F42))</f>
        <v>NO</v>
      </c>
      <c r="G33" s="2967" t="str">
        <f>IF(SUM(G34,G42)=0,"NO",SUM(G34,G42))</f>
        <v>NO</v>
      </c>
      <c r="H33" s="2967" t="str">
        <f>IF(SUM(H34,H42)=0,"NO",SUM(H34,H42))</f>
        <v>NO</v>
      </c>
      <c r="I33" s="2968"/>
      <c r="J33" s="2969">
        <f t="shared" si="2"/>
        <v>10167.136498205238</v>
      </c>
    </row>
    <row r="34" spans="2:10" ht="18" customHeight="1" x14ac:dyDescent="0.2">
      <c r="B34" s="228" t="s">
        <v>944</v>
      </c>
      <c r="C34" s="2970"/>
      <c r="D34" s="615"/>
      <c r="E34" s="2971">
        <f>IF(SUM(E35:E41)=0,"NO",SUM(E35:E41))</f>
        <v>27.879741563695617</v>
      </c>
      <c r="F34" s="615"/>
      <c r="G34" s="615"/>
      <c r="H34" s="615"/>
      <c r="I34" s="2940"/>
      <c r="J34" s="2972">
        <f t="shared" si="2"/>
        <v>7388.131514379339</v>
      </c>
    </row>
    <row r="35" spans="2:10" ht="18" customHeight="1" x14ac:dyDescent="0.2">
      <c r="B35" s="232" t="s">
        <v>945</v>
      </c>
      <c r="C35" s="2970"/>
      <c r="D35" s="615"/>
      <c r="E35" s="4248">
        <f>Table3.D!F11</f>
        <v>8.1306326258806614</v>
      </c>
      <c r="F35" s="615"/>
      <c r="G35" s="615"/>
      <c r="H35" s="615"/>
      <c r="I35" s="2940"/>
      <c r="J35" s="2972">
        <f t="shared" si="2"/>
        <v>2154.6176458583755</v>
      </c>
    </row>
    <row r="36" spans="2:10" ht="18" customHeight="1" x14ac:dyDescent="0.2">
      <c r="B36" s="232" t="s">
        <v>946</v>
      </c>
      <c r="C36" s="2970"/>
      <c r="D36" s="615"/>
      <c r="E36" s="4248">
        <f>Table3.D!F12</f>
        <v>1.4080153725558542</v>
      </c>
      <c r="F36" s="615"/>
      <c r="G36" s="615"/>
      <c r="H36" s="615"/>
      <c r="I36" s="2940"/>
      <c r="J36" s="2972">
        <f t="shared" si="2"/>
        <v>373.12407372730138</v>
      </c>
    </row>
    <row r="37" spans="2:10" ht="18" customHeight="1" x14ac:dyDescent="0.2">
      <c r="B37" s="232" t="s">
        <v>947</v>
      </c>
      <c r="C37" s="2970"/>
      <c r="D37" s="615"/>
      <c r="E37" s="4248">
        <f>Table3.D!F16</f>
        <v>10.77976549368052</v>
      </c>
      <c r="F37" s="615"/>
      <c r="G37" s="615"/>
      <c r="H37" s="615"/>
      <c r="I37" s="2940"/>
      <c r="J37" s="2972">
        <f t="shared" si="2"/>
        <v>2856.6378558253377</v>
      </c>
    </row>
    <row r="38" spans="2:10" ht="18" customHeight="1" x14ac:dyDescent="0.2">
      <c r="B38" s="232" t="s">
        <v>948</v>
      </c>
      <c r="C38" s="2970"/>
      <c r="D38" s="615"/>
      <c r="E38" s="4248">
        <f>Table3.D!F17</f>
        <v>7.1569634958354085</v>
      </c>
      <c r="F38" s="615"/>
      <c r="G38" s="615"/>
      <c r="H38" s="615"/>
      <c r="I38" s="2940"/>
      <c r="J38" s="2972">
        <f t="shared" si="2"/>
        <v>1896.5953263963831</v>
      </c>
    </row>
    <row r="39" spans="2:10" ht="26.25" customHeight="1" x14ac:dyDescent="0.2">
      <c r="B39" s="1708" t="s">
        <v>949</v>
      </c>
      <c r="C39" s="2970"/>
      <c r="D39" s="2951"/>
      <c r="E39" s="4248">
        <f>Table3.D!F18</f>
        <v>0.31636457574317317</v>
      </c>
      <c r="F39" s="2951"/>
      <c r="G39" s="2951"/>
      <c r="H39" s="2951"/>
      <c r="I39" s="2940"/>
      <c r="J39" s="2972">
        <f t="shared" si="2"/>
        <v>83.83661257194089</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10.486811259720376</v>
      </c>
      <c r="F42" s="2957"/>
      <c r="G42" s="2957"/>
      <c r="H42" s="2957"/>
      <c r="I42" s="2976"/>
      <c r="J42" s="2977">
        <f t="shared" si="2"/>
        <v>2779.0049838258997</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10.169951946856818</v>
      </c>
      <c r="E44" s="2984">
        <f>SUM(Table3.F!J10,Table3.F!J20,Table3.F!J23,Table3.F!J26:J27)</f>
        <v>0.42449915862922616</v>
      </c>
      <c r="F44" s="2919">
        <v>24.52548966721486</v>
      </c>
      <c r="G44" s="2919">
        <v>396.62812592741602</v>
      </c>
      <c r="H44" s="2920">
        <v>23.136640679099266</v>
      </c>
      <c r="I44" s="2985" t="s">
        <v>199</v>
      </c>
      <c r="J44" s="2986">
        <f t="shared" si="2"/>
        <v>397.25093154873588</v>
      </c>
    </row>
    <row r="45" spans="2:10" ht="18" customHeight="1" thickBot="1" x14ac:dyDescent="0.25">
      <c r="B45" s="2660" t="s">
        <v>955</v>
      </c>
      <c r="C45" s="2987">
        <f>'Table3.G-J'!E10</f>
        <v>924.61635380044606</v>
      </c>
      <c r="D45" s="2988"/>
      <c r="E45" s="2988"/>
      <c r="F45" s="2988"/>
      <c r="G45" s="2988"/>
      <c r="H45" s="2989"/>
      <c r="I45" s="2990"/>
      <c r="J45" s="2986">
        <f t="shared" si="2"/>
        <v>924.61635380044606</v>
      </c>
    </row>
    <row r="46" spans="2:10" ht="18" customHeight="1" thickBot="1" x14ac:dyDescent="0.25">
      <c r="B46" s="2660" t="s">
        <v>956</v>
      </c>
      <c r="C46" s="2987">
        <f>'Table3.G-J'!E13</f>
        <v>1120.457373631976</v>
      </c>
      <c r="D46" s="2988"/>
      <c r="E46" s="2988"/>
      <c r="F46" s="2988"/>
      <c r="G46" s="2988"/>
      <c r="H46" s="2989"/>
      <c r="I46" s="2990"/>
      <c r="J46" s="2986">
        <f t="shared" si="2"/>
        <v>1120.457373631976</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28418.421999999999</v>
      </c>
      <c r="D10" s="3208"/>
      <c r="E10" s="3208"/>
      <c r="F10" s="3109">
        <f>IF(SUM(C10)=0,"NA",G10*1000/C10)</f>
        <v>56.40030363069296</v>
      </c>
      <c r="G10" s="3209">
        <f>G15</f>
        <v>1602.8076295051646</v>
      </c>
      <c r="I10" s="275" t="s">
        <v>977</v>
      </c>
      <c r="J10" s="276" t="s">
        <v>978</v>
      </c>
      <c r="K10" s="699">
        <v>464.95755176843812</v>
      </c>
      <c r="L10" s="699">
        <v>364.10256643430694</v>
      </c>
      <c r="M10" s="3125">
        <v>524.73704034096545</v>
      </c>
      <c r="N10" s="3125">
        <v>44.396505273479278</v>
      </c>
      <c r="O10" s="2921">
        <v>57.431953309151851</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16.722280295869151</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28418.421999999999</v>
      </c>
      <c r="D15" s="3215"/>
      <c r="E15" s="3215"/>
      <c r="F15" s="3109">
        <f>IF(SUM(C15)=0,"NA",G15*1000/C15)</f>
        <v>56.40030363069296</v>
      </c>
      <c r="G15" s="3216">
        <f>G20</f>
        <v>1602.8076295051646</v>
      </c>
      <c r="I15" s="1780" t="s">
        <v>989</v>
      </c>
      <c r="J15" s="1853" t="s">
        <v>428</v>
      </c>
      <c r="K15" s="3408">
        <v>75</v>
      </c>
      <c r="L15" s="3408">
        <v>57.749648701255026</v>
      </c>
      <c r="M15" s="1563">
        <v>80.436510243450897</v>
      </c>
      <c r="N15" s="1563">
        <v>66.664739216242978</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1602.8076295051646</v>
      </c>
      <c r="I20" s="72"/>
      <c r="J20" s="287"/>
      <c r="K20" s="287"/>
      <c r="L20" s="287"/>
      <c r="M20" s="287"/>
      <c r="N20" s="287"/>
      <c r="O20" s="287"/>
    </row>
    <row r="21" spans="2:15" ht="18" customHeight="1" x14ac:dyDescent="0.2">
      <c r="B21" s="2652" t="s">
        <v>994</v>
      </c>
      <c r="C21" s="3239">
        <v>2733.19</v>
      </c>
      <c r="D21" s="3224">
        <v>240.33838001553895</v>
      </c>
      <c r="E21" s="3224">
        <v>6.1692739899792812</v>
      </c>
      <c r="F21" s="3109">
        <f t="shared" ref="F21:F30" si="0">IF(SUM(C21)=0,"NA",G21*1000/C21)</f>
        <v>98.006222485987237</v>
      </c>
      <c r="G21" s="3206">
        <v>267.86962723647548</v>
      </c>
      <c r="I21" s="72"/>
      <c r="J21" s="287"/>
      <c r="K21" s="287"/>
      <c r="L21" s="287"/>
      <c r="M21" s="287"/>
      <c r="N21" s="287"/>
      <c r="O21" s="287"/>
    </row>
    <row r="22" spans="2:15" ht="18" customHeight="1" x14ac:dyDescent="0.2">
      <c r="B22" s="2652" t="s">
        <v>965</v>
      </c>
      <c r="C22" s="3239">
        <v>24912.824000000001</v>
      </c>
      <c r="D22" s="3224">
        <v>125.46500145681786</v>
      </c>
      <c r="E22" s="3224">
        <v>6.21225</v>
      </c>
      <c r="F22" s="3109">
        <f t="shared" si="0"/>
        <v>51.519065696477334</v>
      </c>
      <c r="G22" s="3206">
        <v>1283.4854163407772</v>
      </c>
      <c r="I22" s="72"/>
      <c r="J22" s="287"/>
      <c r="K22" s="287"/>
      <c r="L22" s="287"/>
      <c r="M22" s="287"/>
      <c r="N22" s="287"/>
      <c r="O22" s="287"/>
    </row>
    <row r="23" spans="2:15" ht="18" customHeight="1" x14ac:dyDescent="0.2">
      <c r="B23" s="2652" t="s">
        <v>966</v>
      </c>
      <c r="C23" s="3239">
        <v>772.40800000000002</v>
      </c>
      <c r="D23" s="3224">
        <v>199.79196674844161</v>
      </c>
      <c r="E23" s="3224">
        <v>5.044126348704725</v>
      </c>
      <c r="F23" s="3109">
        <f t="shared" si="0"/>
        <v>66.613222452268644</v>
      </c>
      <c r="G23" s="3206">
        <v>51.452585927911926</v>
      </c>
      <c r="I23" s="72"/>
      <c r="J23" s="287"/>
      <c r="K23" s="287"/>
      <c r="L23" s="287"/>
      <c r="M23" s="287"/>
      <c r="N23" s="287"/>
      <c r="O23" s="287"/>
    </row>
    <row r="24" spans="2:15" ht="18" customHeight="1" x14ac:dyDescent="0.2">
      <c r="B24" s="286" t="s">
        <v>995</v>
      </c>
      <c r="C24" s="2654">
        <f>C25</f>
        <v>74721.553</v>
      </c>
      <c r="D24" s="3225"/>
      <c r="E24" s="3225"/>
      <c r="F24" s="3109">
        <f t="shared" si="0"/>
        <v>6.8063830376672607</v>
      </c>
      <c r="G24" s="3106">
        <f>G25</f>
        <v>508.5835108873552</v>
      </c>
      <c r="I24" s="72"/>
    </row>
    <row r="25" spans="2:15" ht="18" customHeight="1" x14ac:dyDescent="0.2">
      <c r="B25" s="282" t="s">
        <v>996</v>
      </c>
      <c r="C25" s="2654">
        <f>C26</f>
        <v>74721.553</v>
      </c>
      <c r="D25" s="3225"/>
      <c r="E25" s="3225"/>
      <c r="F25" s="3109">
        <f t="shared" si="0"/>
        <v>6.8063830376672607</v>
      </c>
      <c r="G25" s="3106">
        <f>G26</f>
        <v>508.5835108873552</v>
      </c>
    </row>
    <row r="26" spans="2:15" ht="18" customHeight="1" x14ac:dyDescent="0.2">
      <c r="B26" s="2653" t="s">
        <v>967</v>
      </c>
      <c r="C26" s="288">
        <v>74721.553</v>
      </c>
      <c r="D26" s="3226">
        <v>16.704483808376214</v>
      </c>
      <c r="E26" s="3226">
        <v>6.1643439635727892</v>
      </c>
      <c r="F26" s="3109">
        <f t="shared" si="0"/>
        <v>6.8063830376672607</v>
      </c>
      <c r="G26" s="3207">
        <v>508.5835108873552</v>
      </c>
    </row>
    <row r="27" spans="2:15" ht="18" customHeight="1" x14ac:dyDescent="0.2">
      <c r="B27" s="286" t="s">
        <v>997</v>
      </c>
      <c r="C27" s="2654">
        <f>C28</f>
        <v>2137.922</v>
      </c>
      <c r="D27" s="3225"/>
      <c r="E27" s="3225"/>
      <c r="F27" s="3109">
        <f t="shared" si="0"/>
        <v>1.5704969953892169</v>
      </c>
      <c r="G27" s="3106">
        <f>G28</f>
        <v>3.3576000773765053</v>
      </c>
    </row>
    <row r="28" spans="2:15" ht="18" customHeight="1" x14ac:dyDescent="0.2">
      <c r="B28" s="282" t="s">
        <v>998</v>
      </c>
      <c r="C28" s="2654">
        <f>C29</f>
        <v>2137.922</v>
      </c>
      <c r="D28" s="3225"/>
      <c r="E28" s="3225"/>
      <c r="F28" s="3109">
        <f t="shared" si="0"/>
        <v>1.5704969953892169</v>
      </c>
      <c r="G28" s="3106">
        <f>G29</f>
        <v>3.3576000773765053</v>
      </c>
    </row>
    <row r="29" spans="2:15" ht="18" customHeight="1" x14ac:dyDescent="0.2">
      <c r="B29" s="2653" t="s">
        <v>968</v>
      </c>
      <c r="C29" s="288">
        <v>2137.922</v>
      </c>
      <c r="D29" s="3226">
        <v>33.942404730094928</v>
      </c>
      <c r="E29" s="3226">
        <v>0.70000000000000007</v>
      </c>
      <c r="F29" s="3109">
        <f t="shared" si="0"/>
        <v>1.5704969953892169</v>
      </c>
      <c r="G29" s="3207">
        <v>3.3576000773765053</v>
      </c>
    </row>
    <row r="30" spans="2:15" ht="18" customHeight="1" x14ac:dyDescent="0.2">
      <c r="B30" s="286" t="s">
        <v>999</v>
      </c>
      <c r="C30" s="2654">
        <f>SUM(C32:C39)</f>
        <v>87449.487999999998</v>
      </c>
      <c r="D30" s="3225"/>
      <c r="E30" s="3225"/>
      <c r="F30" s="3109">
        <f t="shared" si="0"/>
        <v>0.10948590040128477</v>
      </c>
      <c r="G30" s="3106">
        <f>SUM(G32:G39)</f>
        <v>9.5744859333113475</v>
      </c>
    </row>
    <row r="31" spans="2:15" ht="18" customHeight="1" x14ac:dyDescent="0.2">
      <c r="B31" s="1304" t="s">
        <v>498</v>
      </c>
      <c r="C31" s="3240"/>
      <c r="D31" s="3228"/>
      <c r="E31" s="3228"/>
      <c r="F31" s="3228"/>
      <c r="G31" s="3229"/>
    </row>
    <row r="32" spans="2:15" ht="18" customHeight="1" x14ac:dyDescent="0.2">
      <c r="B32" s="285" t="s">
        <v>1000</v>
      </c>
      <c r="C32" s="3234">
        <v>5.0890000000000004</v>
      </c>
      <c r="D32" s="3230" t="s">
        <v>205</v>
      </c>
      <c r="E32" s="3230" t="s">
        <v>205</v>
      </c>
      <c r="F32" s="3109">
        <f t="shared" ref="F32:F41" si="1">IF(SUM(C32)=0,"NA",G32*1000/C32)</f>
        <v>76.000917856735185</v>
      </c>
      <c r="G32" s="3206">
        <v>0.38676867097292539</v>
      </c>
    </row>
    <row r="33" spans="2:7" ht="18" customHeight="1" x14ac:dyDescent="0.2">
      <c r="B33" s="285" t="s">
        <v>1001</v>
      </c>
      <c r="C33" s="3234">
        <v>3.2629999999999999</v>
      </c>
      <c r="D33" s="3230" t="s">
        <v>205</v>
      </c>
      <c r="E33" s="3230" t="s">
        <v>205</v>
      </c>
      <c r="F33" s="3109">
        <f t="shared" si="1"/>
        <v>46.002614614974689</v>
      </c>
      <c r="G33" s="3206">
        <v>0.1501065314886624</v>
      </c>
    </row>
    <row r="34" spans="2:7" ht="18" customHeight="1" x14ac:dyDescent="0.2">
      <c r="B34" s="285" t="s">
        <v>1002</v>
      </c>
      <c r="C34" s="3234">
        <v>38.395000000000003</v>
      </c>
      <c r="D34" s="3230" t="s">
        <v>205</v>
      </c>
      <c r="E34" s="3230" t="s">
        <v>205</v>
      </c>
      <c r="F34" s="3109">
        <f t="shared" si="1"/>
        <v>20.000104477061658</v>
      </c>
      <c r="G34" s="3206">
        <v>0.76790401139678233</v>
      </c>
    </row>
    <row r="35" spans="2:7" ht="18" customHeight="1" x14ac:dyDescent="0.2">
      <c r="B35" s="285" t="s">
        <v>1003</v>
      </c>
      <c r="C35" s="3234">
        <v>516.14300000000003</v>
      </c>
      <c r="D35" s="3230" t="s">
        <v>205</v>
      </c>
      <c r="E35" s="3230" t="s">
        <v>205</v>
      </c>
      <c r="F35" s="3109">
        <f t="shared" si="1"/>
        <v>5</v>
      </c>
      <c r="G35" s="3206">
        <v>2.5807150000000001</v>
      </c>
    </row>
    <row r="36" spans="2:7" ht="18" customHeight="1" x14ac:dyDescent="0.2">
      <c r="B36" s="285" t="s">
        <v>1004</v>
      </c>
      <c r="C36" s="3234">
        <v>254.21799999999999</v>
      </c>
      <c r="D36" s="3230" t="s">
        <v>205</v>
      </c>
      <c r="E36" s="3230" t="s">
        <v>205</v>
      </c>
      <c r="F36" s="3109">
        <f t="shared" si="1"/>
        <v>17.999968534089721</v>
      </c>
      <c r="G36" s="3206">
        <v>4.5759160007992206</v>
      </c>
    </row>
    <row r="37" spans="2:7" ht="18" customHeight="1" x14ac:dyDescent="0.2">
      <c r="B37" s="285" t="s">
        <v>1005</v>
      </c>
      <c r="C37" s="3234">
        <v>0.86099999999999999</v>
      </c>
      <c r="D37" s="3230" t="s">
        <v>205</v>
      </c>
      <c r="E37" s="3230" t="s">
        <v>205</v>
      </c>
      <c r="F37" s="3109">
        <f t="shared" si="1"/>
        <v>10.00183900665497</v>
      </c>
      <c r="G37" s="3206">
        <v>8.6115833847299292E-3</v>
      </c>
    </row>
    <row r="38" spans="2:7" ht="18" customHeight="1" x14ac:dyDescent="0.2">
      <c r="B38" s="285" t="s">
        <v>1006</v>
      </c>
      <c r="C38" s="3241">
        <v>86489.834000000003</v>
      </c>
      <c r="D38" s="3230" t="s">
        <v>205</v>
      </c>
      <c r="E38" s="3230" t="s">
        <v>205</v>
      </c>
      <c r="F38" s="3109" t="s">
        <v>205</v>
      </c>
      <c r="G38" s="3231" t="s">
        <v>221</v>
      </c>
    </row>
    <row r="39" spans="2:7" ht="18" customHeight="1" x14ac:dyDescent="0.2">
      <c r="B39" s="285" t="s">
        <v>1007</v>
      </c>
      <c r="C39" s="2654">
        <f>SUM(C41:C45)</f>
        <v>141.685</v>
      </c>
      <c r="D39" s="3225"/>
      <c r="E39" s="3225"/>
      <c r="F39" s="3109">
        <f t="shared" si="1"/>
        <v>7.7952086337228925</v>
      </c>
      <c r="G39" s="3106">
        <f>SUM(G41:G45)</f>
        <v>1.1044641352690281</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9.673</v>
      </c>
      <c r="D43" s="2974" t="s">
        <v>205</v>
      </c>
      <c r="E43" s="2974" t="s">
        <v>205</v>
      </c>
      <c r="F43" s="3109">
        <f t="shared" si="2"/>
        <v>5.0000868744065352</v>
      </c>
      <c r="G43" s="3170">
        <v>4.8365840336134419E-2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132.012</v>
      </c>
      <c r="D45" s="3225"/>
      <c r="E45" s="3225"/>
      <c r="F45" s="3109">
        <f>IF(SUM(C45)=0,"NA",G45*1000/C45)</f>
        <v>8.0000173842748659</v>
      </c>
      <c r="G45" s="3106">
        <f>G46</f>
        <v>1.0560982949328936</v>
      </c>
    </row>
    <row r="46" spans="2:7" ht="18" customHeight="1" thickBot="1" x14ac:dyDescent="0.25">
      <c r="B46" s="2655" t="s">
        <v>1013</v>
      </c>
      <c r="C46" s="3243">
        <v>132.012</v>
      </c>
      <c r="D46" s="3115" t="s">
        <v>205</v>
      </c>
      <c r="E46" s="3115" t="s">
        <v>205</v>
      </c>
      <c r="F46" s="3232">
        <f>IF(SUM(C46)=0,"NA",G46*1000/C46)</f>
        <v>8.0000173842748659</v>
      </c>
      <c r="G46" s="3172">
        <v>1.0560982949328936</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28418.421999999999</v>
      </c>
      <c r="D10" s="2951"/>
      <c r="E10" s="2951"/>
      <c r="F10" s="2951"/>
      <c r="G10" s="2951"/>
      <c r="H10" s="2951"/>
      <c r="I10" s="3246"/>
      <c r="J10" s="3247">
        <f>IF(SUM(C10)=0,"NA",K10*1000/C10)</f>
        <v>5.8866191462745183</v>
      </c>
      <c r="K10" s="3248">
        <f>K15</f>
        <v>167.28842705210897</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28418.421999999999</v>
      </c>
      <c r="D15" s="3260"/>
      <c r="E15" s="3260"/>
      <c r="F15" s="3260"/>
      <c r="G15" s="3260"/>
      <c r="H15" s="3260"/>
      <c r="I15" s="3255"/>
      <c r="J15" s="3254">
        <f>IF(SUM(C15)=0,"NA",K15*1000/C15)</f>
        <v>5.8866191462745183</v>
      </c>
      <c r="K15" s="3248">
        <f>SUM(K17:K20)</f>
        <v>167.28842705210897</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28418.421999999999</v>
      </c>
      <c r="D20" s="3260"/>
      <c r="E20" s="3260"/>
      <c r="F20" s="3260"/>
      <c r="G20" s="3260"/>
      <c r="H20" s="3260"/>
      <c r="I20" s="3255"/>
      <c r="J20" s="3268">
        <f>IF(SUM(C20)=0,"NA",K20*1000/C20)</f>
        <v>5.8866191462745183</v>
      </c>
      <c r="K20" s="3248">
        <f>SUM(K21:K23)</f>
        <v>167.28842705210897</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2733.19</v>
      </c>
      <c r="D21" s="3290">
        <v>8.4793226961901649</v>
      </c>
      <c r="E21" s="3290">
        <v>91.51961627256064</v>
      </c>
      <c r="F21" s="3290">
        <v>1.0610312491996531E-3</v>
      </c>
      <c r="G21" s="3265">
        <f>Table3.A!K10</f>
        <v>464.95755176843812</v>
      </c>
      <c r="H21" s="3266">
        <v>3.4618544204050754</v>
      </c>
      <c r="I21" s="3267">
        <v>0.24</v>
      </c>
      <c r="J21" s="3268">
        <f>IF(SUM(C21)=0,"NA",K21*1000/C21)</f>
        <v>16.050254472001246</v>
      </c>
      <c r="K21" s="3244">
        <v>43.868395020329089</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24912.824000000001</v>
      </c>
      <c r="D22" s="3290" t="s">
        <v>199</v>
      </c>
      <c r="E22" s="3290">
        <v>82.513308158151403</v>
      </c>
      <c r="F22" s="3290">
        <v>17.486691841848597</v>
      </c>
      <c r="G22" s="3265">
        <f>Table3.A!L10</f>
        <v>364.10256643430694</v>
      </c>
      <c r="H22" s="3266" t="s">
        <v>205</v>
      </c>
      <c r="I22" s="3267" t="s">
        <v>205</v>
      </c>
      <c r="J22" s="3268">
        <f t="shared" ref="J22:J46" si="0">IF(SUM(C22)=0,"NA",K22*1000/C22)</f>
        <v>4.8471032112057797</v>
      </c>
      <c r="K22" s="3244">
        <v>120.75502921060442</v>
      </c>
      <c r="M22" s="1597" t="s">
        <v>1049</v>
      </c>
      <c r="N22" s="4511" t="s">
        <v>994</v>
      </c>
      <c r="O22" s="1693" t="s">
        <v>1051</v>
      </c>
      <c r="P22" s="1694" t="s">
        <v>1039</v>
      </c>
      <c r="Q22" s="4444">
        <v>6.5927992864821654</v>
      </c>
      <c r="R22" s="4445" t="s">
        <v>199</v>
      </c>
      <c r="S22" s="4445">
        <v>3.9985868975431984</v>
      </c>
      <c r="T22" s="4445">
        <v>1.6440991310317918</v>
      </c>
      <c r="U22" s="4445" t="s">
        <v>199</v>
      </c>
      <c r="V22" s="4445" t="s">
        <v>274</v>
      </c>
      <c r="W22" s="4445" t="s">
        <v>199</v>
      </c>
      <c r="X22" s="4445">
        <v>87.764514684942824</v>
      </c>
      <c r="Y22" s="4446" t="s">
        <v>199</v>
      </c>
      <c r="Z22" s="4446" t="s">
        <v>199</v>
      </c>
      <c r="AA22" s="4446" t="s">
        <v>199</v>
      </c>
      <c r="AB22" s="4447" t="s">
        <v>199</v>
      </c>
    </row>
    <row r="23" spans="2:28" s="84" customFormat="1" ht="18" customHeight="1" x14ac:dyDescent="0.2">
      <c r="B23" s="2661" t="s">
        <v>966</v>
      </c>
      <c r="C23" s="3290">
        <f>Table3.A!C23</f>
        <v>772.40800000000002</v>
      </c>
      <c r="D23" s="3290" t="s">
        <v>199</v>
      </c>
      <c r="E23" s="3290">
        <v>100</v>
      </c>
      <c r="F23" s="3290" t="s">
        <v>199</v>
      </c>
      <c r="G23" s="3265">
        <f>Table3.A!M10</f>
        <v>524.73704034096545</v>
      </c>
      <c r="H23" s="3266">
        <v>1.7100247915292226</v>
      </c>
      <c r="I23" s="3267">
        <v>0.19</v>
      </c>
      <c r="J23" s="3268">
        <f t="shared" si="0"/>
        <v>3.4502527435959607</v>
      </c>
      <c r="K23" s="3244">
        <v>2.6650028211754688</v>
      </c>
      <c r="M23" s="1667" t="s">
        <v>1061</v>
      </c>
      <c r="N23" s="4512"/>
      <c r="O23" s="1695" t="s">
        <v>1042</v>
      </c>
      <c r="P23" s="1696" t="s">
        <v>1040</v>
      </c>
      <c r="Q23" s="4448">
        <v>9.3257146002525353</v>
      </c>
      <c r="R23" s="4165" t="s">
        <v>199</v>
      </c>
      <c r="S23" s="4165">
        <v>1.9734414279362444</v>
      </c>
      <c r="T23" s="4166">
        <v>2.5451083605770384</v>
      </c>
      <c r="U23" s="4166" t="s">
        <v>199</v>
      </c>
      <c r="V23" s="4166" t="s">
        <v>274</v>
      </c>
      <c r="W23" s="4166" t="s">
        <v>199</v>
      </c>
      <c r="X23" s="4166">
        <v>86.155735611234178</v>
      </c>
      <c r="Y23" s="4166" t="s">
        <v>199</v>
      </c>
      <c r="Z23" s="4166" t="s">
        <v>199</v>
      </c>
      <c r="AA23" s="4166" t="s">
        <v>199</v>
      </c>
      <c r="AB23" s="4140" t="s">
        <v>199</v>
      </c>
    </row>
    <row r="24" spans="2:28" s="84" customFormat="1" ht="18" customHeight="1" thickBot="1" x14ac:dyDescent="0.25">
      <c r="B24" s="1646" t="s">
        <v>1062</v>
      </c>
      <c r="C24" s="4172">
        <f>C25</f>
        <v>74721.553</v>
      </c>
      <c r="D24" s="3270"/>
      <c r="E24" s="3270"/>
      <c r="F24" s="3270"/>
      <c r="G24" s="3270"/>
      <c r="H24" s="3270"/>
      <c r="I24" s="3271"/>
      <c r="J24" s="3268">
        <f t="shared" si="0"/>
        <v>0.34623226019299358</v>
      </c>
      <c r="K24" s="3248">
        <f>K25</f>
        <v>25.871012180320559</v>
      </c>
      <c r="M24" s="1659"/>
      <c r="N24" s="4512"/>
      <c r="O24" s="1697"/>
      <c r="P24" s="1696" t="s">
        <v>1041</v>
      </c>
      <c r="Q24" s="4449">
        <v>6.0213448368606928</v>
      </c>
      <c r="R24" s="4450" t="s">
        <v>199</v>
      </c>
      <c r="S24" s="4450">
        <v>3.6949161498917897</v>
      </c>
      <c r="T24" s="4451">
        <v>3.1164191769289329</v>
      </c>
      <c r="U24" s="4451" t="s">
        <v>199</v>
      </c>
      <c r="V24" s="4451" t="s">
        <v>274</v>
      </c>
      <c r="W24" s="4451" t="s">
        <v>199</v>
      </c>
      <c r="X24" s="4451">
        <v>87.167319836318597</v>
      </c>
      <c r="Y24" s="4451" t="s">
        <v>199</v>
      </c>
      <c r="Z24" s="4451" t="s">
        <v>199</v>
      </c>
      <c r="AA24" s="4451" t="s">
        <v>199</v>
      </c>
      <c r="AB24" s="4452" t="s">
        <v>199</v>
      </c>
    </row>
    <row r="25" spans="2:28" s="84" customFormat="1" ht="18" customHeight="1" x14ac:dyDescent="0.2">
      <c r="B25" s="1647" t="s">
        <v>1063</v>
      </c>
      <c r="C25" s="4172">
        <f>C26</f>
        <v>74721.553</v>
      </c>
      <c r="D25" s="3217"/>
      <c r="E25" s="3217"/>
      <c r="F25" s="3217"/>
      <c r="G25" s="3217"/>
      <c r="H25" s="3217"/>
      <c r="I25" s="3227"/>
      <c r="J25" s="3268">
        <f t="shared" si="0"/>
        <v>0.34623226019299358</v>
      </c>
      <c r="K25" s="3248">
        <f>K26</f>
        <v>25.871012180320559</v>
      </c>
      <c r="M25" s="1659"/>
      <c r="N25" s="4512"/>
      <c r="O25" s="1698" t="s">
        <v>1054</v>
      </c>
      <c r="P25" s="1694" t="s">
        <v>1039</v>
      </c>
      <c r="Q25" s="4453">
        <v>0.70000030204180264</v>
      </c>
      <c r="R25" s="4454" t="s">
        <v>199</v>
      </c>
      <c r="S25" s="4454">
        <v>3.9113964310022779E-2</v>
      </c>
      <c r="T25" s="4455">
        <v>2.0000000000000004E-2</v>
      </c>
      <c r="U25" s="4455" t="s">
        <v>199</v>
      </c>
      <c r="V25" s="4455" t="s">
        <v>274</v>
      </c>
      <c r="W25" s="4455" t="s">
        <v>199</v>
      </c>
      <c r="X25" s="4455">
        <v>1.0000000000000002E-2</v>
      </c>
      <c r="Y25" s="4455" t="s">
        <v>199</v>
      </c>
      <c r="Z25" s="4455" t="s">
        <v>199</v>
      </c>
      <c r="AA25" s="4455" t="s">
        <v>199</v>
      </c>
      <c r="AB25" s="4456" t="s">
        <v>199</v>
      </c>
    </row>
    <row r="26" spans="2:28" s="84" customFormat="1" ht="18" customHeight="1" x14ac:dyDescent="0.2">
      <c r="B26" s="2662" t="s">
        <v>967</v>
      </c>
      <c r="C26" s="3274">
        <f>Table3.A!C26</f>
        <v>74721.553</v>
      </c>
      <c r="D26" s="3290" t="s">
        <v>199</v>
      </c>
      <c r="E26" s="3290">
        <v>100</v>
      </c>
      <c r="F26" s="3290" t="s">
        <v>199</v>
      </c>
      <c r="G26" s="3272">
        <f>Table3.A!N10</f>
        <v>44.396505273479278</v>
      </c>
      <c r="H26" s="3014" t="s">
        <v>205</v>
      </c>
      <c r="I26" s="3104" t="s">
        <v>205</v>
      </c>
      <c r="J26" s="3268">
        <f t="shared" si="0"/>
        <v>0.34623226019299358</v>
      </c>
      <c r="K26" s="3244">
        <v>25.871012180320559</v>
      </c>
      <c r="M26" s="1659"/>
      <c r="N26" s="4512"/>
      <c r="O26" s="1699"/>
      <c r="P26" s="1696" t="s">
        <v>1040</v>
      </c>
      <c r="Q26" s="4448">
        <v>0.73685780191532368</v>
      </c>
      <c r="R26" s="4165" t="s">
        <v>199</v>
      </c>
      <c r="S26" s="4165">
        <v>6.6237001283096383E-2</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2137.922</v>
      </c>
      <c r="D27" s="3217"/>
      <c r="E27" s="3217"/>
      <c r="F27" s="3217"/>
      <c r="G27" s="3217"/>
      <c r="H27" s="3217"/>
      <c r="I27" s="3227"/>
      <c r="J27" s="3268">
        <f t="shared" si="0"/>
        <v>22.857375566387706</v>
      </c>
      <c r="K27" s="3248">
        <f>K28</f>
        <v>48.867286085642739</v>
      </c>
      <c r="M27" s="1659"/>
      <c r="N27" s="4513"/>
      <c r="O27" s="1700"/>
      <c r="P27" s="1696" t="s">
        <v>1041</v>
      </c>
      <c r="Q27" s="4449">
        <v>0.8</v>
      </c>
      <c r="R27" s="4450" t="s">
        <v>199</v>
      </c>
      <c r="S27" s="4450">
        <v>0.28222222222222221</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2137.922</v>
      </c>
      <c r="D28" s="3217"/>
      <c r="E28" s="3217"/>
      <c r="F28" s="3217"/>
      <c r="G28" s="3217"/>
      <c r="H28" s="3217"/>
      <c r="I28" s="3227"/>
      <c r="J28" s="3268">
        <f t="shared" si="0"/>
        <v>22.857375566387706</v>
      </c>
      <c r="K28" s="3248">
        <f>K29</f>
        <v>48.867286085642739</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2137.922</v>
      </c>
      <c r="D29" s="3290">
        <v>0.5202344870816954</v>
      </c>
      <c r="E29" s="3290">
        <v>99.479765512918306</v>
      </c>
      <c r="F29" s="3290" t="s">
        <v>199</v>
      </c>
      <c r="G29" s="3272">
        <f>Table3.A!O10</f>
        <v>57.431953309151851</v>
      </c>
      <c r="H29" s="3014">
        <v>0.39649980170792998</v>
      </c>
      <c r="I29" s="3104">
        <v>0.45</v>
      </c>
      <c r="J29" s="3268">
        <f t="shared" si="0"/>
        <v>22.857375566387706</v>
      </c>
      <c r="K29" s="3244">
        <v>48.867286085642739</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87449.487999999998</v>
      </c>
      <c r="D30" s="3217"/>
      <c r="E30" s="3217"/>
      <c r="F30" s="3217"/>
      <c r="G30" s="3217"/>
      <c r="H30" s="3217"/>
      <c r="I30" s="3227"/>
      <c r="J30" s="3268">
        <f t="shared" si="0"/>
        <v>4.8960677624220711E-2</v>
      </c>
      <c r="K30" s="3248">
        <f>SUM(K32:K39)</f>
        <v>4.2815861903711578</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5.0890000000000004</v>
      </c>
      <c r="D32" s="3290" t="s">
        <v>199</v>
      </c>
      <c r="E32" s="3290">
        <v>34.310358085392807</v>
      </c>
      <c r="F32" s="3290">
        <v>65.689641914607193</v>
      </c>
      <c r="G32" s="3274" t="s">
        <v>205</v>
      </c>
      <c r="H32" s="3274" t="s">
        <v>205</v>
      </c>
      <c r="I32" s="3274" t="s">
        <v>205</v>
      </c>
      <c r="J32" s="3268">
        <f t="shared" si="0"/>
        <v>8.629576980932061</v>
      </c>
      <c r="K32" s="3244">
        <v>4.3915917255963256E-2</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3.2629999999999999</v>
      </c>
      <c r="D33" s="3290" t="s">
        <v>199</v>
      </c>
      <c r="E33" s="3290">
        <v>21.475934970551833</v>
      </c>
      <c r="F33" s="3290">
        <v>78.524065029448167</v>
      </c>
      <c r="G33" s="3274" t="s">
        <v>205</v>
      </c>
      <c r="H33" s="3274" t="s">
        <v>205</v>
      </c>
      <c r="I33" s="3274" t="s">
        <v>205</v>
      </c>
      <c r="J33" s="3254">
        <f t="shared" si="0"/>
        <v>9.7299830582010678</v>
      </c>
      <c r="K33" s="3244">
        <v>3.1748934718910084E-2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38.395000000000003</v>
      </c>
      <c r="D34" s="3290" t="s">
        <v>199</v>
      </c>
      <c r="E34" s="3290">
        <v>98.888532958113444</v>
      </c>
      <c r="F34" s="3290">
        <v>1.1114670418865535</v>
      </c>
      <c r="G34" s="3274" t="s">
        <v>205</v>
      </c>
      <c r="H34" s="3274" t="s">
        <v>205</v>
      </c>
      <c r="I34" s="3274" t="s">
        <v>205</v>
      </c>
      <c r="J34" s="3254">
        <f t="shared" si="0"/>
        <v>1.0316339171529203</v>
      </c>
      <c r="K34" s="3244">
        <v>3.960958424908638E-2</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516.14300000000003</v>
      </c>
      <c r="D35" s="3290" t="s">
        <v>199</v>
      </c>
      <c r="E35" s="3290">
        <v>99.913589838474991</v>
      </c>
      <c r="F35" s="3290">
        <v>8.641016152500372E-2</v>
      </c>
      <c r="G35" s="3274" t="s">
        <v>205</v>
      </c>
      <c r="H35" s="3274" t="s">
        <v>205</v>
      </c>
      <c r="I35" s="3274" t="s">
        <v>205</v>
      </c>
      <c r="J35" s="3254">
        <f t="shared" si="0"/>
        <v>0.35820472932343683</v>
      </c>
      <c r="K35" s="3244">
        <v>0.18488486360718667</v>
      </c>
      <c r="M35" s="1667"/>
      <c r="N35" s="4512"/>
      <c r="O35" s="1695" t="s">
        <v>1042</v>
      </c>
      <c r="P35" s="1696" t="s">
        <v>1040</v>
      </c>
      <c r="Q35" s="4448">
        <v>1.7999999999999998</v>
      </c>
      <c r="R35" s="4165" t="s">
        <v>199</v>
      </c>
      <c r="S35" s="4165" t="s">
        <v>199</v>
      </c>
      <c r="T35" s="4166" t="s">
        <v>274</v>
      </c>
      <c r="U35" s="4166" t="s">
        <v>199</v>
      </c>
      <c r="V35" s="4166">
        <v>100</v>
      </c>
      <c r="W35" s="4166" t="s">
        <v>199</v>
      </c>
      <c r="X35" s="4166" t="s">
        <v>199</v>
      </c>
      <c r="Y35" s="4166">
        <v>19.000000000000004</v>
      </c>
      <c r="Z35" s="4166" t="s">
        <v>199</v>
      </c>
      <c r="AA35" s="4166" t="s">
        <v>199</v>
      </c>
      <c r="AB35" s="4140" t="s">
        <v>199</v>
      </c>
    </row>
    <row r="36" spans="2:28" s="84" customFormat="1" ht="18" customHeight="1" thickBot="1" x14ac:dyDescent="0.25">
      <c r="B36" s="1647" t="s">
        <v>1071</v>
      </c>
      <c r="C36" s="3274">
        <f>Table3.A!C36</f>
        <v>254.21799999999999</v>
      </c>
      <c r="D36" s="3290" t="s">
        <v>199</v>
      </c>
      <c r="E36" s="3290">
        <v>97.628856714567107</v>
      </c>
      <c r="F36" s="3290">
        <v>2.3711432854328907</v>
      </c>
      <c r="G36" s="3274" t="s">
        <v>205</v>
      </c>
      <c r="H36" s="3274" t="s">
        <v>205</v>
      </c>
      <c r="I36" s="3274" t="s">
        <v>205</v>
      </c>
      <c r="J36" s="3254">
        <f t="shared" si="0"/>
        <v>3.2028388739022913</v>
      </c>
      <c r="K36" s="3244">
        <v>0.81421929284569261</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0.86099999999999999</v>
      </c>
      <c r="D37" s="3290" t="s">
        <v>199</v>
      </c>
      <c r="E37" s="3290">
        <v>96.728275269248215</v>
      </c>
      <c r="F37" s="3290">
        <v>3.2717247307517856</v>
      </c>
      <c r="G37" s="3274" t="s">
        <v>205</v>
      </c>
      <c r="H37" s="3274" t="s">
        <v>205</v>
      </c>
      <c r="I37" s="3274" t="s">
        <v>205</v>
      </c>
      <c r="J37" s="3254">
        <f t="shared" si="0"/>
        <v>1.0935436050982703</v>
      </c>
      <c r="K37" s="3244">
        <v>9.4154104398961084E-4</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86489.834000000003</v>
      </c>
      <c r="D38" s="3290">
        <v>0.87461937586278005</v>
      </c>
      <c r="E38" s="3290">
        <v>99.125380624137222</v>
      </c>
      <c r="F38" s="3290" t="s">
        <v>199</v>
      </c>
      <c r="G38" s="3274" t="s">
        <v>205</v>
      </c>
      <c r="H38" s="3274" t="s">
        <v>205</v>
      </c>
      <c r="I38" s="3274" t="s">
        <v>205</v>
      </c>
      <c r="J38" s="3254">
        <f t="shared" si="0"/>
        <v>3.6023177575853625E-2</v>
      </c>
      <c r="K38" s="3244">
        <v>3.1156386486881025</v>
      </c>
      <c r="M38" s="1659"/>
      <c r="N38" s="4512"/>
      <c r="O38" s="1699"/>
      <c r="P38" s="1696" t="s">
        <v>1040</v>
      </c>
      <c r="Q38" s="4448">
        <v>0.7622982039199564</v>
      </c>
      <c r="R38" s="4165" t="s">
        <v>199</v>
      </c>
      <c r="S38" s="4165" t="s">
        <v>199</v>
      </c>
      <c r="T38" s="4166" t="s">
        <v>274</v>
      </c>
      <c r="U38" s="4166" t="s">
        <v>199</v>
      </c>
      <c r="V38" s="4166">
        <v>2.1468265333363719E-2</v>
      </c>
      <c r="W38" s="4166" t="s">
        <v>199</v>
      </c>
      <c r="X38" s="4166" t="s">
        <v>199</v>
      </c>
      <c r="Y38" s="4166">
        <v>9.9999999999999985E-3</v>
      </c>
      <c r="Z38" s="4166" t="s">
        <v>199</v>
      </c>
      <c r="AA38" s="4166" t="s">
        <v>199</v>
      </c>
      <c r="AB38" s="4140" t="s">
        <v>199</v>
      </c>
    </row>
    <row r="39" spans="2:28" s="84" customFormat="1" ht="18" customHeight="1" thickBot="1" x14ac:dyDescent="0.25">
      <c r="B39" s="1647" t="s">
        <v>1074</v>
      </c>
      <c r="C39" s="4172">
        <f>SUM(C41:C45)</f>
        <v>141.685</v>
      </c>
      <c r="D39" s="3261"/>
      <c r="E39" s="3261"/>
      <c r="F39" s="3261"/>
      <c r="G39" s="3261"/>
      <c r="H39" s="3261"/>
      <c r="I39" s="3262"/>
      <c r="J39" s="3254">
        <f t="shared" si="0"/>
        <v>0.35732369666673458</v>
      </c>
      <c r="K39" s="3248">
        <f>SUM(K41:K45)</f>
        <v>5.0627407962226291E-2</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73</v>
      </c>
      <c r="R40" s="4445" t="s">
        <v>199</v>
      </c>
      <c r="S40" s="4445" t="s">
        <v>199</v>
      </c>
      <c r="T40" s="4446" t="s">
        <v>274</v>
      </c>
      <c r="U40" s="4446" t="s">
        <v>274</v>
      </c>
      <c r="V40" s="4446">
        <v>23</v>
      </c>
      <c r="W40" s="4446" t="s">
        <v>274</v>
      </c>
      <c r="X40" s="4446" t="s">
        <v>199</v>
      </c>
      <c r="Y40" s="4446" t="s">
        <v>199</v>
      </c>
      <c r="Z40" s="4446" t="s">
        <v>199</v>
      </c>
      <c r="AA40" s="4446" t="s">
        <v>199</v>
      </c>
      <c r="AB40" s="4447">
        <v>23</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65.410309398492728</v>
      </c>
      <c r="R41" s="4165" t="s">
        <v>199</v>
      </c>
      <c r="S41" s="4165" t="s">
        <v>199</v>
      </c>
      <c r="T41" s="4166" t="s">
        <v>274</v>
      </c>
      <c r="U41" s="4166" t="s">
        <v>274</v>
      </c>
      <c r="V41" s="4166">
        <v>27.225657838514255</v>
      </c>
      <c r="W41" s="4166" t="s">
        <v>274</v>
      </c>
      <c r="X41" s="4166" t="s">
        <v>199</v>
      </c>
      <c r="Y41" s="4166" t="s">
        <v>199</v>
      </c>
      <c r="Z41" s="4166">
        <v>5.9778303885735777</v>
      </c>
      <c r="AA41" s="4166" t="s">
        <v>199</v>
      </c>
      <c r="AB41" s="4140">
        <v>22.74987710422111</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9.673</v>
      </c>
      <c r="D43" s="3290" t="s">
        <v>199</v>
      </c>
      <c r="E43" s="3290">
        <v>100</v>
      </c>
      <c r="F43" s="3290" t="s">
        <v>199</v>
      </c>
      <c r="G43" s="3274" t="s">
        <v>205</v>
      </c>
      <c r="H43" s="3274" t="s">
        <v>205</v>
      </c>
      <c r="I43" s="3274" t="s">
        <v>205</v>
      </c>
      <c r="J43" s="3254">
        <f t="shared" si="0"/>
        <v>0.35732875778301937</v>
      </c>
      <c r="K43" s="3244">
        <v>3.4564410740351463E-3</v>
      </c>
      <c r="M43" s="4516"/>
      <c r="N43" s="4517"/>
      <c r="O43" s="1698" t="s">
        <v>1054</v>
      </c>
      <c r="P43" s="1694" t="s">
        <v>1039</v>
      </c>
      <c r="Q43" s="4444">
        <v>0.7</v>
      </c>
      <c r="R43" s="4445" t="s">
        <v>199</v>
      </c>
      <c r="S43" s="4445" t="s">
        <v>199</v>
      </c>
      <c r="T43" s="4446" t="s">
        <v>274</v>
      </c>
      <c r="U43" s="4446" t="s">
        <v>274</v>
      </c>
      <c r="V43" s="4446">
        <v>1.9130434782608695E-2</v>
      </c>
      <c r="W43" s="4446" t="s">
        <v>274</v>
      </c>
      <c r="X43" s="4446" t="s">
        <v>199</v>
      </c>
      <c r="Y43" s="4446" t="s">
        <v>199</v>
      </c>
      <c r="Z43" s="4446" t="s">
        <v>199</v>
      </c>
      <c r="AA43" s="4446" t="s">
        <v>199</v>
      </c>
      <c r="AB43" s="4447">
        <v>3.8695652173913041E-2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0.75385426872505534</v>
      </c>
      <c r="R44" s="4165" t="s">
        <v>199</v>
      </c>
      <c r="S44" s="4165" t="s">
        <v>199</v>
      </c>
      <c r="T44" s="4166" t="s">
        <v>274</v>
      </c>
      <c r="U44" s="4166" t="s">
        <v>274</v>
      </c>
      <c r="V44" s="4166">
        <v>1.914248587228308E-2</v>
      </c>
      <c r="W44" s="4166" t="s">
        <v>274</v>
      </c>
      <c r="X44" s="4166" t="s">
        <v>199</v>
      </c>
      <c r="Y44" s="4166" t="s">
        <v>199</v>
      </c>
      <c r="Z44" s="4166">
        <v>0.10000000000000002</v>
      </c>
      <c r="AA44" s="4166" t="s">
        <v>199</v>
      </c>
      <c r="AB44" s="4140">
        <v>3.9436675621454156E-2</v>
      </c>
    </row>
    <row r="45" spans="2:28" s="84" customFormat="1" ht="18" customHeight="1" thickBot="1" x14ac:dyDescent="0.25">
      <c r="B45" s="2663" t="s">
        <v>1079</v>
      </c>
      <c r="C45" s="4172">
        <f>C46</f>
        <v>132.012</v>
      </c>
      <c r="D45" s="3261"/>
      <c r="E45" s="3261"/>
      <c r="F45" s="3261"/>
      <c r="G45" s="3261"/>
      <c r="H45" s="3261"/>
      <c r="I45" s="3262"/>
      <c r="J45" s="3254">
        <f t="shared" si="0"/>
        <v>0.3573233258203129</v>
      </c>
      <c r="K45" s="3248">
        <f>K46</f>
        <v>4.7170966888191147E-2</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132.012</v>
      </c>
      <c r="D46" s="3021" t="s">
        <v>199</v>
      </c>
      <c r="E46" s="3021">
        <v>100</v>
      </c>
      <c r="F46" s="3021" t="s">
        <v>199</v>
      </c>
      <c r="G46" s="3021" t="s">
        <v>205</v>
      </c>
      <c r="H46" s="3021" t="s">
        <v>205</v>
      </c>
      <c r="I46" s="3275" t="s">
        <v>205</v>
      </c>
      <c r="J46" s="3276">
        <f t="shared" si="0"/>
        <v>0.3573233258203129</v>
      </c>
      <c r="K46" s="3245">
        <v>4.7170966888191147E-2</v>
      </c>
      <c r="M46" s="4514" t="s">
        <v>1080</v>
      </c>
      <c r="N46" s="4515"/>
      <c r="O46" s="1693" t="s">
        <v>1051</v>
      </c>
      <c r="P46" s="1694" t="s">
        <v>1039</v>
      </c>
      <c r="Q46" s="4444" t="s">
        <v>199</v>
      </c>
      <c r="R46" s="4445" t="s">
        <v>199</v>
      </c>
      <c r="S46" s="4445" t="s">
        <v>199</v>
      </c>
      <c r="T46" s="4446">
        <v>43.290904639244275</v>
      </c>
      <c r="U46" s="4446" t="s">
        <v>199</v>
      </c>
      <c r="V46" s="4446" t="s">
        <v>199</v>
      </c>
      <c r="W46" s="4446" t="s">
        <v>274</v>
      </c>
      <c r="X46" s="4446">
        <v>1.9256725318727403</v>
      </c>
      <c r="Y46" s="4446">
        <v>18.788020916261903</v>
      </c>
      <c r="Z46" s="4446">
        <v>0.23112797512409433</v>
      </c>
      <c r="AA46" s="4446" t="s">
        <v>199</v>
      </c>
      <c r="AB46" s="4447">
        <v>97.311246282244852</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42.885311837387547</v>
      </c>
      <c r="U47" s="4166" t="s">
        <v>199</v>
      </c>
      <c r="V47" s="4166" t="s">
        <v>199</v>
      </c>
      <c r="W47" s="4166" t="s">
        <v>274</v>
      </c>
      <c r="X47" s="4166">
        <v>2.712288672265637</v>
      </c>
      <c r="Y47" s="4166">
        <v>18.863634549547641</v>
      </c>
      <c r="Z47" s="4166">
        <v>0.21365118362183821</v>
      </c>
      <c r="AA47" s="4166" t="s">
        <v>199</v>
      </c>
      <c r="AB47" s="4140">
        <v>97.287711327734385</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0.02</v>
      </c>
      <c r="U50" s="4166" t="s">
        <v>199</v>
      </c>
      <c r="V50" s="4166" t="s">
        <v>199</v>
      </c>
      <c r="W50" s="4166" t="s">
        <v>274</v>
      </c>
      <c r="X50" s="4166">
        <v>1.4141213779100182E-2</v>
      </c>
      <c r="Y50" s="4166">
        <v>0.01</v>
      </c>
      <c r="Z50" s="4166">
        <v>9.9999999999999992E-2</v>
      </c>
      <c r="AA50" s="4166" t="s">
        <v>199</v>
      </c>
      <c r="AB50" s="4140">
        <v>1.4999999999999998E-2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28418.421999999999</v>
      </c>
      <c r="D10" s="3453"/>
      <c r="E10" s="3454"/>
      <c r="F10" s="3441">
        <f>F15</f>
        <v>32761028.989576366</v>
      </c>
      <c r="G10" s="3441" t="str">
        <f t="shared" ref="G10:R10" si="0">G15</f>
        <v>NO</v>
      </c>
      <c r="H10" s="3441">
        <f t="shared" si="0"/>
        <v>7399471.0932841133</v>
      </c>
      <c r="I10" s="3441">
        <f t="shared" si="0"/>
        <v>19674232.139589414</v>
      </c>
      <c r="J10" s="3441" t="str">
        <f t="shared" si="0"/>
        <v>NO</v>
      </c>
      <c r="K10" s="3441">
        <f t="shared" si="0"/>
        <v>54668683.452995859</v>
      </c>
      <c r="L10" s="3441" t="str">
        <f t="shared" si="0"/>
        <v>NO</v>
      </c>
      <c r="M10" s="3441">
        <f t="shared" si="0"/>
        <v>1182397371.1540468</v>
      </c>
      <c r="N10" s="3441">
        <f t="shared" si="0"/>
        <v>7823525.9515913315</v>
      </c>
      <c r="O10" s="3441" t="str">
        <f t="shared" si="0"/>
        <v>NO</v>
      </c>
      <c r="P10" s="3441" t="str">
        <f t="shared" si="0"/>
        <v>NO</v>
      </c>
      <c r="Q10" s="3441" t="str">
        <f t="shared" si="0"/>
        <v>NO</v>
      </c>
      <c r="R10" s="3441">
        <f t="shared" si="0"/>
        <v>1304724312.7810838</v>
      </c>
      <c r="S10" s="2670"/>
      <c r="T10" s="2671"/>
      <c r="U10" s="3419">
        <f>IF(SUM(X10)=0,"NA",X10*1000/C10)</f>
        <v>2.6089668271519782E-2</v>
      </c>
      <c r="V10" s="3411"/>
      <c r="W10" s="3412"/>
      <c r="X10" s="3278">
        <f t="shared" ref="X10" si="1">X15</f>
        <v>0.74142720278005969</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28418.421999999999</v>
      </c>
      <c r="D15" s="3456"/>
      <c r="E15" s="3456"/>
      <c r="F15" s="2668">
        <f>F20</f>
        <v>32761028.989576366</v>
      </c>
      <c r="G15" s="2668" t="str">
        <f t="shared" ref="G15:R15" si="2">G20</f>
        <v>NO</v>
      </c>
      <c r="H15" s="2668">
        <f t="shared" si="2"/>
        <v>7399471.0932841133</v>
      </c>
      <c r="I15" s="2668">
        <f t="shared" si="2"/>
        <v>19674232.139589414</v>
      </c>
      <c r="J15" s="2668" t="str">
        <f t="shared" si="2"/>
        <v>NO</v>
      </c>
      <c r="K15" s="2668">
        <f t="shared" si="2"/>
        <v>54668683.452995859</v>
      </c>
      <c r="L15" s="2668" t="str">
        <f t="shared" si="2"/>
        <v>NO</v>
      </c>
      <c r="M15" s="2668">
        <f t="shared" si="2"/>
        <v>1182397371.1540468</v>
      </c>
      <c r="N15" s="2668">
        <f t="shared" si="2"/>
        <v>7823525.9515913315</v>
      </c>
      <c r="O15" s="2668" t="str">
        <f t="shared" si="2"/>
        <v>NO</v>
      </c>
      <c r="P15" s="2668" t="str">
        <f t="shared" si="2"/>
        <v>NO</v>
      </c>
      <c r="Q15" s="2668" t="str">
        <f t="shared" si="2"/>
        <v>NO</v>
      </c>
      <c r="R15" s="2668">
        <f t="shared" si="2"/>
        <v>1304724312.7810838</v>
      </c>
      <c r="S15" s="2676"/>
      <c r="T15" s="2677"/>
      <c r="U15" s="3419">
        <f>IF(SUM(X15)=0,"NA",X15*1000/C15)</f>
        <v>2.6089668271519782E-2</v>
      </c>
      <c r="V15" s="3417"/>
      <c r="W15" s="3418"/>
      <c r="X15" s="3281">
        <f t="shared" ref="X15" si="3">X20</f>
        <v>0.74142720278005969</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28418.421999999999</v>
      </c>
      <c r="D20" s="3455"/>
      <c r="E20" s="3455"/>
      <c r="F20" s="2668">
        <f>IF(SUM(F21:F23)=0,"NO",SUM(F21:F23))</f>
        <v>32761028.989576366</v>
      </c>
      <c r="G20" s="2668" t="str">
        <f t="shared" ref="G20:Q20" si="6">IF(SUM(G21:G23)=0,"NO",SUM(G21:G23))</f>
        <v>NO</v>
      </c>
      <c r="H20" s="2668">
        <f t="shared" si="6"/>
        <v>7399471.0932841133</v>
      </c>
      <c r="I20" s="2668">
        <f t="shared" si="6"/>
        <v>19674232.139589414</v>
      </c>
      <c r="J20" s="2668" t="str">
        <f t="shared" si="6"/>
        <v>NO</v>
      </c>
      <c r="K20" s="2668">
        <f t="shared" si="6"/>
        <v>54668683.452995859</v>
      </c>
      <c r="L20" s="2668" t="str">
        <f t="shared" si="6"/>
        <v>NO</v>
      </c>
      <c r="M20" s="2668">
        <f t="shared" si="6"/>
        <v>1182397371.1540468</v>
      </c>
      <c r="N20" s="2668">
        <f t="shared" si="6"/>
        <v>7823525.9515913315</v>
      </c>
      <c r="O20" s="2668" t="str">
        <f t="shared" si="6"/>
        <v>NO</v>
      </c>
      <c r="P20" s="2668" t="str">
        <f t="shared" si="6"/>
        <v>NO</v>
      </c>
      <c r="Q20" s="2668" t="str">
        <f t="shared" si="6"/>
        <v>NO</v>
      </c>
      <c r="R20" s="3445">
        <f>IF(SUM(F20:Q20)=0,"NO",SUM(F20:Q20))</f>
        <v>1304724312.7810838</v>
      </c>
      <c r="S20" s="2676"/>
      <c r="T20" s="2677"/>
      <c r="U20" s="3419">
        <f t="shared" si="4"/>
        <v>2.6089668271519782E-2</v>
      </c>
      <c r="V20" s="3417"/>
      <c r="W20" s="3418"/>
      <c r="X20" s="3281">
        <f t="shared" ref="X20" si="7">IF(SUM(X21:X23)=0,"NO",SUM(X21:X23))</f>
        <v>0.74142720278005969</v>
      </c>
      <c r="Y20" s="3142"/>
      <c r="Z20" s="3420"/>
    </row>
    <row r="21" spans="2:26" ht="18" customHeight="1" x14ac:dyDescent="0.2">
      <c r="B21" s="2666" t="s">
        <v>994</v>
      </c>
      <c r="C21" s="3458">
        <f>Table3.A!C21</f>
        <v>2733.19</v>
      </c>
      <c r="D21" s="3274">
        <v>130.38807921381758</v>
      </c>
      <c r="E21" s="3457">
        <f>'Table3.B(a)'!G21</f>
        <v>464.95755176843812</v>
      </c>
      <c r="F21" s="3442">
        <v>31776992.687422439</v>
      </c>
      <c r="G21" s="3442" t="s">
        <v>199</v>
      </c>
      <c r="H21" s="3442">
        <v>7399471.0932841133</v>
      </c>
      <c r="I21" s="3442">
        <v>8556589.997854365</v>
      </c>
      <c r="J21" s="3442" t="s">
        <v>199</v>
      </c>
      <c r="K21" s="3442" t="s">
        <v>274</v>
      </c>
      <c r="L21" s="3442" t="s">
        <v>199</v>
      </c>
      <c r="M21" s="3442">
        <v>308642340.44785315</v>
      </c>
      <c r="N21" s="3442" t="s">
        <v>199</v>
      </c>
      <c r="O21" s="3442" t="s">
        <v>199</v>
      </c>
      <c r="P21" s="3442" t="s">
        <v>199</v>
      </c>
      <c r="Q21" s="3442" t="s">
        <v>199</v>
      </c>
      <c r="R21" s="3445">
        <f t="shared" ref="R21:R46" si="8">IF(SUM(F21:Q21)=0,"NO",SUM(F21:Q21))</f>
        <v>356375394.22641408</v>
      </c>
      <c r="S21" s="2676"/>
      <c r="T21" s="2677"/>
      <c r="U21" s="3419">
        <f t="shared" si="4"/>
        <v>2.459775938853187E-2</v>
      </c>
      <c r="V21" s="3417"/>
      <c r="W21" s="3418"/>
      <c r="X21" s="3282">
        <v>6.7230349983141424E-2</v>
      </c>
      <c r="Y21" s="3142"/>
      <c r="Z21" s="3420"/>
    </row>
    <row r="22" spans="2:26" ht="18" customHeight="1" x14ac:dyDescent="0.2">
      <c r="B22" s="2666" t="s">
        <v>965</v>
      </c>
      <c r="C22" s="3458">
        <f>Table3.A!C22</f>
        <v>24912.824000000001</v>
      </c>
      <c r="D22" s="3274">
        <v>35.072500798762263</v>
      </c>
      <c r="E22" s="3457">
        <f>'Table3.B(a)'!G22</f>
        <v>364.10256643430694</v>
      </c>
      <c r="F22" s="3446" t="s">
        <v>199</v>
      </c>
      <c r="G22" s="3442" t="s">
        <v>199</v>
      </c>
      <c r="H22" s="3446" t="s">
        <v>199</v>
      </c>
      <c r="I22" s="3446" t="s">
        <v>199</v>
      </c>
      <c r="J22" s="3446" t="s">
        <v>199</v>
      </c>
      <c r="K22" s="3446" t="s">
        <v>199</v>
      </c>
      <c r="L22" s="3446" t="s">
        <v>199</v>
      </c>
      <c r="M22" s="3446">
        <v>873755030.70619357</v>
      </c>
      <c r="N22" s="3446" t="s">
        <v>199</v>
      </c>
      <c r="O22" s="3446" t="s">
        <v>199</v>
      </c>
      <c r="P22" s="3446" t="s">
        <v>199</v>
      </c>
      <c r="Q22" s="3446" t="s">
        <v>199</v>
      </c>
      <c r="R22" s="3445">
        <f t="shared" si="8"/>
        <v>873755030.70619357</v>
      </c>
      <c r="S22" s="2676"/>
      <c r="T22" s="2677"/>
      <c r="U22" s="3419" t="str">
        <f>IF(SUM(X22)=0,"NA",X22*1000/C22)</f>
        <v>NA</v>
      </c>
      <c r="V22" s="3417"/>
      <c r="W22" s="3418"/>
      <c r="X22" s="3282" t="s">
        <v>205</v>
      </c>
      <c r="Y22" s="3142"/>
      <c r="Z22" s="3420"/>
    </row>
    <row r="23" spans="2:26" ht="18" customHeight="1" x14ac:dyDescent="0.2">
      <c r="B23" s="2666" t="s">
        <v>966</v>
      </c>
      <c r="C23" s="3458">
        <f>Table3.A!C23</f>
        <v>772.40800000000002</v>
      </c>
      <c r="D23" s="3274">
        <v>70.776950942183063</v>
      </c>
      <c r="E23" s="3457">
        <f>'Table3.B(a)'!G23</f>
        <v>524.73704034096545</v>
      </c>
      <c r="F23" s="3446">
        <v>984036.30215392553</v>
      </c>
      <c r="G23" s="3442" t="s">
        <v>199</v>
      </c>
      <c r="H23" s="3446" t="s">
        <v>199</v>
      </c>
      <c r="I23" s="3446">
        <v>11117642.141735051</v>
      </c>
      <c r="J23" s="3446" t="s">
        <v>274</v>
      </c>
      <c r="K23" s="3446">
        <v>54668683.452995859</v>
      </c>
      <c r="L23" s="3446" t="s">
        <v>199</v>
      </c>
      <c r="M23" s="3446" t="s">
        <v>199</v>
      </c>
      <c r="N23" s="3446">
        <v>7823525.9515913315</v>
      </c>
      <c r="O23" s="3446" t="s">
        <v>199</v>
      </c>
      <c r="P23" s="3446" t="s">
        <v>199</v>
      </c>
      <c r="Q23" s="3446" t="s">
        <v>199</v>
      </c>
      <c r="R23" s="3445">
        <f t="shared" si="8"/>
        <v>74593887.848476171</v>
      </c>
      <c r="S23" s="2676"/>
      <c r="T23" s="2677"/>
      <c r="U23" s="3419">
        <f t="shared" ref="U23:U30" si="9">IF(SUM(X23)=0,"NA",X23*1000/C23)</f>
        <v>0.87285068616187078</v>
      </c>
      <c r="V23" s="3417"/>
      <c r="W23" s="3418"/>
      <c r="X23" s="3282">
        <v>0.67419685279691832</v>
      </c>
      <c r="Y23" s="3142"/>
      <c r="Z23" s="3420"/>
    </row>
    <row r="24" spans="2:26" ht="18" customHeight="1" x14ac:dyDescent="0.2">
      <c r="B24" s="349" t="s">
        <v>1062</v>
      </c>
      <c r="C24" s="3281">
        <f>C25</f>
        <v>74721.553</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515509091.00144464</v>
      </c>
      <c r="N24" s="2668" t="str">
        <f t="shared" si="10"/>
        <v>NO</v>
      </c>
      <c r="O24" s="2668" t="str">
        <f t="shared" si="10"/>
        <v>NO</v>
      </c>
      <c r="P24" s="2668" t="str">
        <f t="shared" si="10"/>
        <v>NO</v>
      </c>
      <c r="Q24" s="2668" t="str">
        <f t="shared" si="10"/>
        <v>NO</v>
      </c>
      <c r="R24" s="3445">
        <f t="shared" si="8"/>
        <v>515509091.00144464</v>
      </c>
      <c r="S24" s="2676"/>
      <c r="T24" s="2677"/>
      <c r="U24" s="3419" t="str">
        <f t="shared" si="9"/>
        <v>NA</v>
      </c>
      <c r="V24" s="3417"/>
      <c r="W24" s="3418"/>
      <c r="X24" s="3281" t="str">
        <f t="shared" ref="X24:X25" si="11">X25</f>
        <v>NA</v>
      </c>
      <c r="Y24" s="3142"/>
      <c r="Z24" s="3420"/>
    </row>
    <row r="25" spans="2:26" ht="18" customHeight="1" x14ac:dyDescent="0.2">
      <c r="B25" s="348" t="s">
        <v>1063</v>
      </c>
      <c r="C25" s="3281">
        <f>C26</f>
        <v>74721.553</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515509091.00144464</v>
      </c>
      <c r="N25" s="2668" t="str">
        <f t="shared" si="10"/>
        <v>NO</v>
      </c>
      <c r="O25" s="2668" t="str">
        <f t="shared" si="10"/>
        <v>NO</v>
      </c>
      <c r="P25" s="2668" t="str">
        <f t="shared" si="10"/>
        <v>NO</v>
      </c>
      <c r="Q25" s="2668" t="str">
        <f t="shared" si="10"/>
        <v>NO</v>
      </c>
      <c r="R25" s="3445">
        <f t="shared" si="8"/>
        <v>515509091.00144464</v>
      </c>
      <c r="S25" s="2676"/>
      <c r="T25" s="2677"/>
      <c r="U25" s="3419" t="str">
        <f t="shared" si="9"/>
        <v>NA</v>
      </c>
      <c r="V25" s="3417"/>
      <c r="W25" s="3418"/>
      <c r="X25" s="3281" t="str">
        <f t="shared" si="11"/>
        <v>NA</v>
      </c>
      <c r="Y25" s="3142"/>
      <c r="Z25" s="3420"/>
    </row>
    <row r="26" spans="2:26" ht="18" customHeight="1" x14ac:dyDescent="0.2">
      <c r="B26" s="2661" t="s">
        <v>967</v>
      </c>
      <c r="C26" s="3458">
        <f>Table3.A!C26</f>
        <v>74721.553</v>
      </c>
      <c r="D26" s="3274">
        <v>6.899068211302362</v>
      </c>
      <c r="E26" s="3457">
        <f>'Table3.B(a)'!G26</f>
        <v>44.396505273479278</v>
      </c>
      <c r="F26" s="3446" t="s">
        <v>199</v>
      </c>
      <c r="G26" s="3442" t="s">
        <v>199</v>
      </c>
      <c r="H26" s="3446" t="s">
        <v>199</v>
      </c>
      <c r="I26" s="3446" t="s">
        <v>199</v>
      </c>
      <c r="J26" s="3446" t="s">
        <v>199</v>
      </c>
      <c r="K26" s="3446" t="s">
        <v>199</v>
      </c>
      <c r="L26" s="3446" t="s">
        <v>199</v>
      </c>
      <c r="M26" s="3442">
        <v>515509091.00144464</v>
      </c>
      <c r="N26" s="3446" t="s">
        <v>199</v>
      </c>
      <c r="O26" s="3446" t="s">
        <v>199</v>
      </c>
      <c r="P26" s="3446" t="s">
        <v>199</v>
      </c>
      <c r="Q26" s="3446" t="s">
        <v>199</v>
      </c>
      <c r="R26" s="3445">
        <f t="shared" si="8"/>
        <v>515509091.00144464</v>
      </c>
      <c r="S26" s="2676"/>
      <c r="T26" s="2677"/>
      <c r="U26" s="3419" t="str">
        <f t="shared" si="9"/>
        <v>NA</v>
      </c>
      <c r="V26" s="3417"/>
      <c r="W26" s="3418"/>
      <c r="X26" s="3282" t="s">
        <v>205</v>
      </c>
      <c r="Y26" s="3142"/>
      <c r="Z26" s="3420"/>
    </row>
    <row r="27" spans="2:26" ht="18" customHeight="1" x14ac:dyDescent="0.2">
      <c r="B27" s="349" t="s">
        <v>1064</v>
      </c>
      <c r="C27" s="3281">
        <f>C28</f>
        <v>2137.922</v>
      </c>
      <c r="D27" s="3455"/>
      <c r="E27" s="3455"/>
      <c r="F27" s="2668">
        <f>F28</f>
        <v>18353138.340088814</v>
      </c>
      <c r="G27" s="2668" t="str">
        <f t="shared" ref="G27:G28" si="12">G28</f>
        <v>NO</v>
      </c>
      <c r="H27" s="2668" t="str">
        <f t="shared" ref="H27:H28" si="13">H28</f>
        <v>NO</v>
      </c>
      <c r="I27" s="2668" t="str">
        <f t="shared" ref="I27:I28" si="14">I28</f>
        <v>IE</v>
      </c>
      <c r="J27" s="2668" t="str">
        <f t="shared" ref="J27:J28" si="15">J28</f>
        <v>IE</v>
      </c>
      <c r="K27" s="2668">
        <f t="shared" ref="K27:K28" si="16">K28</f>
        <v>6673073.436221608</v>
      </c>
      <c r="L27" s="2668" t="str">
        <f t="shared" ref="L27:L28" si="17">L28</f>
        <v>IE</v>
      </c>
      <c r="M27" s="2668" t="str">
        <f t="shared" ref="M27:M28" si="18">M28</f>
        <v>NO</v>
      </c>
      <c r="N27" s="2668" t="str">
        <f t="shared" ref="N27:N28" si="19">N28</f>
        <v>NO</v>
      </c>
      <c r="O27" s="2668">
        <f t="shared" ref="O27:O28" si="20">O28</f>
        <v>1559598.5856197521</v>
      </c>
      <c r="P27" s="2668" t="str">
        <f t="shared" ref="P27:P28" si="21">P28</f>
        <v>NO</v>
      </c>
      <c r="Q27" s="2668">
        <f t="shared" ref="Q27:Q28" si="22">Q28</f>
        <v>5983068.525789706</v>
      </c>
      <c r="R27" s="3445">
        <f t="shared" si="8"/>
        <v>32568878.887719877</v>
      </c>
      <c r="S27" s="2676"/>
      <c r="T27" s="2677"/>
      <c r="U27" s="3419">
        <f t="shared" si="9"/>
        <v>8.0940488856262843E-2</v>
      </c>
      <c r="V27" s="3417"/>
      <c r="W27" s="3418"/>
      <c r="X27" s="3281">
        <f t="shared" ref="X27:X28" si="23">X28</f>
        <v>0.17304445181655917</v>
      </c>
      <c r="Y27" s="3142"/>
      <c r="Z27" s="3420"/>
    </row>
    <row r="28" spans="2:26" ht="18" customHeight="1" x14ac:dyDescent="0.2">
      <c r="B28" s="348" t="s">
        <v>1065</v>
      </c>
      <c r="C28" s="3281">
        <f>C29</f>
        <v>2137.922</v>
      </c>
      <c r="D28" s="3455"/>
      <c r="E28" s="3455"/>
      <c r="F28" s="2668">
        <f>F29</f>
        <v>18353138.340088814</v>
      </c>
      <c r="G28" s="2668" t="str">
        <f t="shared" si="12"/>
        <v>NO</v>
      </c>
      <c r="H28" s="2668" t="str">
        <f t="shared" si="13"/>
        <v>NO</v>
      </c>
      <c r="I28" s="2668" t="str">
        <f t="shared" si="14"/>
        <v>IE</v>
      </c>
      <c r="J28" s="2668" t="str">
        <f t="shared" si="15"/>
        <v>IE</v>
      </c>
      <c r="K28" s="2668">
        <f t="shared" si="16"/>
        <v>6673073.436221608</v>
      </c>
      <c r="L28" s="2668" t="str">
        <f t="shared" si="17"/>
        <v>IE</v>
      </c>
      <c r="M28" s="2668" t="str">
        <f t="shared" si="18"/>
        <v>NO</v>
      </c>
      <c r="N28" s="2668" t="str">
        <f t="shared" si="19"/>
        <v>NO</v>
      </c>
      <c r="O28" s="2668">
        <f t="shared" si="20"/>
        <v>1559598.5856197521</v>
      </c>
      <c r="P28" s="2668" t="str">
        <f t="shared" si="21"/>
        <v>NO</v>
      </c>
      <c r="Q28" s="2668">
        <f t="shared" si="22"/>
        <v>5983068.525789706</v>
      </c>
      <c r="R28" s="3445">
        <f t="shared" si="8"/>
        <v>32568878.887719877</v>
      </c>
      <c r="S28" s="2676"/>
      <c r="T28" s="2677"/>
      <c r="U28" s="3419">
        <f t="shared" si="9"/>
        <v>8.0940488856262843E-2</v>
      </c>
      <c r="V28" s="3417"/>
      <c r="W28" s="3418"/>
      <c r="X28" s="3281">
        <f t="shared" si="23"/>
        <v>0.17304445181655917</v>
      </c>
      <c r="Y28" s="3142"/>
      <c r="Z28" s="3420"/>
    </row>
    <row r="29" spans="2:26" ht="18" customHeight="1" x14ac:dyDescent="0.2">
      <c r="B29" s="2661" t="s">
        <v>968</v>
      </c>
      <c r="C29" s="3458">
        <f>Table3.A!C29</f>
        <v>2137.922</v>
      </c>
      <c r="D29" s="3274">
        <v>12.221542448699157</v>
      </c>
      <c r="E29" s="3457">
        <f>'Table3.B(a)'!G29</f>
        <v>57.431953309151851</v>
      </c>
      <c r="F29" s="3442">
        <v>18353138.340088814</v>
      </c>
      <c r="G29" s="3442" t="s">
        <v>199</v>
      </c>
      <c r="H29" s="3442" t="s">
        <v>199</v>
      </c>
      <c r="I29" s="3442" t="s">
        <v>274</v>
      </c>
      <c r="J29" s="3442" t="s">
        <v>274</v>
      </c>
      <c r="K29" s="3442">
        <v>6673073.436221608</v>
      </c>
      <c r="L29" s="3442" t="s">
        <v>274</v>
      </c>
      <c r="M29" s="3442" t="s">
        <v>199</v>
      </c>
      <c r="N29" s="3442" t="s">
        <v>199</v>
      </c>
      <c r="O29" s="3442">
        <v>1559598.5856197521</v>
      </c>
      <c r="P29" s="3442" t="s">
        <v>199</v>
      </c>
      <c r="Q29" s="3442">
        <v>5983068.525789706</v>
      </c>
      <c r="R29" s="3445">
        <f t="shared" si="8"/>
        <v>32568878.887719877</v>
      </c>
      <c r="S29" s="2676"/>
      <c r="T29" s="2677"/>
      <c r="U29" s="3419">
        <f t="shared" si="9"/>
        <v>8.0940488856262843E-2</v>
      </c>
      <c r="V29" s="3417"/>
      <c r="W29" s="3418"/>
      <c r="X29" s="3282">
        <v>0.17304445181655917</v>
      </c>
      <c r="Y29" s="3142"/>
      <c r="Z29" s="3420"/>
    </row>
    <row r="30" spans="2:26" ht="18" customHeight="1" x14ac:dyDescent="0.2">
      <c r="B30" s="349" t="s">
        <v>1116</v>
      </c>
      <c r="C30" s="3281">
        <f>IF(SUM(C32:C39)=0,"NO",SUM(C32:C39))</f>
        <v>87449.487999999998</v>
      </c>
      <c r="D30" s="3455"/>
      <c r="E30" s="3455"/>
      <c r="F30" s="2668" t="str">
        <f>IF(SUM(F32:F39)=0,"NO",SUM(F32:F39))</f>
        <v>NO</v>
      </c>
      <c r="G30" s="2668" t="str">
        <f t="shared" ref="G30:Q30" si="24">IF(SUM(G32:G39)=0,"NO",SUM(G32:G39))</f>
        <v>NO</v>
      </c>
      <c r="H30" s="2668" t="str">
        <f t="shared" si="24"/>
        <v>NO</v>
      </c>
      <c r="I30" s="2668">
        <f t="shared" si="24"/>
        <v>20432302.029669821</v>
      </c>
      <c r="J30" s="2668" t="str">
        <f t="shared" si="24"/>
        <v>NO</v>
      </c>
      <c r="K30" s="2668" t="str">
        <f t="shared" si="24"/>
        <v>NO</v>
      </c>
      <c r="L30" s="2668" t="str">
        <f t="shared" si="24"/>
        <v>NO</v>
      </c>
      <c r="M30" s="2668">
        <f t="shared" si="24"/>
        <v>17056230.020955015</v>
      </c>
      <c r="N30" s="2668">
        <f t="shared" si="24"/>
        <v>8980336.0505385529</v>
      </c>
      <c r="O30" s="2668">
        <f t="shared" si="24"/>
        <v>102221.9449567492</v>
      </c>
      <c r="P30" s="2668" t="str">
        <f t="shared" si="24"/>
        <v>NO</v>
      </c>
      <c r="Q30" s="2668">
        <f t="shared" si="24"/>
        <v>66099930.456614554</v>
      </c>
      <c r="R30" s="3445">
        <f t="shared" si="8"/>
        <v>112671020.50273469</v>
      </c>
      <c r="S30" s="2676"/>
      <c r="T30" s="2677"/>
      <c r="U30" s="3419">
        <f t="shared" si="9"/>
        <v>4.4493709850910368E-3</v>
      </c>
      <c r="V30" s="3417"/>
      <c r="W30" s="3418"/>
      <c r="X30" s="3281">
        <f t="shared" ref="X30" si="25">IF(SUM(X32:X39)=0,"NO",SUM(X32:X39))</f>
        <v>0.38909521456826679</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5.0890000000000004</v>
      </c>
      <c r="D32" s="3274">
        <v>39.5</v>
      </c>
      <c r="E32" s="3457" t="str">
        <f>'Table3.B(a)'!G32</f>
        <v>NA</v>
      </c>
      <c r="F32" s="3442" t="s">
        <v>199</v>
      </c>
      <c r="G32" s="3442" t="s">
        <v>199</v>
      </c>
      <c r="H32" s="3442" t="s">
        <v>199</v>
      </c>
      <c r="I32" s="3442" t="s">
        <v>199</v>
      </c>
      <c r="J32" s="3442" t="s">
        <v>199</v>
      </c>
      <c r="K32" s="3442" t="s">
        <v>199</v>
      </c>
      <c r="L32" s="3442" t="s">
        <v>199</v>
      </c>
      <c r="M32" s="3442">
        <v>201017.92767671781</v>
      </c>
      <c r="N32" s="3442" t="s">
        <v>199</v>
      </c>
      <c r="O32" s="3442" t="s">
        <v>199</v>
      </c>
      <c r="P32" s="3442" t="s">
        <v>199</v>
      </c>
      <c r="Q32" s="3442" t="s">
        <v>199</v>
      </c>
      <c r="R32" s="3445">
        <f t="shared" si="8"/>
        <v>201017.92767671781</v>
      </c>
      <c r="S32" s="2676"/>
      <c r="T32" s="2677"/>
      <c r="U32" s="3419" t="str">
        <f>IF(SUM(X32)=0,"NA",X32*1000/C32)</f>
        <v>NA</v>
      </c>
      <c r="V32" s="3417"/>
      <c r="W32" s="3418"/>
      <c r="X32" s="3282" t="s">
        <v>205</v>
      </c>
      <c r="Y32" s="3142"/>
      <c r="Z32" s="3420"/>
    </row>
    <row r="33" spans="2:26" ht="18" customHeight="1" x14ac:dyDescent="0.2">
      <c r="B33" s="348" t="s">
        <v>1068</v>
      </c>
      <c r="C33" s="3458">
        <f>Table3.A!C33</f>
        <v>3.2629999999999999</v>
      </c>
      <c r="D33" s="3274">
        <v>39.5</v>
      </c>
      <c r="E33" s="3457" t="str">
        <f>'Table3.B(a)'!G33</f>
        <v>NA</v>
      </c>
      <c r="F33" s="3442" t="s">
        <v>199</v>
      </c>
      <c r="G33" s="3442" t="s">
        <v>199</v>
      </c>
      <c r="H33" s="3442" t="s">
        <v>199</v>
      </c>
      <c r="I33" s="3442" t="s">
        <v>199</v>
      </c>
      <c r="J33" s="3442" t="s">
        <v>199</v>
      </c>
      <c r="K33" s="3442" t="s">
        <v>199</v>
      </c>
      <c r="L33" s="3442" t="s">
        <v>199</v>
      </c>
      <c r="M33" s="3442">
        <v>128895.82595222098</v>
      </c>
      <c r="N33" s="3442" t="s">
        <v>199</v>
      </c>
      <c r="O33" s="3442" t="s">
        <v>199</v>
      </c>
      <c r="P33" s="3442" t="s">
        <v>199</v>
      </c>
      <c r="Q33" s="3442" t="s">
        <v>199</v>
      </c>
      <c r="R33" s="3445">
        <f t="shared" si="8"/>
        <v>128895.82595222098</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38.395000000000003</v>
      </c>
      <c r="D34" s="3274">
        <v>13.2</v>
      </c>
      <c r="E34" s="3457" t="str">
        <f>'Table3.B(a)'!G34</f>
        <v>NA</v>
      </c>
      <c r="F34" s="3442" t="s">
        <v>199</v>
      </c>
      <c r="G34" s="3442" t="s">
        <v>199</v>
      </c>
      <c r="H34" s="3442" t="s">
        <v>199</v>
      </c>
      <c r="I34" s="3442" t="s">
        <v>199</v>
      </c>
      <c r="J34" s="3442" t="s">
        <v>199</v>
      </c>
      <c r="K34" s="3442" t="s">
        <v>199</v>
      </c>
      <c r="L34" s="3442" t="s">
        <v>199</v>
      </c>
      <c r="M34" s="3442">
        <v>506816.64752187626</v>
      </c>
      <c r="N34" s="3442" t="s">
        <v>199</v>
      </c>
      <c r="O34" s="3442" t="s">
        <v>199</v>
      </c>
      <c r="P34" s="3442" t="s">
        <v>199</v>
      </c>
      <c r="Q34" s="3442" t="s">
        <v>199</v>
      </c>
      <c r="R34" s="3445">
        <f t="shared" si="8"/>
        <v>506816.64752187626</v>
      </c>
      <c r="S34" s="2676"/>
      <c r="T34" s="2677"/>
      <c r="U34" s="3419" t="str">
        <f t="shared" si="26"/>
        <v>NA</v>
      </c>
      <c r="V34" s="3417"/>
      <c r="W34" s="3418"/>
      <c r="X34" s="3282" t="s">
        <v>205</v>
      </c>
      <c r="Y34" s="3142"/>
      <c r="Z34" s="3420"/>
    </row>
    <row r="35" spans="2:26" ht="18" customHeight="1" x14ac:dyDescent="0.2">
      <c r="B35" s="348" t="s">
        <v>1070</v>
      </c>
      <c r="C35" s="3458">
        <f>Table3.A!C35</f>
        <v>516.14300000000003</v>
      </c>
      <c r="D35" s="3274">
        <v>7</v>
      </c>
      <c r="E35" s="3457" t="str">
        <f>'Table3.B(a)'!G35</f>
        <v>NA</v>
      </c>
      <c r="F35" s="3442" t="s">
        <v>199</v>
      </c>
      <c r="G35" s="3442" t="s">
        <v>199</v>
      </c>
      <c r="H35" s="3442" t="s">
        <v>199</v>
      </c>
      <c r="I35" s="3442" t="s">
        <v>199</v>
      </c>
      <c r="J35" s="3442" t="s">
        <v>199</v>
      </c>
      <c r="K35" s="3442" t="s">
        <v>199</v>
      </c>
      <c r="L35" s="3442" t="s">
        <v>199</v>
      </c>
      <c r="M35" s="3442">
        <v>3613000.9999999995</v>
      </c>
      <c r="N35" s="3442" t="s">
        <v>199</v>
      </c>
      <c r="O35" s="3442" t="s">
        <v>199</v>
      </c>
      <c r="P35" s="3442" t="s">
        <v>199</v>
      </c>
      <c r="Q35" s="3442" t="s">
        <v>199</v>
      </c>
      <c r="R35" s="3445">
        <f t="shared" si="8"/>
        <v>3613000.9999999995</v>
      </c>
      <c r="S35" s="2676"/>
      <c r="T35" s="2677"/>
      <c r="U35" s="3419" t="str">
        <f t="shared" si="26"/>
        <v>NA</v>
      </c>
      <c r="V35" s="3417"/>
      <c r="W35" s="3418"/>
      <c r="X35" s="3282" t="s">
        <v>205</v>
      </c>
      <c r="Y35" s="3142"/>
      <c r="Z35" s="3420"/>
    </row>
    <row r="36" spans="2:26" ht="18" customHeight="1" x14ac:dyDescent="0.2">
      <c r="B36" s="348" t="s">
        <v>1071</v>
      </c>
      <c r="C36" s="3458">
        <f>Table3.A!C36</f>
        <v>254.21799999999999</v>
      </c>
      <c r="D36" s="3274">
        <v>39.5</v>
      </c>
      <c r="E36" s="3457" t="str">
        <f>'Table3.B(a)'!G36</f>
        <v>NA</v>
      </c>
      <c r="F36" s="3442" t="s">
        <v>199</v>
      </c>
      <c r="G36" s="3442" t="s">
        <v>199</v>
      </c>
      <c r="H36" s="3442" t="s">
        <v>199</v>
      </c>
      <c r="I36" s="3442" t="s">
        <v>199</v>
      </c>
      <c r="J36" s="3442" t="s">
        <v>199</v>
      </c>
      <c r="K36" s="3442" t="s">
        <v>199</v>
      </c>
      <c r="L36" s="3442" t="s">
        <v>199</v>
      </c>
      <c r="M36" s="3442">
        <v>10041593.446198288</v>
      </c>
      <c r="N36" s="3442" t="s">
        <v>199</v>
      </c>
      <c r="O36" s="3442" t="s">
        <v>199</v>
      </c>
      <c r="P36" s="3442" t="s">
        <v>199</v>
      </c>
      <c r="Q36" s="3442" t="s">
        <v>199</v>
      </c>
      <c r="R36" s="3445">
        <f t="shared" si="8"/>
        <v>10041593.446198288</v>
      </c>
      <c r="S36" s="2676"/>
      <c r="T36" s="2677"/>
      <c r="U36" s="3419" t="str">
        <f t="shared" si="26"/>
        <v>NA</v>
      </c>
      <c r="V36" s="3417"/>
      <c r="W36" s="3418"/>
      <c r="X36" s="3282" t="s">
        <v>205</v>
      </c>
      <c r="Y36" s="3142"/>
      <c r="Z36" s="3420"/>
    </row>
    <row r="37" spans="2:26" ht="18" customHeight="1" x14ac:dyDescent="0.2">
      <c r="B37" s="348" t="s">
        <v>1117</v>
      </c>
      <c r="C37" s="3458">
        <f>Table3.A!C37</f>
        <v>0.86099999999999999</v>
      </c>
      <c r="D37" s="3274">
        <v>13.2</v>
      </c>
      <c r="E37" s="3457" t="str">
        <f>'Table3.B(a)'!G37</f>
        <v>NA</v>
      </c>
      <c r="F37" s="3442" t="s">
        <v>199</v>
      </c>
      <c r="G37" s="3442" t="s">
        <v>199</v>
      </c>
      <c r="H37" s="3442" t="s">
        <v>199</v>
      </c>
      <c r="I37" s="3442" t="s">
        <v>199</v>
      </c>
      <c r="J37" s="3442" t="s">
        <v>199</v>
      </c>
      <c r="K37" s="3442" t="s">
        <v>199</v>
      </c>
      <c r="L37" s="3442" t="s">
        <v>199</v>
      </c>
      <c r="M37" s="3442">
        <v>11367.290067843505</v>
      </c>
      <c r="N37" s="3442" t="s">
        <v>199</v>
      </c>
      <c r="O37" s="3442" t="s">
        <v>199</v>
      </c>
      <c r="P37" s="3442" t="s">
        <v>199</v>
      </c>
      <c r="Q37" s="3442" t="s">
        <v>199</v>
      </c>
      <c r="R37" s="3445">
        <f t="shared" si="8"/>
        <v>11367.290067843505</v>
      </c>
      <c r="S37" s="2676"/>
      <c r="T37" s="2677"/>
      <c r="U37" s="3419" t="str">
        <f t="shared" si="26"/>
        <v>NA</v>
      </c>
      <c r="V37" s="3417"/>
      <c r="W37" s="3418"/>
      <c r="X37" s="3282" t="s">
        <v>205</v>
      </c>
      <c r="Y37" s="3142"/>
      <c r="Z37" s="3420"/>
    </row>
    <row r="38" spans="2:26" ht="18" customHeight="1" x14ac:dyDescent="0.2">
      <c r="B38" s="348" t="s">
        <v>1073</v>
      </c>
      <c r="C38" s="3458">
        <f>Table3.A!C38</f>
        <v>86489.834000000003</v>
      </c>
      <c r="D38" s="3274">
        <v>0.66138310481096996</v>
      </c>
      <c r="E38" s="3457" t="str">
        <f>'Table3.B(a)'!G38</f>
        <v>NA</v>
      </c>
      <c r="F38" s="3442" t="s">
        <v>199</v>
      </c>
      <c r="G38" s="3442" t="s">
        <v>199</v>
      </c>
      <c r="H38" s="3442" t="s">
        <v>199</v>
      </c>
      <c r="I38" s="3442">
        <v>20432302.029669821</v>
      </c>
      <c r="J38" s="3442" t="s">
        <v>274</v>
      </c>
      <c r="K38" s="3442" t="s">
        <v>274</v>
      </c>
      <c r="L38" s="3442" t="s">
        <v>274</v>
      </c>
      <c r="M38" s="3442">
        <v>1561739.6990011982</v>
      </c>
      <c r="N38" s="3442">
        <v>8980336.0505385529</v>
      </c>
      <c r="O38" s="3442">
        <v>102221.9449567492</v>
      </c>
      <c r="P38" s="3442" t="s">
        <v>199</v>
      </c>
      <c r="Q38" s="3442">
        <v>66099930.456614554</v>
      </c>
      <c r="R38" s="3445">
        <f t="shared" si="8"/>
        <v>97176530.180780873</v>
      </c>
      <c r="S38" s="2676"/>
      <c r="T38" s="2677"/>
      <c r="U38" s="3419">
        <f t="shared" si="26"/>
        <v>4.4987392919295785E-3</v>
      </c>
      <c r="V38" s="3417"/>
      <c r="W38" s="3418"/>
      <c r="X38" s="3282">
        <v>0.38909521456826679</v>
      </c>
      <c r="Y38" s="3142"/>
      <c r="Z38" s="3420"/>
    </row>
    <row r="39" spans="2:26" ht="18" customHeight="1" x14ac:dyDescent="0.2">
      <c r="B39" s="348" t="s">
        <v>1074</v>
      </c>
      <c r="C39" s="3281">
        <f>IF(SUM(C41:C45)=0,"NO",SUM(C41:C45))</f>
        <v>141.685</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991798.18453687022</v>
      </c>
      <c r="N39" s="2668" t="str">
        <f t="shared" si="27"/>
        <v>NO</v>
      </c>
      <c r="O39" s="2668" t="str">
        <f t="shared" si="27"/>
        <v>NO</v>
      </c>
      <c r="P39" s="2668" t="str">
        <f t="shared" si="27"/>
        <v>NO</v>
      </c>
      <c r="Q39" s="2668" t="str">
        <f t="shared" si="27"/>
        <v>NO</v>
      </c>
      <c r="R39" s="3445">
        <f t="shared" si="8"/>
        <v>991798.18453687022</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9.673</v>
      </c>
      <c r="D43" s="3274">
        <v>7</v>
      </c>
      <c r="E43" s="3457" t="str">
        <f>'Table3.B(a)'!G43</f>
        <v>NA</v>
      </c>
      <c r="F43" s="3442" t="s">
        <v>199</v>
      </c>
      <c r="G43" s="3442" t="s">
        <v>199</v>
      </c>
      <c r="H43" s="3442" t="s">
        <v>199</v>
      </c>
      <c r="I43" s="3442" t="s">
        <v>199</v>
      </c>
      <c r="J43" s="3442" t="s">
        <v>199</v>
      </c>
      <c r="K43" s="3442" t="s">
        <v>199</v>
      </c>
      <c r="L43" s="3442" t="s">
        <v>199</v>
      </c>
      <c r="M43" s="3442">
        <v>67712.176470588194</v>
      </c>
      <c r="N43" s="3442" t="s">
        <v>199</v>
      </c>
      <c r="O43" s="3442" t="s">
        <v>199</v>
      </c>
      <c r="P43" s="3442" t="s">
        <v>199</v>
      </c>
      <c r="Q43" s="3442" t="s">
        <v>199</v>
      </c>
      <c r="R43" s="3445">
        <f t="shared" si="8"/>
        <v>67712.176470588194</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132.012</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924086.00806628203</v>
      </c>
      <c r="N45" s="2668" t="str">
        <f t="shared" si="28"/>
        <v>NO</v>
      </c>
      <c r="O45" s="2668" t="str">
        <f t="shared" si="28"/>
        <v>NO</v>
      </c>
      <c r="P45" s="2668" t="str">
        <f t="shared" si="28"/>
        <v>NO</v>
      </c>
      <c r="Q45" s="2668" t="str">
        <f t="shared" si="28"/>
        <v>NO</v>
      </c>
      <c r="R45" s="3445">
        <f t="shared" si="8"/>
        <v>924086.00806628203</v>
      </c>
      <c r="S45" s="2676"/>
      <c r="T45" s="2677"/>
      <c r="U45" s="3419" t="str">
        <f t="shared" si="26"/>
        <v>NA</v>
      </c>
      <c r="V45" s="3417"/>
      <c r="W45" s="3418"/>
      <c r="X45" s="3281" t="str">
        <f>X46</f>
        <v>NA</v>
      </c>
      <c r="Y45" s="3142"/>
      <c r="Z45" s="3420"/>
    </row>
    <row r="46" spans="2:26" ht="18" customHeight="1" x14ac:dyDescent="0.2">
      <c r="B46" s="2665" t="s">
        <v>1013</v>
      </c>
      <c r="C46" s="3458">
        <f>Table3.A!C46</f>
        <v>132.012</v>
      </c>
      <c r="D46" s="3274">
        <v>7</v>
      </c>
      <c r="E46" s="3457" t="str">
        <f>'Table3.B(a)'!G46</f>
        <v>NA</v>
      </c>
      <c r="F46" s="3442" t="s">
        <v>199</v>
      </c>
      <c r="G46" s="3442" t="s">
        <v>199</v>
      </c>
      <c r="H46" s="3442" t="s">
        <v>199</v>
      </c>
      <c r="I46" s="3442" t="s">
        <v>199</v>
      </c>
      <c r="J46" s="3442" t="s">
        <v>199</v>
      </c>
      <c r="K46" s="3442" t="s">
        <v>199</v>
      </c>
      <c r="L46" s="3442" t="s">
        <v>199</v>
      </c>
      <c r="M46" s="3442">
        <v>924086.00806628203</v>
      </c>
      <c r="N46" s="3442" t="s">
        <v>199</v>
      </c>
      <c r="O46" s="3442" t="s">
        <v>199</v>
      </c>
      <c r="P46" s="3442" t="s">
        <v>199</v>
      </c>
      <c r="Q46" s="3442" t="s">
        <v>199</v>
      </c>
      <c r="R46" s="3445">
        <f t="shared" si="8"/>
        <v>924086.00806628203</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87439971.273306519</v>
      </c>
      <c r="T47" s="3410">
        <v>351239.25273480022</v>
      </c>
      <c r="U47" s="3429"/>
      <c r="V47" s="3430">
        <f>IF(SUM(S47)=0,"NA",Y47*1000000/S47)</f>
        <v>6.1330463640398084E-3</v>
      </c>
      <c r="W47" s="3431">
        <f>IF(SUM(T47)=0,"NA",Z47*1000000/T47)</f>
        <v>1.7285714285714276E-2</v>
      </c>
      <c r="X47" s="3283"/>
      <c r="Y47" s="3287">
        <v>0.53627339788949779</v>
      </c>
      <c r="Z47" s="3288">
        <v>6.0714213687015437E-3</v>
      </c>
    </row>
    <row r="48" spans="2:26" ht="18" customHeight="1" x14ac:dyDescent="0.2">
      <c r="B48" s="356" t="s">
        <v>1119</v>
      </c>
      <c r="C48" s="357"/>
      <c r="D48" s="357"/>
      <c r="E48" s="357"/>
      <c r="F48" s="3448">
        <f>IF(SUM(F30,F27,F24,F10)=0,"NO",SUM(F30,F27,F24,F10))</f>
        <v>51114167.329665184</v>
      </c>
      <c r="G48" s="3448" t="str">
        <f t="shared" ref="G48:Q48" si="29">IF(SUM(G30,G27,G24,G10)=0,"NO",SUM(G30,G27,G24,G10))</f>
        <v>NO</v>
      </c>
      <c r="H48" s="3448">
        <f t="shared" si="29"/>
        <v>7399471.0932841133</v>
      </c>
      <c r="I48" s="3448">
        <f t="shared" si="29"/>
        <v>40106534.169259235</v>
      </c>
      <c r="J48" s="3448" t="str">
        <f t="shared" si="29"/>
        <v>NO</v>
      </c>
      <c r="K48" s="3448">
        <f t="shared" si="29"/>
        <v>61341756.889217466</v>
      </c>
      <c r="L48" s="3448" t="str">
        <f t="shared" si="29"/>
        <v>NO</v>
      </c>
      <c r="M48" s="3374"/>
      <c r="N48" s="3448">
        <f t="shared" si="29"/>
        <v>16803862.002129883</v>
      </c>
      <c r="O48" s="3448">
        <f t="shared" si="29"/>
        <v>1661820.5305765013</v>
      </c>
      <c r="P48" s="3374"/>
      <c r="Q48" s="3448">
        <f t="shared" si="29"/>
        <v>72082998.982404262</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2.1504364915094821E-2</v>
      </c>
      <c r="J49" s="3449" t="str">
        <f t="shared" si="30"/>
        <v>NA</v>
      </c>
      <c r="K49" s="3449" t="str">
        <f t="shared" si="30"/>
        <v>NA</v>
      </c>
      <c r="L49" s="3449" t="str">
        <f t="shared" si="30"/>
        <v>NA</v>
      </c>
      <c r="M49" s="87"/>
      <c r="N49" s="3449">
        <f t="shared" si="30"/>
        <v>1.5714285714285712E-2</v>
      </c>
      <c r="O49" s="3449" t="str">
        <f t="shared" si="30"/>
        <v>NA</v>
      </c>
      <c r="P49" s="87"/>
      <c r="Q49" s="3449">
        <f t="shared" si="30"/>
        <v>2.4560664345795861E-3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0.86246554625546989</v>
      </c>
      <c r="J50" s="3450" t="s">
        <v>274</v>
      </c>
      <c r="K50" s="3450" t="s">
        <v>274</v>
      </c>
      <c r="L50" s="3450" t="s">
        <v>274</v>
      </c>
      <c r="M50" s="3437"/>
      <c r="N50" s="3451">
        <v>0.26406068860489812</v>
      </c>
      <c r="O50" s="3451" t="s">
        <v>205</v>
      </c>
      <c r="P50" s="3437"/>
      <c r="Q50" s="3451">
        <v>0.17704063430451755</v>
      </c>
      <c r="R50" s="1311"/>
      <c r="S50" s="1312"/>
      <c r="T50" s="1313"/>
      <c r="U50" s="3436">
        <f>X50*1000/SUM(C10,C24,C27,C30)</f>
        <v>6.763786418649771E-3</v>
      </c>
      <c r="V50" s="3437"/>
      <c r="W50" s="3438"/>
      <c r="X50" s="3286">
        <f>SUM(X10,X24,X27,X30)</f>
        <v>1.3035668691648856</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16.384973500000001</v>
      </c>
    </row>
    <row r="11" spans="1:9" ht="18" customHeight="1" x14ac:dyDescent="0.2">
      <c r="B11" s="432" t="s">
        <v>1133</v>
      </c>
      <c r="C11" s="4462">
        <v>1.03115</v>
      </c>
      <c r="D11" s="243" t="s">
        <v>199</v>
      </c>
      <c r="E11" s="283" t="s">
        <v>199</v>
      </c>
      <c r="F11" s="2330">
        <f>IF(SUM(C11)=0,"NA",G11/C11)</f>
        <v>15.89</v>
      </c>
      <c r="G11" s="3072">
        <v>16.384973500000001</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1.03115</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I19" sqref="I19"/>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27.879741563695617</v>
      </c>
      <c r="H10" s="395" t="s">
        <v>1157</v>
      </c>
      <c r="I10" s="396" t="s">
        <v>1158</v>
      </c>
      <c r="J10" s="397">
        <v>0.21</v>
      </c>
    </row>
    <row r="11" spans="2:10" ht="24" customHeight="1" x14ac:dyDescent="0.2">
      <c r="B11" s="2453" t="s">
        <v>1159</v>
      </c>
      <c r="C11" s="2454" t="s">
        <v>1160</v>
      </c>
      <c r="D11" s="3639">
        <v>1099010.6065197741</v>
      </c>
      <c r="E11" s="3634">
        <f>IF(SUM(D11)=0,"NA",F11*1000/D11/(44/28))</f>
        <v>4.707906286843597E-3</v>
      </c>
      <c r="F11" s="3390">
        <v>8.1306326258806614</v>
      </c>
      <c r="H11" s="395" t="s">
        <v>1161</v>
      </c>
      <c r="I11" s="396" t="s">
        <v>1162</v>
      </c>
      <c r="J11" s="397">
        <v>0.24</v>
      </c>
    </row>
    <row r="12" spans="2:10" ht="24" customHeight="1" x14ac:dyDescent="0.2">
      <c r="B12" s="2453" t="s">
        <v>1163</v>
      </c>
      <c r="C12" s="2455" t="s">
        <v>1164</v>
      </c>
      <c r="D12" s="3640">
        <f>IF(SUM(D13:D15)=0,"NO",SUM(D13:D15))</f>
        <v>103758.09165378576</v>
      </c>
      <c r="E12" s="3635">
        <f t="shared" ref="E12:E23" si="0">IF(SUM(D12)=0,"NA",F12*1000/D12/(44/28))</f>
        <v>8.6355653641481695E-3</v>
      </c>
      <c r="F12" s="3391">
        <f>IF(SUM(F13:F15)=0,"NO",SUM(F13:F15))</f>
        <v>1.4080153725558542</v>
      </c>
      <c r="H12" s="4233" t="s">
        <v>1165</v>
      </c>
      <c r="I12" s="4234"/>
      <c r="J12" s="4235"/>
    </row>
    <row r="13" spans="2:10" ht="24" customHeight="1" thickBot="1" x14ac:dyDescent="0.25">
      <c r="B13" s="2453" t="s">
        <v>1166</v>
      </c>
      <c r="C13" s="2454" t="s">
        <v>1167</v>
      </c>
      <c r="D13" s="3641">
        <v>93677.427513696195</v>
      </c>
      <c r="E13" s="3634">
        <f t="shared" si="0"/>
        <v>8.5963484122896124E-3</v>
      </c>
      <c r="F13" s="3390">
        <v>1.2654459797174447</v>
      </c>
      <c r="H13" s="4236"/>
      <c r="I13" s="4237"/>
      <c r="J13" s="4238"/>
    </row>
    <row r="14" spans="2:10" ht="24" customHeight="1" x14ac:dyDescent="0.2">
      <c r="B14" s="2453" t="s">
        <v>1168</v>
      </c>
      <c r="C14" s="2454" t="s">
        <v>1169</v>
      </c>
      <c r="D14" s="3641">
        <v>10080.664140089559</v>
      </c>
      <c r="E14" s="3634">
        <f t="shared" si="0"/>
        <v>8.9999999999999976E-3</v>
      </c>
      <c r="F14" s="3390">
        <v>0.14256939283840944</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1714962.6921764466</v>
      </c>
      <c r="E16" s="3634">
        <f t="shared" si="0"/>
        <v>3.9999999999999992E-3</v>
      </c>
      <c r="F16" s="3390">
        <v>10.77976549368052</v>
      </c>
    </row>
    <row r="17" spans="2:11" ht="24" customHeight="1" x14ac:dyDescent="0.2">
      <c r="B17" s="2453" t="s">
        <v>1176</v>
      </c>
      <c r="C17" s="2454" t="s">
        <v>1177</v>
      </c>
      <c r="D17" s="3641">
        <v>905453.54185519356</v>
      </c>
      <c r="E17" s="3634">
        <f t="shared" si="0"/>
        <v>5.0299999999999997E-3</v>
      </c>
      <c r="F17" s="3390">
        <v>7.1569634958354085</v>
      </c>
    </row>
    <row r="18" spans="2:11" ht="24" customHeight="1" x14ac:dyDescent="0.2">
      <c r="B18" s="2453" t="s">
        <v>1178</v>
      </c>
      <c r="C18" s="2454" t="s">
        <v>1179</v>
      </c>
      <c r="D18" s="3641">
        <v>49103.149228430426</v>
      </c>
      <c r="E18" s="3636">
        <f t="shared" si="0"/>
        <v>4.1000000000000003E-3</v>
      </c>
      <c r="F18" s="3392">
        <v>0.31636457574317317</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10.486811259720376</v>
      </c>
    </row>
    <row r="22" spans="2:11" ht="24" customHeight="1" x14ac:dyDescent="0.2">
      <c r="B22" s="2457" t="s">
        <v>1184</v>
      </c>
      <c r="C22" s="2454" t="s">
        <v>1185</v>
      </c>
      <c r="D22" s="3641">
        <v>502823.57664294384</v>
      </c>
      <c r="E22" s="3634">
        <f t="shared" si="0"/>
        <v>3.1424568801031037E-3</v>
      </c>
      <c r="F22" s="3390">
        <v>2.4830164981280518</v>
      </c>
    </row>
    <row r="23" spans="2:11" ht="24" customHeight="1" thickBot="1" x14ac:dyDescent="0.25">
      <c r="B23" s="406" t="s">
        <v>1186</v>
      </c>
      <c r="C23" s="407" t="s">
        <v>1187</v>
      </c>
      <c r="D23" s="3643">
        <v>463029.4490177377</v>
      </c>
      <c r="E23" s="3638">
        <f t="shared" si="0"/>
        <v>1.1000000000000001E-2</v>
      </c>
      <c r="F23" s="3394">
        <v>8.0037947615923244</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29905009</v>
      </c>
      <c r="N9" s="4167">
        <v>8220860.9999999991</v>
      </c>
      <c r="O9" s="4167">
        <v>450534.99999999994</v>
      </c>
      <c r="P9" s="4168">
        <v>2238912</v>
      </c>
      <c r="Q9" s="4168">
        <v>1262031</v>
      </c>
      <c r="R9" s="4168">
        <v>107216</v>
      </c>
      <c r="S9" s="4168">
        <v>918733.00000000012</v>
      </c>
      <c r="T9" s="4168">
        <v>284614</v>
      </c>
      <c r="U9" s="4168">
        <v>2678143</v>
      </c>
      <c r="V9" s="4168">
        <v>27956567.559999995</v>
      </c>
      <c r="W9" s="4168">
        <v>22629.689000000002</v>
      </c>
      <c r="X9" s="4169">
        <v>172418</v>
      </c>
    </row>
    <row r="10" spans="2:24" ht="18" customHeight="1" thickTop="1" x14ac:dyDescent="0.2">
      <c r="B10" s="430" t="s">
        <v>1226</v>
      </c>
      <c r="C10" s="374"/>
      <c r="D10" s="431"/>
      <c r="E10" s="431"/>
      <c r="F10" s="4137">
        <f>IF(SUM(F11:F14)=0,"NO",SUM(F11:F14))</f>
        <v>4180.6474552810832</v>
      </c>
      <c r="G10" s="4138">
        <f>IF(SUM($F10)=0,"NA",I10/$F10*1000)</f>
        <v>1.8843965667573552</v>
      </c>
      <c r="H10" s="4139">
        <f>IF(SUM($F10)=0,"NA",J10/$F10*1000)</f>
        <v>7.6209633634313573E-2</v>
      </c>
      <c r="I10" s="3161">
        <f>IF(SUM(I11:I14)=0,"NO",SUM(I11:I14))</f>
        <v>7.8779977115545474</v>
      </c>
      <c r="J10" s="416">
        <f>IF(SUM(J11:J14)=0,"NO",SUM(J11:J14))</f>
        <v>0.31860561092119666</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2517.1939963258969</v>
      </c>
      <c r="G11" s="4141">
        <f>IF(SUM($F11)=0,"NA",I11/$F11*1000)</f>
        <v>1.8666666666666667</v>
      </c>
      <c r="H11" s="4142">
        <f>IF(SUM($F11)=0,"NA",J11/$F11*1000)</f>
        <v>7.1657142857142864E-2</v>
      </c>
      <c r="I11" s="3291">
        <v>4.6987621264750077</v>
      </c>
      <c r="J11" s="3292">
        <v>0.18037492979386713</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585.29468410007246</v>
      </c>
      <c r="G12" s="4143">
        <f t="shared" ref="G12:G28" si="0">IF(SUM($F12)=0,"NA",I12/$F12*1000)</f>
        <v>1.8666666666666667</v>
      </c>
      <c r="H12" s="4142">
        <f t="shared" ref="H12:H28" si="1">IF(SUM($F12)=0,"NA",J12/$F12*1000)</f>
        <v>8.3599999999999994E-2</v>
      </c>
      <c r="I12" s="3149">
        <v>1.092550076986802</v>
      </c>
      <c r="J12" s="3292">
        <v>4.8930635590766054E-2</v>
      </c>
      <c r="L12" s="1323" t="s">
        <v>1231</v>
      </c>
      <c r="M12" s="4165">
        <v>0.13284878328770244</v>
      </c>
      <c r="N12" s="4165">
        <v>0.13592886164848719</v>
      </c>
      <c r="O12" s="4165">
        <v>0.13717698181365243</v>
      </c>
      <c r="P12" s="4166">
        <v>0.11470621433526594</v>
      </c>
      <c r="Q12" s="4166">
        <v>0.12431423758779568</v>
      </c>
      <c r="R12" s="4166">
        <v>0.15092534462685478</v>
      </c>
      <c r="S12" s="4166">
        <v>0.81499999999999995</v>
      </c>
      <c r="T12" s="4166">
        <v>0.17734393989883246</v>
      </c>
      <c r="U12" s="4166">
        <v>0.12907431511847389</v>
      </c>
      <c r="V12" s="4166">
        <v>0.40751081961508151</v>
      </c>
      <c r="W12" s="4166">
        <v>5.8633160265817601E-2</v>
      </c>
      <c r="X12" s="4140">
        <v>0.14632414526802379</v>
      </c>
    </row>
    <row r="13" spans="2:24" ht="18" customHeight="1" thickBot="1" x14ac:dyDescent="0.25">
      <c r="B13" s="432" t="s">
        <v>1232</v>
      </c>
      <c r="C13" s="433" t="s">
        <v>205</v>
      </c>
      <c r="D13" s="433" t="s">
        <v>205</v>
      </c>
      <c r="E13" s="433" t="s">
        <v>205</v>
      </c>
      <c r="F13" s="4140">
        <v>40.849331701174528</v>
      </c>
      <c r="G13" s="4143">
        <f t="shared" si="0"/>
        <v>1.96</v>
      </c>
      <c r="H13" s="4142">
        <f t="shared" si="1"/>
        <v>5.9714285714285741E-2</v>
      </c>
      <c r="I13" s="3149">
        <v>8.0064690134302077E-2</v>
      </c>
      <c r="J13" s="3292">
        <v>2.4392886644415655E-3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1037.3094431539391</v>
      </c>
      <c r="G14" s="4145">
        <f t="shared" si="0"/>
        <v>1.9344476532068442</v>
      </c>
      <c r="H14" s="4146">
        <f t="shared" si="1"/>
        <v>8.37365912798613E-2</v>
      </c>
      <c r="I14" s="3168">
        <f>IF(SUM(I15:I19)=0,"NO",SUM(I15:I19))</f>
        <v>2.0066208179584359</v>
      </c>
      <c r="J14" s="3064">
        <f>IF(SUM(J15:J19)=0,"NO",SUM(J15:J19))</f>
        <v>8.6860756872121914E-2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147.92666097588423</v>
      </c>
      <c r="G15" s="4147">
        <f t="shared" si="0"/>
        <v>1.8666666666666667</v>
      </c>
      <c r="H15" s="4148">
        <f t="shared" si="1"/>
        <v>9.5542857142857138E-2</v>
      </c>
      <c r="I15" s="3293">
        <v>0.27612976715498389</v>
      </c>
      <c r="J15" s="3292">
        <v>1.4133335837238768E-2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94.102930369355192</v>
      </c>
      <c r="G16" s="4149">
        <f t="shared" si="0"/>
        <v>1.8666666666666669</v>
      </c>
      <c r="H16" s="4150">
        <f t="shared" si="1"/>
        <v>7.1657142857142864E-2</v>
      </c>
      <c r="I16" s="3294">
        <v>0.17565880335612971</v>
      </c>
      <c r="J16" s="3292">
        <v>6.7431471247526523E-3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9.9792646923715793</v>
      </c>
      <c r="G17" s="4149">
        <f t="shared" si="0"/>
        <v>1.8666666666666665</v>
      </c>
      <c r="H17" s="4150">
        <f t="shared" si="1"/>
        <v>7.165714285714285E-2</v>
      </c>
      <c r="I17" s="3294">
        <v>1.8627960759093613E-2</v>
      </c>
      <c r="J17" s="3292">
        <v>7.150855956705119E-4</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753.31990076160002</v>
      </c>
      <c r="G18" s="4149">
        <f t="shared" si="0"/>
        <v>1.96</v>
      </c>
      <c r="H18" s="4150">
        <f t="shared" si="1"/>
        <v>8.3599999999999994E-2</v>
      </c>
      <c r="I18" s="3294">
        <v>1.4765070054927361</v>
      </c>
      <c r="J18" s="3292">
        <v>6.2977543703669758E-2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31.980686354728089</v>
      </c>
      <c r="G19" s="4149">
        <f t="shared" si="0"/>
        <v>1.8666666666666663</v>
      </c>
      <c r="H19" s="4150">
        <f t="shared" si="1"/>
        <v>7.1657142857142864E-2</v>
      </c>
      <c r="I19" s="3294">
        <v>5.9697281195492419E-2</v>
      </c>
      <c r="J19" s="3292">
        <v>2.2916446107902298E-3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197.76737495123325</v>
      </c>
      <c r="G20" s="4153">
        <f t="shared" si="0"/>
        <v>1.8666666666666667</v>
      </c>
      <c r="H20" s="4154">
        <f t="shared" si="1"/>
        <v>0.10748571428571428</v>
      </c>
      <c r="I20" s="3187">
        <f>I21</f>
        <v>0.36916576657563538</v>
      </c>
      <c r="J20" s="442">
        <f>J21</f>
        <v>2.1257167559043985E-2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197.76737495123325</v>
      </c>
      <c r="G21" s="4156">
        <f t="shared" si="0"/>
        <v>1.8666666666666667</v>
      </c>
      <c r="H21" s="4146">
        <f t="shared" si="1"/>
        <v>0.10748571428571428</v>
      </c>
      <c r="I21" s="3168">
        <f>I22</f>
        <v>0.36916576657563538</v>
      </c>
      <c r="J21" s="3064">
        <f>J22</f>
        <v>2.1257167559043985E-2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197.76737495123325</v>
      </c>
      <c r="G22" s="4158">
        <f t="shared" si="0"/>
        <v>1.8666666666666667</v>
      </c>
      <c r="H22" s="4159">
        <f t="shared" si="1"/>
        <v>0.10748571428571428</v>
      </c>
      <c r="I22" s="3295">
        <v>0.36916576657563538</v>
      </c>
      <c r="J22" s="3296">
        <v>2.1257167559043985E-2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546.84498048</v>
      </c>
      <c r="G26" s="4163">
        <f t="shared" si="0"/>
        <v>1.8666666666666667</v>
      </c>
      <c r="H26" s="4164">
        <f t="shared" si="1"/>
        <v>5.9714285714285727E-2</v>
      </c>
      <c r="I26" s="3297">
        <v>1.0207772968960001</v>
      </c>
      <c r="J26" s="3298">
        <v>3.265445740580572E-2</v>
      </c>
      <c r="L26" s="159"/>
    </row>
    <row r="27" spans="2:24" ht="18" customHeight="1" x14ac:dyDescent="0.2">
      <c r="B27" s="439" t="s">
        <v>1242</v>
      </c>
      <c r="C27" s="440"/>
      <c r="D27" s="441"/>
      <c r="E27" s="441"/>
      <c r="F27" s="4152">
        <f>IF(SUM(F28:F29)=0,"NO",SUM(F28:F29))</f>
        <v>483.19301181341763</v>
      </c>
      <c r="G27" s="4153">
        <f t="shared" si="0"/>
        <v>1.8667719726438059</v>
      </c>
      <c r="H27" s="4154">
        <f t="shared" si="1"/>
        <v>0.10758003835380876</v>
      </c>
      <c r="I27" s="3187">
        <f>IF(SUM(I28:I29)=0,"NO",SUM(I28:I29))</f>
        <v>0.90201117183063539</v>
      </c>
      <c r="J27" s="442">
        <f>IF(SUM(J28:J29)=0,"NO",SUM(J28:J29))</f>
        <v>5.1981922743179837E-2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0.54517620274014444</v>
      </c>
      <c r="G28" s="4149">
        <f t="shared" si="0"/>
        <v>1.9599999999999995</v>
      </c>
      <c r="H28" s="4150">
        <f t="shared" si="1"/>
        <v>0.19108571428571425</v>
      </c>
      <c r="I28" s="3294">
        <v>1.0685453573706829E-3</v>
      </c>
      <c r="J28" s="3292">
        <v>1.0417538411217387E-4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482.64783561067748</v>
      </c>
      <c r="G29" s="4149">
        <f t="shared" ref="G29" si="2">IF(SUM($F29)=0,"NA",I29/$F29*1000)</f>
        <v>1.8666666666666669</v>
      </c>
      <c r="H29" s="4150">
        <f t="shared" ref="H29" si="3">IF(SUM($F29)=0,"NA",J29/$F29*1000)</f>
        <v>0.10748571428571427</v>
      </c>
      <c r="I29" s="3294">
        <v>0.90094262647326473</v>
      </c>
      <c r="J29" s="3292">
        <v>5.1877747359067666E-2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924.61635380044606</v>
      </c>
    </row>
    <row r="11" spans="2:5" s="83" customFormat="1" ht="18" customHeight="1" x14ac:dyDescent="0.2">
      <c r="B11" s="1858" t="s">
        <v>1361</v>
      </c>
      <c r="C11" s="4175">
        <v>2174718.384400106</v>
      </c>
      <c r="D11" s="3534">
        <f>IF(SUM(C11)=0,"NA",E11*1000/(44/12)/C11)</f>
        <v>0.108</v>
      </c>
      <c r="E11" s="3395">
        <v>861.18848022244197</v>
      </c>
    </row>
    <row r="12" spans="2:5" s="83" customFormat="1" ht="18" customHeight="1" x14ac:dyDescent="0.2">
      <c r="B12" s="1858" t="s">
        <v>1362</v>
      </c>
      <c r="C12" s="4175">
        <v>140068.91478396207</v>
      </c>
      <c r="D12" s="3534">
        <f t="shared" ref="D12:D16" si="0">IF(SUM(C12)=0,"NA",E12*1000/(44/12)/C12)</f>
        <v>0.12349999999999992</v>
      </c>
      <c r="E12" s="3395">
        <v>63.42787357800411</v>
      </c>
    </row>
    <row r="13" spans="2:5" s="83" customFormat="1" ht="18" customHeight="1" x14ac:dyDescent="0.2">
      <c r="B13" s="853" t="s">
        <v>1363</v>
      </c>
      <c r="C13" s="4176">
        <v>1527896.4185890581</v>
      </c>
      <c r="D13" s="4177">
        <f t="shared" si="0"/>
        <v>0.20000000000000004</v>
      </c>
      <c r="E13" s="3396">
        <v>1120.457373631976</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-20234.722516169961</v>
      </c>
      <c r="D10" s="4269">
        <f t="shared" ref="D10:H10" si="0">IF(SUM(D11,D14,D17,D20,D23,D26,D29:D30)=0,"NO",SUM(D11,D14,D17,D20,D23,D26,D29:D30))</f>
        <v>701.09816966539324</v>
      </c>
      <c r="E10" s="4269">
        <f t="shared" si="0"/>
        <v>17.586958456497953</v>
      </c>
      <c r="F10" s="4269">
        <f t="shared" si="0"/>
        <v>928.41339071147706</v>
      </c>
      <c r="G10" s="4269">
        <f t="shared" si="0"/>
        <v>24239.557335070083</v>
      </c>
      <c r="H10" s="4270">
        <f t="shared" si="0"/>
        <v>609.72812900154247</v>
      </c>
      <c r="I10" s="4271">
        <f>IF(SUM(C10:E10)=0,"NO",SUM(C10)+28*SUM(D10)+265*SUM(E10))</f>
        <v>4056.5702254330072</v>
      </c>
      <c r="J10" s="4259"/>
    </row>
    <row r="11" spans="2:10" ht="18" customHeight="1" x14ac:dyDescent="0.2">
      <c r="B11" s="464" t="s">
        <v>1252</v>
      </c>
      <c r="C11" s="4272">
        <f>IF(SUM(C12:C13)=0,"NO",SUM(C12:C13))</f>
        <v>-37190.547511791498</v>
      </c>
      <c r="D11" s="4272">
        <f t="shared" ref="D11:H11" si="1">IF(SUM(D12:D13)=0,"NO",SUM(D12:D13))</f>
        <v>308.155424174362</v>
      </c>
      <c r="E11" s="4272">
        <f t="shared" si="1"/>
        <v>7.1441135216735709</v>
      </c>
      <c r="F11" s="4272">
        <f t="shared" si="1"/>
        <v>320.38131846985453</v>
      </c>
      <c r="G11" s="4272">
        <f t="shared" si="1"/>
        <v>8582.2045101679159</v>
      </c>
      <c r="H11" s="4273">
        <f t="shared" si="1"/>
        <v>284.52441064707631</v>
      </c>
      <c r="I11" s="4274">
        <f t="shared" ref="I11:I32" si="2">IF(SUM(C11:E11)=0,"NO",SUM(C11)+28*SUM(D11)+265*SUM(E11))</f>
        <v>-26669.005551665865</v>
      </c>
    </row>
    <row r="12" spans="2:10" ht="18" customHeight="1" x14ac:dyDescent="0.2">
      <c r="B12" s="465" t="s">
        <v>1253</v>
      </c>
      <c r="C12" s="4275">
        <f>IF(SUM(Table4.A!U11,'Table4(IV)'!J12)=0,"NO",SUM(Table4.A!U11,'Table4(IV)'!J12))</f>
        <v>-3977.13551189089</v>
      </c>
      <c r="D12" s="4275">
        <f>'Table4(IV)'!K12</f>
        <v>303.09206127582195</v>
      </c>
      <c r="E12" s="4275">
        <f>IF(SUM('Table4(III)'!I12,'Table4(IV)'!L12)=0,"NO",SUM('Table4(III)'!I12,'Table4(IV)'!L12))</f>
        <v>6.3689789241012056</v>
      </c>
      <c r="F12" s="4276">
        <v>316.94223786594307</v>
      </c>
      <c r="G12" s="4276">
        <v>8449.3345234176668</v>
      </c>
      <c r="H12" s="4277">
        <v>268.80940398453725</v>
      </c>
      <c r="I12" s="4278">
        <f t="shared" si="2"/>
        <v>6197.2216187189442</v>
      </c>
    </row>
    <row r="13" spans="2:10" ht="18" customHeight="1" thickBot="1" x14ac:dyDescent="0.25">
      <c r="B13" s="466" t="s">
        <v>1254</v>
      </c>
      <c r="C13" s="4279">
        <f>IF(SUM(Table4.A!U16,'Table4(IV)'!J19)=0,"NO",SUM(Table4.A!U16,'Table4(IV)'!J19))</f>
        <v>-33213.411999900607</v>
      </c>
      <c r="D13" s="4279">
        <f>'Table4(IV)'!K19</f>
        <v>5.0633628985400634</v>
      </c>
      <c r="E13" s="4279">
        <f>IF(SUM('Table4(III)'!I13,'Table4(IV)'!L19)=0,"NO",SUM('Table4(III)'!I13,'Table4(IV)'!L19))</f>
        <v>0.7751345975723658</v>
      </c>
      <c r="F13" s="4280">
        <v>3.4390806039114619</v>
      </c>
      <c r="G13" s="4280">
        <v>132.86998675024898</v>
      </c>
      <c r="H13" s="4281">
        <v>15.715006662539075</v>
      </c>
      <c r="I13" s="4282">
        <f t="shared" si="2"/>
        <v>-32866.227170384809</v>
      </c>
    </row>
    <row r="14" spans="2:10" ht="18" customHeight="1" x14ac:dyDescent="0.2">
      <c r="B14" s="464" t="s">
        <v>1255</v>
      </c>
      <c r="C14" s="4272">
        <f>IF(SUM(C15:C16)=0,"NO",SUM(C15:C16))</f>
        <v>-969.91863339067083</v>
      </c>
      <c r="D14" s="4272">
        <f t="shared" ref="D14" si="3">IF(SUM(D15:D16)=0,"NO",SUM(D15:D16))</f>
        <v>1.3155028975949434</v>
      </c>
      <c r="E14" s="4272">
        <f t="shared" ref="E14" si="4">IF(SUM(E15:E16)=0,"NO",SUM(E15:E16))</f>
        <v>9.1184510713735636E-2</v>
      </c>
      <c r="F14" s="4272">
        <f t="shared" ref="F14" si="5">IF(SUM(F15:F16)=0,"NO",SUM(F15:F16))</f>
        <v>0.99054236039143051</v>
      </c>
      <c r="G14" s="4272">
        <f t="shared" ref="G14" si="6">IF(SUM(G15:G16)=0,"NO",SUM(G15:G16))</f>
        <v>38.795154896665693</v>
      </c>
      <c r="H14" s="4273">
        <f t="shared" ref="H14" si="7">IF(SUM(H15:H16)=0,"NO",SUM(H15:H16))</f>
        <v>4.6895242182782688</v>
      </c>
      <c r="I14" s="4283">
        <f t="shared" si="2"/>
        <v>-908.92065691887251</v>
      </c>
    </row>
    <row r="15" spans="2:10" ht="18" customHeight="1" x14ac:dyDescent="0.2">
      <c r="B15" s="465" t="s">
        <v>1256</v>
      </c>
      <c r="C15" s="4275">
        <f>IF(SUM(Table4.B!S11,'Table4(IV)'!J26)=0,"NO",SUM(Table4.B!S11,'Table4(IV)'!J26))</f>
        <v>856.92160105763867</v>
      </c>
      <c r="D15" s="4275" t="str">
        <f>'Table4(IV)'!K26</f>
        <v>IE</v>
      </c>
      <c r="E15" s="4275" t="str">
        <f>'Table4(IV)'!L26</f>
        <v>IE</v>
      </c>
      <c r="F15" s="4276" t="s">
        <v>274</v>
      </c>
      <c r="G15" s="4276" t="s">
        <v>274</v>
      </c>
      <c r="H15" s="4277" t="s">
        <v>274</v>
      </c>
      <c r="I15" s="4278">
        <f t="shared" si="2"/>
        <v>856.92160105763867</v>
      </c>
    </row>
    <row r="16" spans="2:10" ht="18" customHeight="1" thickBot="1" x14ac:dyDescent="0.25">
      <c r="B16" s="466" t="s">
        <v>1257</v>
      </c>
      <c r="C16" s="4279">
        <f>IF(SUM(Table4.B!S13,'Table4(IV)'!J31)=0,"IE",SUM(Table4.B!S13,'Table4(IV)'!J31))</f>
        <v>-1826.8402344483095</v>
      </c>
      <c r="D16" s="4279">
        <f>'Table4(IV)'!K31</f>
        <v>1.3155028975949434</v>
      </c>
      <c r="E16" s="4279">
        <f>IF(SUM('Table4(III)'!I21,'Table4(IV)'!L31)=0,"IE",SUM('Table4(III)'!I21,'Table4(IV)'!L31))</f>
        <v>9.1184510713735636E-2</v>
      </c>
      <c r="F16" s="4280">
        <v>0.99054236039143051</v>
      </c>
      <c r="G16" s="4280">
        <v>38.795154896665693</v>
      </c>
      <c r="H16" s="4281">
        <v>4.6895242182782688</v>
      </c>
      <c r="I16" s="4282">
        <f t="shared" si="2"/>
        <v>-1765.8422579765111</v>
      </c>
    </row>
    <row r="17" spans="2:9" ht="18" customHeight="1" x14ac:dyDescent="0.2">
      <c r="B17" s="464" t="s">
        <v>1258</v>
      </c>
      <c r="C17" s="4272">
        <f>IF(SUM(C18:C19)=0,"NO",SUM(C18:C19))</f>
        <v>17109.88813970903</v>
      </c>
      <c r="D17" s="4272">
        <f t="shared" ref="D17" si="8">IF(SUM(D18:D19)=0,"NO",SUM(D18:D19))</f>
        <v>295.13144140299278</v>
      </c>
      <c r="E17" s="4272">
        <f t="shared" ref="E17" si="9">IF(SUM(E18:E19)=0,"NO",SUM(E18:E19))</f>
        <v>9.7104511389349639</v>
      </c>
      <c r="F17" s="4272">
        <f t="shared" ref="F17" si="10">IF(SUM(F18:F19)=0,"NO",SUM(F18:F19))</f>
        <v>574.75859541891771</v>
      </c>
      <c r="G17" s="4272">
        <f t="shared" ref="G17" si="11">IF(SUM(G18:G19)=0,"NO",SUM(G18:G19))</f>
        <v>14821.822229498157</v>
      </c>
      <c r="H17" s="4273">
        <f t="shared" ref="H17" si="12">IF(SUM(H18:H19)=0,"NO",SUM(H18:H19))</f>
        <v>312.98708789874246</v>
      </c>
      <c r="I17" s="4283">
        <f t="shared" si="2"/>
        <v>27946.838050810591</v>
      </c>
    </row>
    <row r="18" spans="2:9" ht="18" customHeight="1" x14ac:dyDescent="0.2">
      <c r="B18" s="465" t="s">
        <v>1259</v>
      </c>
      <c r="C18" s="4275">
        <f>IF(SUM(Table4.C!S11,'Table4(IV)'!J37)=0,"IE",SUM(Table4.C!S11,'Table4(IV)'!J37))</f>
        <v>-12540.381354608133</v>
      </c>
      <c r="D18" s="4275">
        <f>'Table4(IV)'!K37</f>
        <v>255.65147625684102</v>
      </c>
      <c r="E18" s="4275">
        <f>IF(SUM('Table4(III)'!I29,'Table4(IV)'!L37)=0,"NO",SUM('Table4(III)'!I29,'Table4(IV)'!L37))</f>
        <v>8.7321856956104771</v>
      </c>
      <c r="F18" s="4276">
        <v>543.76487240919164</v>
      </c>
      <c r="G18" s="4276">
        <v>13641.96654871662</v>
      </c>
      <c r="H18" s="4277">
        <v>176.82792905332508</v>
      </c>
      <c r="I18" s="4278">
        <f t="shared" si="2"/>
        <v>-3068.1108100798078</v>
      </c>
    </row>
    <row r="19" spans="2:9" ht="18" customHeight="1" thickBot="1" x14ac:dyDescent="0.25">
      <c r="B19" s="466" t="s">
        <v>1260</v>
      </c>
      <c r="C19" s="4279">
        <f>IF(SUM(Table4.C!S15,'Table4(IV)'!J42)=0,"IE",SUM(Table4.C!S15,'Table4(IV)'!J42))</f>
        <v>29650.269494317163</v>
      </c>
      <c r="D19" s="4279">
        <f>'Table4(IV)'!K42</f>
        <v>39.47996514615177</v>
      </c>
      <c r="E19" s="4279">
        <f>IF(SUM('Table4(III)'!I30,'Table4(IV)'!L42)=0,"NO",SUM('Table4(III)'!I30,'Table4(IV)'!L42))</f>
        <v>0.97826544332448739</v>
      </c>
      <c r="F19" s="4280">
        <v>30.993723009726104</v>
      </c>
      <c r="G19" s="4280">
        <v>1179.8556807815371</v>
      </c>
      <c r="H19" s="4281">
        <v>136.15915884541738</v>
      </c>
      <c r="I19" s="4282">
        <f t="shared" si="2"/>
        <v>31014.948860890403</v>
      </c>
    </row>
    <row r="20" spans="2:9" ht="18" customHeight="1" x14ac:dyDescent="0.2">
      <c r="B20" s="464" t="s">
        <v>1261</v>
      </c>
      <c r="C20" s="4272">
        <f>IF(SUM(C21:C22)=0,"NO",SUM(C21:C22))</f>
        <v>323.13623179214591</v>
      </c>
      <c r="D20" s="4272">
        <f t="shared" ref="D20" si="13">IF(SUM(D21:D22)=0,"NO",SUM(D21:D22))</f>
        <v>94.517210619913016</v>
      </c>
      <c r="E20" s="4272">
        <f t="shared" ref="E20" si="14">IF(SUM(E21:E22)=0,"NO",SUM(E21:E22))</f>
        <v>0.42033907360591199</v>
      </c>
      <c r="F20" s="4272">
        <f t="shared" ref="F20" si="15">IF(SUM(F21:F22)=0,"NO",SUM(F21:F22))</f>
        <v>30.793102872003235</v>
      </c>
      <c r="G20" s="4272">
        <f t="shared" ref="G20" si="16">IF(SUM(G21:G22)=0,"NO",SUM(G21:G22))</f>
        <v>738.3853389597615</v>
      </c>
      <c r="H20" s="4273">
        <f t="shared" ref="H20" si="17">IF(SUM(H21:H22)=0,"NO",SUM(H21:H22))</f>
        <v>0.47379725916584697</v>
      </c>
      <c r="I20" s="4283">
        <f t="shared" si="2"/>
        <v>3081.0079836552768</v>
      </c>
    </row>
    <row r="21" spans="2:9" ht="18" customHeight="1" x14ac:dyDescent="0.2">
      <c r="B21" s="465" t="s">
        <v>1262</v>
      </c>
      <c r="C21" s="4275">
        <f>IF(SUM(Table4.D!S11,'Table4(IV)'!J49)=0,"IE",SUM(Table4.D!S11,'Table4(IV)'!J49))</f>
        <v>298.70968146467851</v>
      </c>
      <c r="D21" s="4275">
        <f>IF(SUM('Table4(IV)'!K49,'Table4(II)'!J270)=0,"NO",SUM('Table4(IV)'!K49,'Table4(II)'!J270))</f>
        <v>93.440793896996354</v>
      </c>
      <c r="E21" s="4275">
        <f>IF(SUM('Table4(II)'!I270,'Table4(III)'!I38,'Table4(IV)'!L49)=0,"NO",SUM('Table4(II)'!I270,'Table4(III)'!I38,'Table4(IV)'!L49))</f>
        <v>0.42033907360591199</v>
      </c>
      <c r="F21" s="4276">
        <v>30.793102872003235</v>
      </c>
      <c r="G21" s="4276">
        <v>738.3853389597615</v>
      </c>
      <c r="H21" s="4277">
        <v>0.47379725916584697</v>
      </c>
      <c r="I21" s="4278">
        <f t="shared" si="2"/>
        <v>3026.4417650861428</v>
      </c>
    </row>
    <row r="22" spans="2:9" ht="18" customHeight="1" thickBot="1" x14ac:dyDescent="0.25">
      <c r="B22" s="466" t="s">
        <v>1263</v>
      </c>
      <c r="C22" s="4279">
        <f>IF(SUM(Table4.D!S23,'Table4(II)'!H320,'Table4(IV)'!J54)=0,"NO",SUM(Table4.D!S23,'Table4(II)'!H320,'Table4(IV)'!J54))</f>
        <v>24.426550327467407</v>
      </c>
      <c r="D22" s="4279">
        <f>IF(SUM('Table4(IV)'!K54,'Table4(II)'!J320)=0,"NO",SUM('Table4(IV)'!K54,'Table4(II)'!J320))</f>
        <v>1.0764167229166668</v>
      </c>
      <c r="E22" s="4279" t="str">
        <f>IF(SUM('Table4(II)'!I320,'Table4(III)'!I39,'Table4(IV)'!L54)=0,"NO",SUM('Table4(II)'!I320,'Table4(III)'!I39,'Table4(IV)'!L54))</f>
        <v>NO</v>
      </c>
      <c r="F22" s="4280" t="s">
        <v>274</v>
      </c>
      <c r="G22" s="4280" t="s">
        <v>274</v>
      </c>
      <c r="H22" s="4281" t="s">
        <v>274</v>
      </c>
      <c r="I22" s="4282">
        <f t="shared" si="2"/>
        <v>54.56621856913408</v>
      </c>
    </row>
    <row r="23" spans="2:9" ht="18" customHeight="1" x14ac:dyDescent="0.2">
      <c r="B23" s="464" t="s">
        <v>1264</v>
      </c>
      <c r="C23" s="4272">
        <f>IF(SUM(C24:C25)=0,"NO",SUM(C24:C25))</f>
        <v>4426.1221010674635</v>
      </c>
      <c r="D23" s="4272">
        <f t="shared" ref="D23" si="18">IF(SUM(D24:D25)=0,"NO",SUM(D24:D25))</f>
        <v>1.9785905705303795</v>
      </c>
      <c r="E23" s="4272">
        <f t="shared" ref="E23" si="19">IF(SUM(E24:E25)=0,"NO",SUM(E24:E25))</f>
        <v>6.2237409078646763E-2</v>
      </c>
      <c r="F23" s="4272">
        <f>IF(SUM(F24:F25)=0,"NO",SUM(F24:F25))</f>
        <v>1.4898315903100774</v>
      </c>
      <c r="G23" s="4272">
        <f t="shared" ref="G23" si="20">IF(SUM(G24:G25)=0,"NO",SUM(G24:G25))</f>
        <v>58.35010154758573</v>
      </c>
      <c r="H23" s="4273">
        <f t="shared" ref="H23" si="21">IF(SUM(H24:H25)=0,"NO",SUM(H24:H25))</f>
        <v>7.0533089782795928</v>
      </c>
      <c r="I23" s="4283">
        <f t="shared" si="2"/>
        <v>4498.0155504481554</v>
      </c>
    </row>
    <row r="24" spans="2:9" ht="18" customHeight="1" thickBot="1" x14ac:dyDescent="0.25">
      <c r="B24" s="465" t="s">
        <v>1265</v>
      </c>
      <c r="C24" s="4275">
        <f>IF(SUM(Table4.E!S11,'Table4(IV)'!J60)=0,"IE",SUM(Table4.E!S11,'Table4(IV)'!J60))</f>
        <v>-10.123799660155713</v>
      </c>
      <c r="D24" s="4275" t="str">
        <f>'Table4(IV)'!K60</f>
        <v>IE</v>
      </c>
      <c r="E24" s="4275">
        <f>IF(SUM('Table4(III)'!I47,'Table4(IV)'!L60)=0,"IE",SUM('Table4(III)'!I47,'Table4(IV)'!L60))</f>
        <v>1.0593274607795735E-4</v>
      </c>
      <c r="F24" s="4280" t="s">
        <v>274</v>
      </c>
      <c r="G24" s="4280" t="s">
        <v>274</v>
      </c>
      <c r="H24" s="4281" t="s">
        <v>274</v>
      </c>
      <c r="I24" s="4278">
        <f t="shared" si="2"/>
        <v>-10.095727482445055</v>
      </c>
    </row>
    <row r="25" spans="2:9" ht="18" customHeight="1" thickBot="1" x14ac:dyDescent="0.25">
      <c r="B25" s="466" t="s">
        <v>1266</v>
      </c>
      <c r="C25" s="4279">
        <f>IF(SUM(Table4.E!S13,'Table4(IV)'!J65)=0,"IE",SUM(Table4.E!S13,'Table4(IV)'!J65))</f>
        <v>4436.2459007276193</v>
      </c>
      <c r="D25" s="4279">
        <f>'Table4(IV)'!K65</f>
        <v>1.9785905705303795</v>
      </c>
      <c r="E25" s="4279">
        <f>IF(SUM('Table4(III)'!I48,'Table4(IV)'!L65)=0,"NO",SUM('Table4(III)'!I48,'Table4(IV)'!L65))</f>
        <v>6.2131476332568804E-2</v>
      </c>
      <c r="F25" s="4280">
        <v>1.4898315903100774</v>
      </c>
      <c r="G25" s="4280">
        <v>58.35010154758573</v>
      </c>
      <c r="H25" s="4281">
        <v>7.0533089782795928</v>
      </c>
      <c r="I25" s="4282">
        <f t="shared" si="2"/>
        <v>4508.1112779306004</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-3934.8637752528084</v>
      </c>
      <c r="D29" s="4288"/>
      <c r="E29" s="4288"/>
      <c r="F29" s="4288"/>
      <c r="G29" s="4288"/>
      <c r="H29" s="4289"/>
      <c r="I29" s="4290">
        <f t="shared" si="2"/>
        <v>-3934.8637752528084</v>
      </c>
    </row>
    <row r="30" spans="2:9" ht="18" customHeight="1" x14ac:dyDescent="0.2">
      <c r="B30" s="1167" t="s">
        <v>1271</v>
      </c>
      <c r="C30" s="4291">
        <f>IF(SUM(C31:C32)=0,"NO",SUM(C31:C32))</f>
        <v>1.4609316963755554</v>
      </c>
      <c r="D30" s="4291" t="str">
        <f t="shared" ref="D30" si="27">IF(SUM(D31:D32)=0,"NO",SUM(D31:D32))</f>
        <v>NO</v>
      </c>
      <c r="E30" s="4291">
        <f t="shared" ref="E30" si="28">IF(SUM(E31:E32)=0,"NO",SUM(E31:E32))</f>
        <v>0.15863280249112216</v>
      </c>
      <c r="F30" s="4291" t="str">
        <f t="shared" ref="F30" si="29">IF(SUM(F31:F32)=0,"NO",SUM(F31:F32))</f>
        <v>NO</v>
      </c>
      <c r="G30" s="4291" t="str">
        <f t="shared" ref="G30" si="30">IF(SUM(G31:G32)=0,"NO",SUM(G31:G32))</f>
        <v>NO</v>
      </c>
      <c r="H30" s="4292" t="str">
        <f t="shared" ref="H30" si="31">IF(SUM(H31:H32)=0,"NO",SUM(H31:H32))</f>
        <v>NO</v>
      </c>
      <c r="I30" s="4293">
        <f t="shared" si="2"/>
        <v>43.498624356522924</v>
      </c>
    </row>
    <row r="31" spans="2:9" ht="18" customHeight="1" x14ac:dyDescent="0.2">
      <c r="B31" s="2693" t="s">
        <v>1272</v>
      </c>
      <c r="C31" s="4294" t="s">
        <v>199</v>
      </c>
      <c r="D31" s="4294" t="s">
        <v>199</v>
      </c>
      <c r="E31" s="4294">
        <v>0.15863280249112216</v>
      </c>
      <c r="F31" s="4294" t="s">
        <v>199</v>
      </c>
      <c r="G31" s="4294" t="s">
        <v>199</v>
      </c>
      <c r="H31" s="4295" t="s">
        <v>199</v>
      </c>
      <c r="I31" s="4296">
        <f t="shared" si="2"/>
        <v>42.037692660147371</v>
      </c>
    </row>
    <row r="32" spans="2:9" ht="18" customHeight="1" thickBot="1" x14ac:dyDescent="0.25">
      <c r="B32" s="2692" t="s">
        <v>1273</v>
      </c>
      <c r="C32" s="4297">
        <v>1.4609316963755554</v>
      </c>
      <c r="D32" s="4297" t="s">
        <v>199</v>
      </c>
      <c r="E32" s="4297" t="s">
        <v>199</v>
      </c>
      <c r="F32" s="4298" t="s">
        <v>199</v>
      </c>
      <c r="G32" s="4298" t="s">
        <v>199</v>
      </c>
      <c r="H32" s="4298" t="s">
        <v>199</v>
      </c>
      <c r="I32" s="4282">
        <f t="shared" si="2"/>
        <v>1.4609316963755554</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-16664.506071174597</v>
      </c>
      <c r="D35" s="4297" t="s">
        <v>199</v>
      </c>
      <c r="E35" s="4297" t="s">
        <v>199</v>
      </c>
      <c r="F35" s="4297" t="s">
        <v>199</v>
      </c>
      <c r="G35" s="4297" t="s">
        <v>199</v>
      </c>
      <c r="H35" s="4297" t="s">
        <v>199</v>
      </c>
      <c r="I35" s="4302">
        <f t="shared" ref="I35" si="32">IF(SUM(C35:E35)=0,"NO",SUM(C35)+28*SUM(D35)+265*SUM(E35))</f>
        <v>-16664.506071174597</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382667.64405213739</v>
      </c>
      <c r="D10" s="4489">
        <f t="shared" ref="D10:I10" si="0">IF(SUM(D11,D37,D47)=0,"NO",SUM(D11,D37,D47))</f>
        <v>1378.2179010048872</v>
      </c>
      <c r="E10" s="4489">
        <f t="shared" si="0"/>
        <v>12.29988883236787</v>
      </c>
      <c r="F10" s="4489">
        <f t="shared" si="0"/>
        <v>2381.2620737725861</v>
      </c>
      <c r="G10" s="4489">
        <f t="shared" si="0"/>
        <v>2499.002051886092</v>
      </c>
      <c r="H10" s="4489">
        <f t="shared" si="0"/>
        <v>724.40069801984009</v>
      </c>
      <c r="I10" s="4490">
        <f t="shared" si="0"/>
        <v>726.65726217148313</v>
      </c>
      <c r="J10" s="4427">
        <f t="shared" ref="J10:J40" si="1">IF(SUM(C10:E10)=0,"NO",SUM(C10,IFERROR(28*D10,0),IFERROR(265*E10,0)))</f>
        <v>424517.21582085174</v>
      </c>
    </row>
    <row r="11" spans="2:10" s="83" customFormat="1" ht="18" customHeight="1" thickBot="1" x14ac:dyDescent="0.25">
      <c r="B11" s="18" t="s">
        <v>174</v>
      </c>
      <c r="C11" s="3010">
        <f>IF(SUM(C12,C16,C24,C30,C34)=0,"NO",SUM(C12,C16,C24,C30,C34))</f>
        <v>374373.11996466469</v>
      </c>
      <c r="D11" s="3010">
        <f t="shared" ref="D11:I11" si="2">IF(SUM(D12,D16,D24,D30,D34)=0,"NO",SUM(D12,D16,D24,D30,D34))</f>
        <v>79.577858577653984</v>
      </c>
      <c r="E11" s="3010">
        <f t="shared" si="2"/>
        <v>12.185263684579958</v>
      </c>
      <c r="F11" s="3010">
        <f t="shared" si="2"/>
        <v>2379.374727234901</v>
      </c>
      <c r="G11" s="3010">
        <f t="shared" si="2"/>
        <v>2488.2235425917188</v>
      </c>
      <c r="H11" s="3010">
        <f t="shared" si="2"/>
        <v>505.73222380278196</v>
      </c>
      <c r="I11" s="3011">
        <f t="shared" si="2"/>
        <v>726.65726217148313</v>
      </c>
      <c r="J11" s="3012">
        <f t="shared" si="1"/>
        <v>379830.39488125272</v>
      </c>
    </row>
    <row r="12" spans="2:10" s="83" customFormat="1" ht="18" customHeight="1" x14ac:dyDescent="0.2">
      <c r="B12" s="26" t="s">
        <v>175</v>
      </c>
      <c r="C12" s="3010">
        <f>IF(SUM(C13:C15)=0,"NO",SUM(C13:C15))</f>
        <v>220698.04942543415</v>
      </c>
      <c r="D12" s="3010">
        <f t="shared" ref="D12:I12" si="3">IF(SUM(D13:D15)=0,"NO",SUM(D13:D15))</f>
        <v>21.831268922385455</v>
      </c>
      <c r="E12" s="3010">
        <f t="shared" si="3"/>
        <v>4.1187199369974747</v>
      </c>
      <c r="F12" s="3010">
        <f t="shared" si="3"/>
        <v>1019.7947446028262</v>
      </c>
      <c r="G12" s="3010">
        <f t="shared" si="3"/>
        <v>208.21220840265329</v>
      </c>
      <c r="H12" s="3010">
        <f>IF(SUM(H13:H15)=0,"NO",SUM(H13:H15))</f>
        <v>56.887966180912329</v>
      </c>
      <c r="I12" s="3011">
        <f t="shared" si="3"/>
        <v>604.22313657440986</v>
      </c>
      <c r="J12" s="3012">
        <f t="shared" si="1"/>
        <v>222400.78573856526</v>
      </c>
    </row>
    <row r="13" spans="2:10" s="83" customFormat="1" ht="18" customHeight="1" x14ac:dyDescent="0.2">
      <c r="B13" s="20" t="s">
        <v>176</v>
      </c>
      <c r="C13" s="3013">
        <f>'Table1.A(a)s1'!H24</f>
        <v>197716.6769849378</v>
      </c>
      <c r="D13" s="3013">
        <f>'Table1.A(a)s1'!I24</f>
        <v>13.227608096213451</v>
      </c>
      <c r="E13" s="3013">
        <f>'Table1.A(a)s1'!J24</f>
        <v>3.5887610110556838</v>
      </c>
      <c r="F13" s="3014">
        <v>610.57653453389594</v>
      </c>
      <c r="G13" s="3014">
        <v>91.471179999239666</v>
      </c>
      <c r="H13" s="3014">
        <v>9.1054904005026902</v>
      </c>
      <c r="I13" s="3015">
        <v>582.14975794947077</v>
      </c>
      <c r="J13" s="3016">
        <f t="shared" si="1"/>
        <v>199038.07167956152</v>
      </c>
    </row>
    <row r="14" spans="2:10" s="83" customFormat="1" ht="18" customHeight="1" x14ac:dyDescent="0.2">
      <c r="B14" s="20" t="s">
        <v>177</v>
      </c>
      <c r="C14" s="3013">
        <f>'Table1.A(a)s1'!H53</f>
        <v>5141.3832924566168</v>
      </c>
      <c r="D14" s="3013">
        <f>'Table1.A(a)s1'!I53</f>
        <v>8.3711125773320766E-2</v>
      </c>
      <c r="E14" s="3013">
        <f>'Table1.A(a)s1'!J53</f>
        <v>1.6755475215255809E-2</v>
      </c>
      <c r="F14" s="3014">
        <v>34.63330310058155</v>
      </c>
      <c r="G14" s="3014">
        <v>4.2368331681563003</v>
      </c>
      <c r="H14" s="3014">
        <v>8.3780464124849061E-2</v>
      </c>
      <c r="I14" s="3015">
        <v>7.3964770363672958</v>
      </c>
      <c r="J14" s="3016">
        <f t="shared" si="1"/>
        <v>5148.1674049103131</v>
      </c>
    </row>
    <row r="15" spans="2:10" s="83" customFormat="1" ht="18" customHeight="1" thickBot="1" x14ac:dyDescent="0.25">
      <c r="B15" s="21" t="s">
        <v>178</v>
      </c>
      <c r="C15" s="3017">
        <f>'Table1.A(a)s1'!H60</f>
        <v>17839.98914803972</v>
      </c>
      <c r="D15" s="3017">
        <f>'Table1.A(a)s1'!I60</f>
        <v>8.5199497003986817</v>
      </c>
      <c r="E15" s="3017">
        <f>'Table1.A(a)s1'!J60</f>
        <v>0.51320345072653506</v>
      </c>
      <c r="F15" s="3018">
        <v>374.58490696834872</v>
      </c>
      <c r="G15" s="3018">
        <v>112.50419523525733</v>
      </c>
      <c r="H15" s="3018">
        <v>47.698695316284791</v>
      </c>
      <c r="I15" s="3019">
        <v>14.676901588571862</v>
      </c>
      <c r="J15" s="3020">
        <f t="shared" si="1"/>
        <v>18214.546654093414</v>
      </c>
    </row>
    <row r="16" spans="2:10" s="83" customFormat="1" ht="18" customHeight="1" x14ac:dyDescent="0.2">
      <c r="B16" s="25" t="s">
        <v>179</v>
      </c>
      <c r="C16" s="3010">
        <f>IF(SUM(C17:C23)=0,"NO",SUM(C17:C23))</f>
        <v>42444.02596621681</v>
      </c>
      <c r="D16" s="3010">
        <f t="shared" ref="D16:I16" si="4">IF(SUM(D17:D23)=0,"NO",SUM(D17:D23))</f>
        <v>2.385915336233952</v>
      </c>
      <c r="E16" s="3010">
        <f t="shared" si="4"/>
        <v>1.3750591461183621</v>
      </c>
      <c r="F16" s="3010">
        <f t="shared" si="4"/>
        <v>694.72460272653473</v>
      </c>
      <c r="G16" s="3010">
        <f t="shared" si="4"/>
        <v>222.60197914896074</v>
      </c>
      <c r="H16" s="3010">
        <f t="shared" si="4"/>
        <v>96.417554714996029</v>
      </c>
      <c r="I16" s="3011">
        <f t="shared" si="4"/>
        <v>88.208465885726298</v>
      </c>
      <c r="J16" s="3012">
        <f t="shared" si="1"/>
        <v>42875.222269352729</v>
      </c>
    </row>
    <row r="17" spans="2:10" s="83" customFormat="1" ht="18" customHeight="1" x14ac:dyDescent="0.2">
      <c r="B17" s="20" t="s">
        <v>180</v>
      </c>
      <c r="C17" s="3013">
        <f>'Table1.A(a)s2'!H17</f>
        <v>1575.0340391795262</v>
      </c>
      <c r="D17" s="3013">
        <f>'Table1.A(a)s2'!I17</f>
        <v>3.5697515767126521E-2</v>
      </c>
      <c r="E17" s="3013">
        <f>'Table1.A(a)s2'!J17</f>
        <v>2.0253369973627488E-2</v>
      </c>
      <c r="F17" s="3014">
        <v>17.895050676825711</v>
      </c>
      <c r="G17" s="3014">
        <v>2.9087592443484769</v>
      </c>
      <c r="H17" s="3014">
        <v>0.31725707431901451</v>
      </c>
      <c r="I17" s="3015">
        <v>7.6299089203608723</v>
      </c>
      <c r="J17" s="3016">
        <f t="shared" si="1"/>
        <v>1581.400712664017</v>
      </c>
    </row>
    <row r="18" spans="2:10" s="83" customFormat="1" ht="18" customHeight="1" x14ac:dyDescent="0.2">
      <c r="B18" s="20" t="s">
        <v>181</v>
      </c>
      <c r="C18" s="3013">
        <f>'Table1.A(a)s2'!H24</f>
        <v>12959.953606288549</v>
      </c>
      <c r="D18" s="3013">
        <f>'Table1.A(a)s2'!I24</f>
        <v>0.24913616945157427</v>
      </c>
      <c r="E18" s="3013">
        <f>'Table1.A(a)s2'!J24</f>
        <v>0.14760089226093279</v>
      </c>
      <c r="F18" s="3014">
        <v>97.859725110209411</v>
      </c>
      <c r="G18" s="3014">
        <v>16.133356075696188</v>
      </c>
      <c r="H18" s="3014">
        <v>2.8833266851620292</v>
      </c>
      <c r="I18" s="3015">
        <v>49.717298807083019</v>
      </c>
      <c r="J18" s="3016">
        <f t="shared" si="1"/>
        <v>13006.043655482341</v>
      </c>
    </row>
    <row r="19" spans="2:10" s="83" customFormat="1" ht="18" customHeight="1" x14ac:dyDescent="0.2">
      <c r="B19" s="20" t="s">
        <v>182</v>
      </c>
      <c r="C19" s="3013">
        <f>'Table1.A(a)s2'!H31</f>
        <v>8675.2219090522522</v>
      </c>
      <c r="D19" s="3013">
        <f>'Table1.A(a)s2'!I31</f>
        <v>0.28337435066403105</v>
      </c>
      <c r="E19" s="3013">
        <f>'Table1.A(a)s2'!J31</f>
        <v>0.10919027769740486</v>
      </c>
      <c r="F19" s="3014">
        <v>58.530800247941734</v>
      </c>
      <c r="G19" s="3014">
        <v>20.098538372069374</v>
      </c>
      <c r="H19" s="3014">
        <v>12.252758469514742</v>
      </c>
      <c r="I19" s="3015">
        <v>5.9498620688190016</v>
      </c>
      <c r="J19" s="3016">
        <f t="shared" si="1"/>
        <v>8712.0918144606567</v>
      </c>
    </row>
    <row r="20" spans="2:10" s="83" customFormat="1" ht="18" customHeight="1" x14ac:dyDescent="0.2">
      <c r="B20" s="20" t="s">
        <v>183</v>
      </c>
      <c r="C20" s="3013">
        <f>'Table1.A(a)s2'!H38</f>
        <v>1018.4119734563906</v>
      </c>
      <c r="D20" s="3013">
        <f>'Table1.A(a)s2'!I38</f>
        <v>0.22019045329210227</v>
      </c>
      <c r="E20" s="3013">
        <f>'Table1.A(a)s2'!J38</f>
        <v>0.14582759607214799</v>
      </c>
      <c r="F20" s="3014">
        <v>8.5972869984771823</v>
      </c>
      <c r="G20" s="3014">
        <v>6.0580045265091034</v>
      </c>
      <c r="H20" s="3014">
        <v>0.58085562218319309</v>
      </c>
      <c r="I20" s="3015">
        <v>1.2075979313435952</v>
      </c>
      <c r="J20" s="3016">
        <f t="shared" si="1"/>
        <v>1063.2216191076886</v>
      </c>
    </row>
    <row r="21" spans="2:10" s="83" customFormat="1" ht="18" customHeight="1" x14ac:dyDescent="0.2">
      <c r="B21" s="20" t="s">
        <v>184</v>
      </c>
      <c r="C21" s="3013">
        <f>'Table1.A(a)s2'!H45</f>
        <v>3007.2926173576298</v>
      </c>
      <c r="D21" s="3013">
        <f>'Table1.A(a)s2'!I45</f>
        <v>0.74664462765669037</v>
      </c>
      <c r="E21" s="3013">
        <f>'Table1.A(a)s2'!J45</f>
        <v>0.48564825840132197</v>
      </c>
      <c r="F21" s="3014">
        <v>23.086626267113434</v>
      </c>
      <c r="G21" s="3014">
        <v>20.710214949053256</v>
      </c>
      <c r="H21" s="3014">
        <v>1.5843179947658304</v>
      </c>
      <c r="I21" s="3015">
        <v>4.1925637530847837</v>
      </c>
      <c r="J21" s="3016">
        <f t="shared" si="1"/>
        <v>3156.8954554083675</v>
      </c>
    </row>
    <row r="22" spans="2:10" s="83" customFormat="1" ht="18" customHeight="1" x14ac:dyDescent="0.2">
      <c r="B22" s="20" t="s">
        <v>185</v>
      </c>
      <c r="C22" s="3013">
        <f>'Table1.A(a)s2'!H52</f>
        <v>5815.4284071256279</v>
      </c>
      <c r="D22" s="3013">
        <f>'Table1.A(a)s2'!I52</f>
        <v>0.35741329002102512</v>
      </c>
      <c r="E22" s="3013">
        <f>'Table1.A(a)s2'!J52</f>
        <v>5.6273985694687521E-2</v>
      </c>
      <c r="F22" s="3014">
        <v>91.438050872917557</v>
      </c>
      <c r="G22" s="3014">
        <v>29.615189266637614</v>
      </c>
      <c r="H22" s="3014">
        <v>19.763757707970012</v>
      </c>
      <c r="I22" s="3015">
        <v>10.049506013055517</v>
      </c>
      <c r="J22" s="3016">
        <f t="shared" si="1"/>
        <v>5840.3485854553082</v>
      </c>
    </row>
    <row r="23" spans="2:10" s="83" customFormat="1" ht="18" customHeight="1" thickBot="1" x14ac:dyDescent="0.25">
      <c r="B23" s="3039" t="s">
        <v>186</v>
      </c>
      <c r="C23" s="3013">
        <f>'Table1.A(a)s2'!H59</f>
        <v>9392.6834137568403</v>
      </c>
      <c r="D23" s="3013">
        <f>'Table1.A(a)s2'!I59</f>
        <v>0.49345892938140229</v>
      </c>
      <c r="E23" s="3013">
        <f>'Table1.A(a)s2'!J59</f>
        <v>0.41026476601823952</v>
      </c>
      <c r="F23" s="3014">
        <v>397.31706255304971</v>
      </c>
      <c r="G23" s="3014">
        <v>127.07791671464672</v>
      </c>
      <c r="H23" s="3014">
        <v>59.035281161081215</v>
      </c>
      <c r="I23" s="3015">
        <v>9.4617283919795021</v>
      </c>
      <c r="J23" s="3016">
        <f t="shared" si="1"/>
        <v>9515.2204267743527</v>
      </c>
    </row>
    <row r="24" spans="2:10" s="83" customFormat="1" ht="18" customHeight="1" x14ac:dyDescent="0.2">
      <c r="B24" s="25" t="s">
        <v>187</v>
      </c>
      <c r="C24" s="3010">
        <f>IF(SUM(C25:C29)=0,"NO",SUM(C25:C29))</f>
        <v>89746.900002213864</v>
      </c>
      <c r="D24" s="3010">
        <f t="shared" ref="D24:I24" si="5">IF(SUM(D25:D29)=0,"NO",SUM(D25:D29))</f>
        <v>16.069172104575639</v>
      </c>
      <c r="E24" s="3010">
        <f t="shared" si="5"/>
        <v>6.0009155630814144</v>
      </c>
      <c r="F24" s="3010">
        <f t="shared" si="5"/>
        <v>298.86174019069512</v>
      </c>
      <c r="G24" s="3010">
        <f t="shared" si="5"/>
        <v>1378.1900769294214</v>
      </c>
      <c r="H24" s="3010">
        <f t="shared" si="5"/>
        <v>236.5529465480929</v>
      </c>
      <c r="I24" s="3011">
        <f t="shared" si="5"/>
        <v>26.079642384489823</v>
      </c>
      <c r="J24" s="3012">
        <f t="shared" si="1"/>
        <v>91787.07944535857</v>
      </c>
    </row>
    <row r="25" spans="2:10" s="83" customFormat="1" ht="18" customHeight="1" x14ac:dyDescent="0.2">
      <c r="B25" s="20" t="s">
        <v>188</v>
      </c>
      <c r="C25" s="1884">
        <f>'Table1.A(a)s3'!H16</f>
        <v>7925.9338914978007</v>
      </c>
      <c r="D25" s="1884">
        <f>'Table1.A(a)s3'!I16</f>
        <v>3.7070479250238257E-2</v>
      </c>
      <c r="E25" s="1884">
        <f>'Table1.A(a)s3'!J16</f>
        <v>6.0023992787256994E-2</v>
      </c>
      <c r="F25" s="3014">
        <v>26.818965188698343</v>
      </c>
      <c r="G25" s="3014">
        <v>17.763927552012557</v>
      </c>
      <c r="H25" s="3014">
        <v>1.7426596129769787</v>
      </c>
      <c r="I25" s="3015">
        <v>0.93467021542988027</v>
      </c>
      <c r="J25" s="3016">
        <f t="shared" si="1"/>
        <v>7942.8782230054303</v>
      </c>
    </row>
    <row r="26" spans="2:10" s="83" customFormat="1" ht="18" customHeight="1" x14ac:dyDescent="0.2">
      <c r="B26" s="20" t="s">
        <v>189</v>
      </c>
      <c r="C26" s="1884">
        <f>'Table1.A(a)s3'!H20</f>
        <v>76876.880519039987</v>
      </c>
      <c r="D26" s="1884">
        <f>'Table1.A(a)s3'!I20</f>
        <v>11.218884571349337</v>
      </c>
      <c r="E26" s="1884">
        <f>'Table1.A(a)s3'!J20</f>
        <v>4.7423957960599683</v>
      </c>
      <c r="F26" s="3014">
        <v>192.89173328610974</v>
      </c>
      <c r="G26" s="3014">
        <v>1100.3333060536374</v>
      </c>
      <c r="H26" s="3014">
        <v>190.86991387580943</v>
      </c>
      <c r="I26" s="3015">
        <v>16.19732492877441</v>
      </c>
      <c r="J26" s="3016">
        <f t="shared" si="1"/>
        <v>78447.744172993669</v>
      </c>
    </row>
    <row r="27" spans="2:10" s="83" customFormat="1" ht="18" customHeight="1" x14ac:dyDescent="0.2">
      <c r="B27" s="20" t="s">
        <v>190</v>
      </c>
      <c r="C27" s="1884">
        <f>'Table1.A(a)s3'!H81</f>
        <v>2715.9698825312007</v>
      </c>
      <c r="D27" s="1884">
        <f>'Table1.A(a)s3'!I81</f>
        <v>0.15540799999999999</v>
      </c>
      <c r="E27" s="1884">
        <f>'Table1.A(a)s3'!J81</f>
        <v>1.1655599999999999</v>
      </c>
      <c r="F27" s="3014">
        <v>59.443559999999998</v>
      </c>
      <c r="G27" s="3014">
        <v>7.8481040000000002</v>
      </c>
      <c r="H27" s="3014">
        <v>2.7584920000000004</v>
      </c>
      <c r="I27" s="3015">
        <v>2.2189921742914978</v>
      </c>
      <c r="J27" s="3016">
        <f t="shared" si="1"/>
        <v>3029.1947065312006</v>
      </c>
    </row>
    <row r="28" spans="2:10" s="83" customFormat="1" ht="18" customHeight="1" x14ac:dyDescent="0.2">
      <c r="B28" s="20" t="s">
        <v>191</v>
      </c>
      <c r="C28" s="1884">
        <f>'Table1.A(a)s3'!H88</f>
        <v>1678.9554613095015</v>
      </c>
      <c r="D28" s="1884">
        <f>'Table1.A(a)s3'!I88</f>
        <v>4.5432691845682704</v>
      </c>
      <c r="E28" s="1884">
        <f>'Table1.A(a)s3'!J88</f>
        <v>3.1804989533957898E-2</v>
      </c>
      <c r="F28" s="3014">
        <v>17.590320181122522</v>
      </c>
      <c r="G28" s="3014">
        <v>246.98975532156678</v>
      </c>
      <c r="H28" s="3014">
        <v>40.414051933305743</v>
      </c>
      <c r="I28" s="3015">
        <v>6.7233239374352873</v>
      </c>
      <c r="J28" s="3016">
        <f t="shared" si="1"/>
        <v>1814.595320703912</v>
      </c>
    </row>
    <row r="29" spans="2:10" s="83" customFormat="1" ht="18" customHeight="1" thickBot="1" x14ac:dyDescent="0.25">
      <c r="B29" s="22" t="s">
        <v>192</v>
      </c>
      <c r="C29" s="1888">
        <f>'Table1.A(a)s3'!H99</f>
        <v>549.16024783538683</v>
      </c>
      <c r="D29" s="1888">
        <f>'Table1.A(a)s3'!I99</f>
        <v>0.11453986940779598</v>
      </c>
      <c r="E29" s="1888">
        <f>'Table1.A(a)s3'!J99</f>
        <v>1.1307847002304274E-3</v>
      </c>
      <c r="F29" s="3021">
        <v>2.1171615347644774</v>
      </c>
      <c r="G29" s="3021">
        <v>5.2549840022048153</v>
      </c>
      <c r="H29" s="3021">
        <v>0.76782912600078401</v>
      </c>
      <c r="I29" s="3022">
        <v>5.3311285587513508E-3</v>
      </c>
      <c r="J29" s="3023">
        <f t="shared" si="1"/>
        <v>552.66702212436621</v>
      </c>
    </row>
    <row r="30" spans="2:10" ht="18" customHeight="1" x14ac:dyDescent="0.2">
      <c r="B30" s="26" t="s">
        <v>193</v>
      </c>
      <c r="C30" s="3010">
        <f>IF(SUM(C31:C33)=0,"NO",SUM(C31:C33))</f>
        <v>20619.970448276905</v>
      </c>
      <c r="D30" s="3010">
        <f t="shared" ref="D30" si="6">IF(SUM(D31:D33)=0,"NO",SUM(D31:D33))</f>
        <v>39.259914661009276</v>
      </c>
      <c r="E30" s="3010">
        <f t="shared" ref="E30" si="7">IF(SUM(E31:E33)=0,"NO",SUM(E31:E33))</f>
        <v>0.66614365804568554</v>
      </c>
      <c r="F30" s="3010">
        <f t="shared" ref="F30" si="8">IF(SUM(F31:F33)=0,"NO",SUM(F31:F33))</f>
        <v>358.11984969477379</v>
      </c>
      <c r="G30" s="3010">
        <f t="shared" ref="G30" si="9">IF(SUM(G31:G33)=0,"NO",SUM(G31:G33))</f>
        <v>676.52572885510108</v>
      </c>
      <c r="H30" s="3010">
        <f t="shared" ref="H30" si="10">IF(SUM(H31:H33)=0,"NO",SUM(H31:H33))</f>
        <v>115.44732228723987</v>
      </c>
      <c r="I30" s="3011">
        <f t="shared" ref="I30" si="11">IF(SUM(I31:I33)=0,"NO",SUM(I31:I33))</f>
        <v>7.8492334800230594</v>
      </c>
      <c r="J30" s="3024">
        <f t="shared" si="1"/>
        <v>21895.776128167272</v>
      </c>
    </row>
    <row r="31" spans="2:10" ht="18" customHeight="1" x14ac:dyDescent="0.2">
      <c r="B31" s="20" t="s">
        <v>194</v>
      </c>
      <c r="C31" s="3013">
        <f>'Table1.A(a)s4'!H17</f>
        <v>5353.5481620515729</v>
      </c>
      <c r="D31" s="3013">
        <f>'Table1.A(a)s4'!I17</f>
        <v>0.1174916808038028</v>
      </c>
      <c r="E31" s="3013">
        <f>'Table1.A(a)s4'!J17</f>
        <v>9.7868896520849333E-2</v>
      </c>
      <c r="F31" s="3014">
        <v>29.721040994390414</v>
      </c>
      <c r="G31" s="3014">
        <v>11.273192537567173</v>
      </c>
      <c r="H31" s="3014">
        <v>3.83255116355588</v>
      </c>
      <c r="I31" s="3015">
        <v>2.6310177543649367</v>
      </c>
      <c r="J31" s="3016">
        <f t="shared" si="1"/>
        <v>5382.773186692104</v>
      </c>
    </row>
    <row r="32" spans="2:10" ht="18" customHeight="1" x14ac:dyDescent="0.2">
      <c r="B32" s="20" t="s">
        <v>195</v>
      </c>
      <c r="C32" s="3013">
        <f>'Table1.A(a)s4'!H38</f>
        <v>9031.4804270169334</v>
      </c>
      <c r="D32" s="3013">
        <f>'Table1.A(a)s4'!I38</f>
        <v>38.540732509209803</v>
      </c>
      <c r="E32" s="3013">
        <f>'Table1.A(a)s4'!J38</f>
        <v>0.24745356671964142</v>
      </c>
      <c r="F32" s="3014">
        <v>12.426711012071634</v>
      </c>
      <c r="G32" s="3014">
        <v>525.86846503614856</v>
      </c>
      <c r="H32" s="3014">
        <v>62.127403604203465</v>
      </c>
      <c r="I32" s="3015">
        <v>0.53560097372829829</v>
      </c>
      <c r="J32" s="3016">
        <f t="shared" si="1"/>
        <v>10176.196132455512</v>
      </c>
    </row>
    <row r="33" spans="2:10" ht="18" customHeight="1" thickBot="1" x14ac:dyDescent="0.25">
      <c r="B33" s="20" t="s">
        <v>196</v>
      </c>
      <c r="C33" s="3013">
        <f>'Table1.A(a)s4'!H59</f>
        <v>6234.9418592083994</v>
      </c>
      <c r="D33" s="3013">
        <f>'Table1.A(a)s4'!I59</f>
        <v>0.60169047099567108</v>
      </c>
      <c r="E33" s="3013">
        <f>'Table1.A(a)s4'!J59</f>
        <v>0.32082119480519478</v>
      </c>
      <c r="F33" s="3014">
        <v>315.97209768831175</v>
      </c>
      <c r="G33" s="3014">
        <v>139.38407128138527</v>
      </c>
      <c r="H33" s="3014">
        <v>49.487367519480522</v>
      </c>
      <c r="I33" s="3015">
        <v>4.6826147519298242</v>
      </c>
      <c r="J33" s="3016">
        <f t="shared" si="1"/>
        <v>6336.8068090196548</v>
      </c>
    </row>
    <row r="34" spans="2:10" ht="18" customHeight="1" x14ac:dyDescent="0.2">
      <c r="B34" s="25" t="s">
        <v>197</v>
      </c>
      <c r="C34" s="3010">
        <f>IF(SUM(C35:C36)=0,"NO",SUM(C35:C36))</f>
        <v>864.17412252301722</v>
      </c>
      <c r="D34" s="3010">
        <f t="shared" ref="D34:E34" si="12">IF(SUM(D35:D36)=0,"NO",SUM(D35:D36))</f>
        <v>3.1587553449673587E-2</v>
      </c>
      <c r="E34" s="3010">
        <f t="shared" si="12"/>
        <v>2.4425380337021515E-2</v>
      </c>
      <c r="F34" s="3010">
        <f t="shared" ref="F34:I34" si="13">IF(SUM(F35:F36)=0,"NO",SUM(F35:F36))</f>
        <v>7.8737900200714135</v>
      </c>
      <c r="G34" s="3010">
        <f t="shared" si="13"/>
        <v>2.6935492555823601</v>
      </c>
      <c r="H34" s="3010">
        <f t="shared" si="13"/>
        <v>0.42643407154080254</v>
      </c>
      <c r="I34" s="3011">
        <f t="shared" si="13"/>
        <v>0.29678384683404169</v>
      </c>
      <c r="J34" s="3012">
        <f t="shared" si="1"/>
        <v>871.53129980891879</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864.17412252301722</v>
      </c>
      <c r="D36" s="3025">
        <f>'Table1.A(a)s4'!I108</f>
        <v>3.1587553449673587E-2</v>
      </c>
      <c r="E36" s="3025">
        <f>'Table1.A(a)s4'!J108</f>
        <v>2.4425380337021515E-2</v>
      </c>
      <c r="F36" s="3021">
        <v>7.8737900200714135</v>
      </c>
      <c r="G36" s="3021">
        <v>2.6935492555823601</v>
      </c>
      <c r="H36" s="3021">
        <v>0.42643407154080254</v>
      </c>
      <c r="I36" s="3022">
        <v>0.29678384683404169</v>
      </c>
      <c r="J36" s="3023">
        <f t="shared" si="1"/>
        <v>871.53129980891879</v>
      </c>
    </row>
    <row r="37" spans="2:10" ht="18" customHeight="1" thickBot="1" x14ac:dyDescent="0.25">
      <c r="B37" s="18" t="s">
        <v>201</v>
      </c>
      <c r="C37" s="3010">
        <f>IF(SUM(C38,C42)=0,"NO",SUM(C38,C42))</f>
        <v>8294.5240874727278</v>
      </c>
      <c r="D37" s="3010">
        <f t="shared" ref="D37:I37" si="14">IF(SUM(D38,D42)=0,"NO",SUM(D38,D42))</f>
        <v>1298.6400424272331</v>
      </c>
      <c r="E37" s="3010">
        <f t="shared" si="14"/>
        <v>0.11462514778791104</v>
      </c>
      <c r="F37" s="3010">
        <f t="shared" si="14"/>
        <v>1.887346537685</v>
      </c>
      <c r="G37" s="3010">
        <f t="shared" si="14"/>
        <v>10.778509294373</v>
      </c>
      <c r="H37" s="3010">
        <f t="shared" si="14"/>
        <v>218.66847421705808</v>
      </c>
      <c r="I37" s="3011" t="str">
        <f t="shared" si="14"/>
        <v>NO</v>
      </c>
      <c r="J37" s="3012">
        <f t="shared" si="1"/>
        <v>44686.820939599049</v>
      </c>
    </row>
    <row r="38" spans="2:10" ht="18" customHeight="1" x14ac:dyDescent="0.2">
      <c r="B38" s="26" t="s">
        <v>202</v>
      </c>
      <c r="C38" s="3010">
        <f>IF(SUM(C39:C41)=0,"NO",SUM(C39:C41))</f>
        <v>1580.216366257682</v>
      </c>
      <c r="D38" s="3010">
        <f t="shared" ref="D38" si="15">IF(SUM(D39:D41)=0,"NO",SUM(D39:D41))</f>
        <v>1071.3959969149528</v>
      </c>
      <c r="E38" s="3010">
        <f t="shared" ref="E38" si="16">IF(SUM(E39:E41)=0,"NO",SUM(E39:E41))</f>
        <v>3.5333623858198928E-4</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31579.397913979585</v>
      </c>
    </row>
    <row r="39" spans="2:10" ht="18" customHeight="1" x14ac:dyDescent="0.2">
      <c r="B39" s="20" t="s">
        <v>203</v>
      </c>
      <c r="C39" s="3013">
        <f>'Table1.B.1'!G10</f>
        <v>1580.216366257682</v>
      </c>
      <c r="D39" s="3013">
        <f>'Table1.B.1'!F10</f>
        <v>1071.3959969149528</v>
      </c>
      <c r="E39" s="3014">
        <v>3.5333623858198928E-4</v>
      </c>
      <c r="F39" s="3014" t="s">
        <v>199</v>
      </c>
      <c r="G39" s="3014" t="s">
        <v>199</v>
      </c>
      <c r="H39" s="3014" t="s">
        <v>199</v>
      </c>
      <c r="I39" s="2940"/>
      <c r="J39" s="3016">
        <f t="shared" si="1"/>
        <v>31579.397913979585</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6714.3077212150456</v>
      </c>
      <c r="D42" s="3010">
        <f t="shared" ref="D42:I42" si="21">IF(SUM(D43:D46)=0,"NO",SUM(D43:D46))</f>
        <v>227.24404551228031</v>
      </c>
      <c r="E42" s="4491">
        <f t="shared" si="21"/>
        <v>0.11427181154932906</v>
      </c>
      <c r="F42" s="3010">
        <f t="shared" si="21"/>
        <v>1.887346537685</v>
      </c>
      <c r="G42" s="3010">
        <f t="shared" si="21"/>
        <v>10.778509294373</v>
      </c>
      <c r="H42" s="3010">
        <f t="shared" si="21"/>
        <v>218.66847421705808</v>
      </c>
      <c r="I42" s="3011" t="str">
        <f t="shared" si="21"/>
        <v>NO</v>
      </c>
      <c r="J42" s="3012">
        <f t="shared" ref="J42:J59" si="22">IF(SUM(C42:E42)=0,"NO",SUM(C42,IFERROR(28*D42,0),IFERROR(265*E42,0)))</f>
        <v>13107.423025619466</v>
      </c>
    </row>
    <row r="43" spans="2:10" ht="18" customHeight="1" x14ac:dyDescent="0.2">
      <c r="B43" s="20" t="s">
        <v>208</v>
      </c>
      <c r="C43" s="3013">
        <f>'Table1.B.2'!I10</f>
        <v>229.60731854549999</v>
      </c>
      <c r="D43" s="3013">
        <f>'Table1.B.2'!J10</f>
        <v>4.9756270180422888</v>
      </c>
      <c r="E43" s="4492">
        <f>'Table1.B.2'!K10</f>
        <v>7.3061054508000009E-3</v>
      </c>
      <c r="F43" s="3014">
        <v>0.13515730920000002</v>
      </c>
      <c r="G43" s="3014">
        <v>0.78260876915999988</v>
      </c>
      <c r="H43" s="3014">
        <v>117.97909381548355</v>
      </c>
      <c r="I43" s="3015" t="s">
        <v>199</v>
      </c>
      <c r="J43" s="3016">
        <f t="shared" si="22"/>
        <v>370.86099299514609</v>
      </c>
    </row>
    <row r="44" spans="2:10" ht="18" customHeight="1" x14ac:dyDescent="0.2">
      <c r="B44" s="20" t="s">
        <v>209</v>
      </c>
      <c r="C44" s="3013">
        <f>SUM('Table1.B.2'!I21)</f>
        <v>130.7756688095655</v>
      </c>
      <c r="D44" s="3013">
        <f>'Table1.B.2'!J21</f>
        <v>153.31776872858597</v>
      </c>
      <c r="E44" s="4492">
        <f>'Table1.B.2'!K21</f>
        <v>3.3723588924E-3</v>
      </c>
      <c r="F44" s="3014">
        <v>6.2451090600000009E-2</v>
      </c>
      <c r="G44" s="3014">
        <v>0.36221632547999999</v>
      </c>
      <c r="H44" s="3014">
        <v>84.092880122724523</v>
      </c>
      <c r="I44" s="3015" t="s">
        <v>199</v>
      </c>
      <c r="J44" s="3016">
        <f t="shared" si="22"/>
        <v>4424.5668683164577</v>
      </c>
    </row>
    <row r="45" spans="2:10" ht="18" customHeight="1" x14ac:dyDescent="0.2">
      <c r="B45" s="20" t="s">
        <v>210</v>
      </c>
      <c r="C45" s="3013">
        <f>'Table1.B.2'!I31</f>
        <v>6353.9247338599798</v>
      </c>
      <c r="D45" s="3013">
        <f>'Table1.B.2'!J31</f>
        <v>68.950649765652031</v>
      </c>
      <c r="E45" s="4492">
        <f>'Table1.B.2'!K31</f>
        <v>0.10359334720612905</v>
      </c>
      <c r="F45" s="3014">
        <v>1.689738137885</v>
      </c>
      <c r="G45" s="3014">
        <v>9.6336841997330005</v>
      </c>
      <c r="H45" s="3014">
        <v>16.596500278849998</v>
      </c>
      <c r="I45" s="3015" t="s">
        <v>199</v>
      </c>
      <c r="J45" s="3016">
        <f t="shared" si="22"/>
        <v>8311.9951643078603</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12910.479500000001</v>
      </c>
      <c r="D52" s="3013">
        <f t="shared" ref="D52:I52" si="23">IF(SUM(D53:D54)=0,"NO",SUM(D53:D54))</f>
        <v>0.25329020953488374</v>
      </c>
      <c r="E52" s="3013">
        <f t="shared" si="23"/>
        <v>0.1199910280188005</v>
      </c>
      <c r="F52" s="3013">
        <f t="shared" si="23"/>
        <v>119.07784030521665</v>
      </c>
      <c r="G52" s="3013">
        <f t="shared" si="23"/>
        <v>18.208737808470012</v>
      </c>
      <c r="H52" s="3013">
        <f t="shared" si="23"/>
        <v>10.018073061122644</v>
      </c>
      <c r="I52" s="3034">
        <f t="shared" si="23"/>
        <v>41.777424159244276</v>
      </c>
      <c r="J52" s="3016">
        <f t="shared" si="22"/>
        <v>12949.36924829196</v>
      </c>
    </row>
    <row r="53" spans="2:10" ht="18" customHeight="1" x14ac:dyDescent="0.2">
      <c r="B53" s="164" t="s">
        <v>218</v>
      </c>
      <c r="C53" s="3013">
        <f>Table1.D!G10</f>
        <v>10472.016000000001</v>
      </c>
      <c r="D53" s="3013">
        <f>Table1.D!H10</f>
        <v>2.0785209534883727E-2</v>
      </c>
      <c r="E53" s="3013">
        <f>Table1.D!I10</f>
        <v>5.3561028018800499E-2</v>
      </c>
      <c r="F53" s="3014">
        <v>53.347140305216648</v>
      </c>
      <c r="G53" s="3014">
        <v>16.549142808470013</v>
      </c>
      <c r="H53" s="3014">
        <v>7.9538330611226442</v>
      </c>
      <c r="I53" s="3015">
        <v>1.2337720000000003</v>
      </c>
      <c r="J53" s="3016">
        <f t="shared" si="22"/>
        <v>10486.791658291961</v>
      </c>
    </row>
    <row r="54" spans="2:10" ht="18" customHeight="1" x14ac:dyDescent="0.2">
      <c r="B54" s="164" t="s">
        <v>219</v>
      </c>
      <c r="C54" s="3013">
        <f>Table1.D!G14</f>
        <v>2438.4634999999998</v>
      </c>
      <c r="D54" s="3013">
        <f>Table1.D!H14</f>
        <v>0.23250500000000002</v>
      </c>
      <c r="E54" s="3013">
        <f>Table1.D!I14</f>
        <v>6.6430000000000003E-2</v>
      </c>
      <c r="F54" s="3014">
        <v>65.730700000000013</v>
      </c>
      <c r="G54" s="3014">
        <v>1.6595950000000002</v>
      </c>
      <c r="H54" s="3014">
        <v>2.0642400000000003</v>
      </c>
      <c r="I54" s="3015">
        <v>40.543652159244274</v>
      </c>
      <c r="J54" s="3016">
        <f t="shared" si="22"/>
        <v>2462.5775899999999</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16529.063075565657</v>
      </c>
      <c r="D56" s="3035"/>
      <c r="E56" s="3035"/>
      <c r="F56" s="3035"/>
      <c r="G56" s="3035"/>
      <c r="H56" s="3035"/>
      <c r="I56" s="2976"/>
      <c r="J56" s="3020">
        <f t="shared" si="22"/>
        <v>16529.063075565657</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134949.69019311701</v>
      </c>
      <c r="D10" s="3491" t="s">
        <v>199</v>
      </c>
      <c r="E10" s="3491">
        <v>17.145319779000001</v>
      </c>
      <c r="F10" s="3491">
        <v>376.58148760300003</v>
      </c>
      <c r="G10" s="3491" t="s">
        <v>199</v>
      </c>
      <c r="H10" s="3491">
        <v>6.0224026E-2</v>
      </c>
      <c r="I10" s="3491" t="s">
        <v>199</v>
      </c>
      <c r="J10" s="3491">
        <v>20.013663651000002</v>
      </c>
      <c r="K10" s="3491" t="s">
        <v>199</v>
      </c>
      <c r="L10" s="3491" t="s">
        <v>199</v>
      </c>
      <c r="M10" s="3492">
        <f>IF(SUM(C10:L10)=0,"NO",SUM(C10:L10))</f>
        <v>135363.49088817602</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16.236167424000001</v>
      </c>
      <c r="D12" s="3491" t="s">
        <v>199</v>
      </c>
      <c r="E12" s="3491">
        <v>39968.723924407001</v>
      </c>
      <c r="F12" s="3491" t="s">
        <v>274</v>
      </c>
      <c r="G12" s="3491" t="s">
        <v>199</v>
      </c>
      <c r="H12" s="3491" t="s">
        <v>274</v>
      </c>
      <c r="I12" s="3491" t="s">
        <v>199</v>
      </c>
      <c r="J12" s="3491" t="s">
        <v>274</v>
      </c>
      <c r="K12" s="3491" t="s">
        <v>199</v>
      </c>
      <c r="L12" s="3491" t="s">
        <v>199</v>
      </c>
      <c r="M12" s="3492">
        <f t="shared" si="0"/>
        <v>39984.960091831003</v>
      </c>
    </row>
    <row r="13" spans="2:13" ht="18" customHeight="1" x14ac:dyDescent="0.2">
      <c r="B13" s="2303" t="s">
        <v>1296</v>
      </c>
      <c r="C13" s="3491">
        <v>630.52527811100003</v>
      </c>
      <c r="D13" s="3491" t="s">
        <v>199</v>
      </c>
      <c r="E13" s="3491" t="s">
        <v>274</v>
      </c>
      <c r="F13" s="3491">
        <v>517380.721445337</v>
      </c>
      <c r="G13" s="3491" t="s">
        <v>199</v>
      </c>
      <c r="H13" s="3491" t="s">
        <v>274</v>
      </c>
      <c r="I13" s="3491" t="s">
        <v>199</v>
      </c>
      <c r="J13" s="3491" t="s">
        <v>274</v>
      </c>
      <c r="K13" s="3491" t="s">
        <v>199</v>
      </c>
      <c r="L13" s="3491" t="s">
        <v>199</v>
      </c>
      <c r="M13" s="3492">
        <f t="shared" si="0"/>
        <v>518011.24672344798</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7.938794916</v>
      </c>
      <c r="D15" s="3491" t="s">
        <v>199</v>
      </c>
      <c r="E15" s="3491">
        <v>0.63304705100000003</v>
      </c>
      <c r="F15" s="3491">
        <v>2.443871627</v>
      </c>
      <c r="G15" s="3491" t="s">
        <v>199</v>
      </c>
      <c r="H15" s="3491">
        <v>13263.459594620999</v>
      </c>
      <c r="I15" s="3491" t="s">
        <v>199</v>
      </c>
      <c r="J15" s="3491" t="s">
        <v>199</v>
      </c>
      <c r="K15" s="3491" t="s">
        <v>199</v>
      </c>
      <c r="L15" s="3491" t="s">
        <v>199</v>
      </c>
      <c r="M15" s="3492">
        <f t="shared" si="0"/>
        <v>13274.475308215</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12.344467453</v>
      </c>
      <c r="D17" s="3491" t="s">
        <v>199</v>
      </c>
      <c r="E17" s="3491" t="s">
        <v>199</v>
      </c>
      <c r="F17" s="3491" t="s">
        <v>199</v>
      </c>
      <c r="G17" s="3491" t="s">
        <v>199</v>
      </c>
      <c r="H17" s="3491" t="s">
        <v>199</v>
      </c>
      <c r="I17" s="3491" t="s">
        <v>199</v>
      </c>
      <c r="J17" s="3491">
        <v>1489.853675054</v>
      </c>
      <c r="K17" s="3491" t="s">
        <v>199</v>
      </c>
      <c r="L17" s="3491" t="s">
        <v>199</v>
      </c>
      <c r="M17" s="3492">
        <f t="shared" si="0"/>
        <v>1502.1981425070001</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135616.734901021</v>
      </c>
      <c r="D20" s="3493" t="str">
        <f t="shared" ref="D20:L20" si="1">IF(SUM(D10:D19)=0,"NO",SUM(D10:D19))</f>
        <v>NO</v>
      </c>
      <c r="E20" s="3493">
        <f t="shared" si="1"/>
        <v>39986.502291237004</v>
      </c>
      <c r="F20" s="3493">
        <f t="shared" si="1"/>
        <v>517759.746804567</v>
      </c>
      <c r="G20" s="3493" t="str">
        <f t="shared" si="1"/>
        <v>NO</v>
      </c>
      <c r="H20" s="3493">
        <f t="shared" si="1"/>
        <v>13263.519818646999</v>
      </c>
      <c r="I20" s="3493" t="str">
        <f t="shared" si="1"/>
        <v>NO</v>
      </c>
      <c r="J20" s="3493">
        <f t="shared" si="1"/>
        <v>1509.8673387049998</v>
      </c>
      <c r="K20" s="3493">
        <f t="shared" si="1"/>
        <v>60692.328845821001</v>
      </c>
      <c r="L20" s="3493" t="str">
        <f t="shared" si="1"/>
        <v>NO</v>
      </c>
      <c r="M20" s="3492">
        <f t="shared" si="0"/>
        <v>768828.69999999797</v>
      </c>
    </row>
    <row r="21" spans="2:13" ht="18" customHeight="1" thickBot="1" x14ac:dyDescent="0.25">
      <c r="B21" s="2305" t="s">
        <v>1304</v>
      </c>
      <c r="C21" s="3494">
        <f>IF(SUM(C20)=0,"NO",C20-M10)</f>
        <v>253.24401284498163</v>
      </c>
      <c r="D21" s="3494" t="str">
        <f>IF(SUM(D20)=0,"NO",D20-M11)</f>
        <v>NO</v>
      </c>
      <c r="E21" s="3494">
        <f>IF(SUM(E20)=0,"NO",E20-M12)</f>
        <v>1.5421994060016004</v>
      </c>
      <c r="F21" s="3494">
        <f>IF(SUM(F20)=0,"NO",F20-M13)</f>
        <v>-251.49991888098884</v>
      </c>
      <c r="G21" s="3494" t="str">
        <f>IF(SUM(G20)=0,"NO",G20-M14)</f>
        <v>NO</v>
      </c>
      <c r="H21" s="3494">
        <f>IF(SUM(H20)=0,"NO",H20-M15)</f>
        <v>-10.955489568001212</v>
      </c>
      <c r="I21" s="3494" t="str">
        <f>IF(SUM(I20)=0,"NO",I20-M16)</f>
        <v>NO</v>
      </c>
      <c r="J21" s="3494">
        <f>IF(SUM(J20)=0,"NO",J20-M17)</f>
        <v>7.6691961979997814</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135772.47984266642</v>
      </c>
      <c r="E10" s="3498">
        <f t="shared" ref="E10:U10" si="0">IF(SUM(E11,E16)=0,"IE",SUM(E11,E16))</f>
        <v>135616.73490102234</v>
      </c>
      <c r="F10" s="3499">
        <f t="shared" si="0"/>
        <v>155.74494164405507</v>
      </c>
      <c r="G10" s="3500">
        <f t="shared" ref="G10:K11" si="1">IFERROR(IF(SUM($D10)=0,"NA",N10/$D10),"NA")</f>
        <v>0.13923020347821272</v>
      </c>
      <c r="H10" s="3057">
        <f t="shared" si="1"/>
        <v>-1.2200555943892504E-2</v>
      </c>
      <c r="I10" s="3057">
        <f t="shared" si="1"/>
        <v>0.12702964753432022</v>
      </c>
      <c r="J10" s="3057">
        <f t="shared" si="1"/>
        <v>-3.2391664873284696E-3</v>
      </c>
      <c r="K10" s="3057">
        <f t="shared" si="1"/>
        <v>1.4388721064923617E-3</v>
      </c>
      <c r="L10" s="3057">
        <f>IFERROR(IF(SUM(E10)=0,"NA",S10/E10),"NA")</f>
        <v>-5.0548669650967409E-2</v>
      </c>
      <c r="M10" s="3106">
        <f>IFERROR(IF(SUM(F10)=0,"NA",T10/F10),"NA")</f>
        <v>-2.939229302536862E-2</v>
      </c>
      <c r="N10" s="3501">
        <f t="shared" si="0"/>
        <v>18903.62999523598</v>
      </c>
      <c r="O10" s="3502">
        <f t="shared" si="0"/>
        <v>-1656.499735961469</v>
      </c>
      <c r="P10" s="3502">
        <f t="shared" si="0"/>
        <v>17247.130259274512</v>
      </c>
      <c r="Q10" s="3502">
        <f t="shared" si="0"/>
        <v>-439.78966660784522</v>
      </c>
      <c r="R10" s="3502">
        <f t="shared" si="0"/>
        <v>195.35923407490915</v>
      </c>
      <c r="S10" s="3502">
        <f t="shared" si="0"/>
        <v>-6855.2455316546011</v>
      </c>
      <c r="T10" s="3503">
        <f t="shared" si="0"/>
        <v>-4.5777009620210025</v>
      </c>
      <c r="U10" s="4260">
        <f t="shared" si="0"/>
        <v>-37190.547511791498</v>
      </c>
      <c r="W10" s="2422"/>
    </row>
    <row r="11" spans="2:23" ht="18" customHeight="1" x14ac:dyDescent="0.2">
      <c r="B11" s="492" t="s">
        <v>1253</v>
      </c>
      <c r="C11" s="2282"/>
      <c r="D11" s="3504">
        <f>IF(SUM(D12:D15)=0,"IE",SUM(D12:D15))</f>
        <v>124343.75280513099</v>
      </c>
      <c r="E11" s="3505">
        <f t="shared" ref="E11:U11" si="2">IF(SUM(E12:E15)=0,"IE",SUM(E12:E15))</f>
        <v>124343.75280513099</v>
      </c>
      <c r="F11" s="3506" t="str">
        <f t="shared" si="2"/>
        <v>IE</v>
      </c>
      <c r="G11" s="3500">
        <f t="shared" si="1"/>
        <v>6.6677750480863343E-2</v>
      </c>
      <c r="H11" s="3057">
        <f t="shared" si="1"/>
        <v>-1.3321937761983923E-2</v>
      </c>
      <c r="I11" s="3057">
        <f t="shared" si="1"/>
        <v>5.3355812718879417E-2</v>
      </c>
      <c r="J11" s="3057">
        <f t="shared" si="1"/>
        <v>-8.3531632799579928E-3</v>
      </c>
      <c r="K11" s="3057">
        <f t="shared" si="1"/>
        <v>1.5716917680498527E-3</v>
      </c>
      <c r="L11" s="3057">
        <f t="shared" ref="L11:L28" si="3">IFERROR(IF(SUM(E11)=0,"NA",S11/E11),"NA")</f>
        <v>-3.7851158120124406E-2</v>
      </c>
      <c r="M11" s="3106" t="str">
        <f t="shared" ref="M11:M28" si="4">IFERROR(IF(SUM(F11)=0,"NA",T11/F11),"NA")</f>
        <v>NA</v>
      </c>
      <c r="N11" s="3087">
        <f t="shared" si="2"/>
        <v>8290.9617233946756</v>
      </c>
      <c r="O11" s="3087">
        <f t="shared" si="2"/>
        <v>-1656.499735961469</v>
      </c>
      <c r="P11" s="3087">
        <f t="shared" si="2"/>
        <v>6634.4619874332066</v>
      </c>
      <c r="Q11" s="3087">
        <f t="shared" si="2"/>
        <v>-1038.663670023994</v>
      </c>
      <c r="R11" s="3507">
        <f t="shared" si="2"/>
        <v>195.43005269225017</v>
      </c>
      <c r="S11" s="3507">
        <f t="shared" si="2"/>
        <v>-4706.5550486766761</v>
      </c>
      <c r="T11" s="3507" t="str">
        <f t="shared" si="2"/>
        <v>IE</v>
      </c>
      <c r="U11" s="4261">
        <f t="shared" si="2"/>
        <v>-3977.13551189089</v>
      </c>
      <c r="W11" s="2423"/>
    </row>
    <row r="12" spans="2:23" ht="18" customHeight="1" x14ac:dyDescent="0.2">
      <c r="B12" s="490"/>
      <c r="C12" s="498" t="s">
        <v>1339</v>
      </c>
      <c r="D12" s="3509">
        <f>IF(SUM(E12:F12)=0,E12,SUM(E12:F12))</f>
        <v>17549.703464466864</v>
      </c>
      <c r="E12" s="3510">
        <v>17549.703464466864</v>
      </c>
      <c r="F12" s="3496" t="s">
        <v>274</v>
      </c>
      <c r="G12" s="3500">
        <f>IFERROR(IF(SUM($D12)=0,"NA",N12/$D12),"NA")</f>
        <v>0.47242745384168483</v>
      </c>
      <c r="H12" s="3057" t="str">
        <f>IFERROR(IF(SUM($D12)=0,"NA",O12/$D12),"NA")</f>
        <v>NA</v>
      </c>
      <c r="I12" s="3057">
        <f>IFERROR(IF(SUM($D12)=0,"NA",P12/$D12),"NA")</f>
        <v>0.47242745384168483</v>
      </c>
      <c r="J12" s="3057">
        <f>IFERROR(IF(SUM($D12)=0,"NA",Q12/$D12),"NA")</f>
        <v>-3.4159596646544083E-2</v>
      </c>
      <c r="K12" s="3057">
        <f>IFERROR(IF(SUM($D12)=0,"NA",R12/$D12),"NA")</f>
        <v>1.5312289149516604E-2</v>
      </c>
      <c r="L12" s="3057">
        <f t="shared" si="3"/>
        <v>-0.2813139629489077</v>
      </c>
      <c r="M12" s="3106" t="str">
        <f t="shared" si="4"/>
        <v>NA</v>
      </c>
      <c r="N12" s="2917">
        <v>8290.9617233946756</v>
      </c>
      <c r="O12" s="2917" t="s">
        <v>274</v>
      </c>
      <c r="P12" s="3087">
        <f>IF(SUM(N12:O12)=0,N12,SUM(N12:O12))</f>
        <v>8290.9617233946756</v>
      </c>
      <c r="Q12" s="2917">
        <v>-599.49079161264535</v>
      </c>
      <c r="R12" s="2918">
        <v>268.72613393618991</v>
      </c>
      <c r="S12" s="2918">
        <v>-4936.976630167349</v>
      </c>
      <c r="T12" s="2918" t="s">
        <v>274</v>
      </c>
      <c r="U12" s="4262">
        <f>IF(SUM(P12:T12)=0,P12,SUM(P12:T12)*-44/12)</f>
        <v>-11085.141597019865</v>
      </c>
      <c r="W12" s="2424"/>
    </row>
    <row r="13" spans="2:23" ht="18" customHeight="1" x14ac:dyDescent="0.2">
      <c r="B13" s="490"/>
      <c r="C13" s="498" t="s">
        <v>1340</v>
      </c>
      <c r="D13" s="3509">
        <f t="shared" ref="D13:D15" si="5">IF(SUM(E13:F13)=0,E13,SUM(E13:F13))</f>
        <v>681.45988290814853</v>
      </c>
      <c r="E13" s="3510">
        <v>681.45988290814853</v>
      </c>
      <c r="F13" s="3496" t="s">
        <v>274</v>
      </c>
      <c r="G13" s="3500" t="str">
        <f t="shared" ref="G13:K28" si="6">IFERROR(IF(SUM($D13)=0,"NA",N13/$D13),"NA")</f>
        <v>NA</v>
      </c>
      <c r="H13" s="3057">
        <f t="shared" si="6"/>
        <v>-1.4579534201698388</v>
      </c>
      <c r="I13" s="3057">
        <f t="shared" si="6"/>
        <v>-1.4579534201698388</v>
      </c>
      <c r="J13" s="3057">
        <f t="shared" si="6"/>
        <v>-0.25807799210466109</v>
      </c>
      <c r="K13" s="3057">
        <f t="shared" si="6"/>
        <v>-0.28274438307271388</v>
      </c>
      <c r="L13" s="3057">
        <f t="shared" si="3"/>
        <v>0.3381293415356203</v>
      </c>
      <c r="M13" s="3106" t="str">
        <f t="shared" si="4"/>
        <v>NA</v>
      </c>
      <c r="N13" s="2917" t="s">
        <v>274</v>
      </c>
      <c r="O13" s="2917">
        <v>-993.53676699447306</v>
      </c>
      <c r="P13" s="3087">
        <f t="shared" ref="P13:P15" si="7">IF(SUM(N13:O13)=0,N13,SUM(N13:O13))</f>
        <v>-993.53676699447306</v>
      </c>
      <c r="Q13" s="2917">
        <v>-175.86979828081243</v>
      </c>
      <c r="R13" s="2918">
        <v>-192.67895418166827</v>
      </c>
      <c r="S13" s="2918">
        <v>230.42158149067316</v>
      </c>
      <c r="T13" s="2918" t="s">
        <v>274</v>
      </c>
      <c r="U13" s="4262">
        <f t="shared" ref="U13:U15" si="8">IF(SUM(P13:T13)=0,P13,SUM(P13:T13)*-44/12)</f>
        <v>4149.4344392096955</v>
      </c>
      <c r="W13" s="2424"/>
    </row>
    <row r="14" spans="2:23" ht="18" customHeight="1" x14ac:dyDescent="0.2">
      <c r="B14" s="490"/>
      <c r="C14" s="498" t="s">
        <v>1341</v>
      </c>
      <c r="D14" s="3509">
        <f t="shared" si="5"/>
        <v>106112.58945775598</v>
      </c>
      <c r="E14" s="3510">
        <v>106112.58945775598</v>
      </c>
      <c r="F14" s="3496" t="s">
        <v>274</v>
      </c>
      <c r="G14" s="3500" t="str">
        <f t="shared" si="6"/>
        <v>NA</v>
      </c>
      <c r="H14" s="3057">
        <f t="shared" si="6"/>
        <v>-6.74170397149751E-4</v>
      </c>
      <c r="I14" s="3057">
        <f t="shared" si="6"/>
        <v>-6.74170397149751E-4</v>
      </c>
      <c r="J14" s="3057">
        <f t="shared" si="6"/>
        <v>-1.0230052583834954E-3</v>
      </c>
      <c r="K14" s="3057">
        <f t="shared" si="6"/>
        <v>1.1250585208389013E-3</v>
      </c>
      <c r="L14" s="3057" t="str">
        <f t="shared" si="3"/>
        <v>NA</v>
      </c>
      <c r="M14" s="3106" t="str">
        <f t="shared" si="4"/>
        <v>NA</v>
      </c>
      <c r="N14" s="2917" t="s">
        <v>274</v>
      </c>
      <c r="O14" s="2917">
        <v>-71.537966577323829</v>
      </c>
      <c r="P14" s="3087">
        <f t="shared" si="7"/>
        <v>-71.537966577323829</v>
      </c>
      <c r="Q14" s="2917">
        <v>-108.55373699597342</v>
      </c>
      <c r="R14" s="2918">
        <v>119.38287293772854</v>
      </c>
      <c r="S14" s="2918" t="s">
        <v>205</v>
      </c>
      <c r="T14" s="2918" t="s">
        <v>205</v>
      </c>
      <c r="U14" s="4262">
        <f t="shared" si="8"/>
        <v>222.59904566375198</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-591.42500238967216</v>
      </c>
      <c r="P15" s="3087">
        <f t="shared" si="7"/>
        <v>-591.42500238967216</v>
      </c>
      <c r="Q15" s="2917">
        <v>-154.74934313456274</v>
      </c>
      <c r="R15" s="2918" t="s">
        <v>205</v>
      </c>
      <c r="S15" s="2918" t="s">
        <v>205</v>
      </c>
      <c r="T15" s="2918" t="s">
        <v>205</v>
      </c>
      <c r="U15" s="4262">
        <f t="shared" si="8"/>
        <v>2735.9726002555276</v>
      </c>
      <c r="W15" s="2424"/>
    </row>
    <row r="16" spans="2:23" ht="18" customHeight="1" x14ac:dyDescent="0.2">
      <c r="B16" s="475" t="s">
        <v>1343</v>
      </c>
      <c r="C16" s="494"/>
      <c r="D16" s="3509">
        <f>IF(SUM(D17,D19,D23,D25,D27)=0,"IE",SUM(D17,D19,D23,D25,D27))</f>
        <v>11428.727037535415</v>
      </c>
      <c r="E16" s="3512">
        <f t="shared" ref="E16:T16" si="9">IF(SUM(E17,E19,E23,E25,E27)=0,"IE",SUM(E17,E19,E23,E25,E27))</f>
        <v>11272.982095891359</v>
      </c>
      <c r="F16" s="3513">
        <f t="shared" si="9"/>
        <v>155.74494164405507</v>
      </c>
      <c r="G16" s="3500">
        <f t="shared" si="6"/>
        <v>0.9285958302255426</v>
      </c>
      <c r="H16" s="3057" t="str">
        <f t="shared" si="6"/>
        <v>NA</v>
      </c>
      <c r="I16" s="3057">
        <f t="shared" si="6"/>
        <v>0.9285958302255426</v>
      </c>
      <c r="J16" s="3057">
        <f t="shared" si="6"/>
        <v>5.2400761821440343E-2</v>
      </c>
      <c r="K16" s="3057">
        <f t="shared" si="6"/>
        <v>-6.1965446465245017E-6</v>
      </c>
      <c r="L16" s="3057">
        <f t="shared" si="3"/>
        <v>-0.19060533093200369</v>
      </c>
      <c r="M16" s="3106">
        <f t="shared" si="4"/>
        <v>-2.939229302536862E-2</v>
      </c>
      <c r="N16" s="3057">
        <f t="shared" si="9"/>
        <v>10612.668271841305</v>
      </c>
      <c r="O16" s="3057" t="str">
        <f t="shared" si="9"/>
        <v>IE</v>
      </c>
      <c r="P16" s="3057">
        <f t="shared" si="9"/>
        <v>10612.668271841305</v>
      </c>
      <c r="Q16" s="3057">
        <f t="shared" si="9"/>
        <v>598.87400341614875</v>
      </c>
      <c r="R16" s="3514">
        <f t="shared" si="9"/>
        <v>-7.0818617341029899E-2</v>
      </c>
      <c r="S16" s="3514">
        <f t="shared" si="9"/>
        <v>-2148.6904829779251</v>
      </c>
      <c r="T16" s="3514">
        <f t="shared" si="9"/>
        <v>-4.5777009620210025</v>
      </c>
      <c r="U16" s="4262">
        <f>IF(SUM(U17,U19,U23,U25,U27)=0,"IE",SUM(U17,U19,U23,U25,U27))</f>
        <v>-33213.411999900607</v>
      </c>
      <c r="W16" s="2048"/>
    </row>
    <row r="17" spans="2:23" ht="18" customHeight="1" x14ac:dyDescent="0.2">
      <c r="B17" s="477" t="s">
        <v>1344</v>
      </c>
      <c r="C17" s="494"/>
      <c r="D17" s="3509">
        <f>D18</f>
        <v>71.972850039892251</v>
      </c>
      <c r="E17" s="3512">
        <f t="shared" ref="E17:U17" si="10">E18</f>
        <v>71.972850039892251</v>
      </c>
      <c r="F17" s="3513" t="str">
        <f t="shared" si="10"/>
        <v>NO</v>
      </c>
      <c r="G17" s="3500">
        <f t="shared" si="6"/>
        <v>1.4498679730530522</v>
      </c>
      <c r="H17" s="3057" t="str">
        <f t="shared" si="6"/>
        <v>NA</v>
      </c>
      <c r="I17" s="3057">
        <f t="shared" si="6"/>
        <v>1.4498679730530522</v>
      </c>
      <c r="J17" s="3057">
        <f t="shared" si="6"/>
        <v>3.6634331008608363E-2</v>
      </c>
      <c r="K17" s="3057">
        <f t="shared" si="6"/>
        <v>2.2984691786251638E-2</v>
      </c>
      <c r="L17" s="3057">
        <f t="shared" si="3"/>
        <v>-0.41785235270241944</v>
      </c>
      <c r="M17" s="3106" t="str">
        <f t="shared" si="4"/>
        <v>NA</v>
      </c>
      <c r="N17" s="3057">
        <f t="shared" si="10"/>
        <v>104.35113020218986</v>
      </c>
      <c r="O17" s="3057" t="str">
        <f t="shared" si="10"/>
        <v>IE</v>
      </c>
      <c r="P17" s="3057">
        <f t="shared" si="10"/>
        <v>104.35113020218986</v>
      </c>
      <c r="Q17" s="3057">
        <f t="shared" si="10"/>
        <v>2.6366772119943445</v>
      </c>
      <c r="R17" s="3514">
        <f t="shared" si="10"/>
        <v>1.6542737751450323</v>
      </c>
      <c r="S17" s="3514">
        <f t="shared" si="10"/>
        <v>-30.074024719867399</v>
      </c>
      <c r="T17" s="3514" t="str">
        <f t="shared" si="10"/>
        <v>NO</v>
      </c>
      <c r="U17" s="4262">
        <f t="shared" si="10"/>
        <v>-288.08287372136004</v>
      </c>
      <c r="W17" s="2048"/>
    </row>
    <row r="18" spans="2:23" ht="18" customHeight="1" x14ac:dyDescent="0.2">
      <c r="B18" s="478"/>
      <c r="C18" s="498" t="s">
        <v>409</v>
      </c>
      <c r="D18" s="3509">
        <f>IF(SUM(E18:F18)=0,E18,SUM(E18:F18))</f>
        <v>71.972850039892251</v>
      </c>
      <c r="E18" s="3510">
        <v>71.972850039892251</v>
      </c>
      <c r="F18" s="3496" t="s">
        <v>199</v>
      </c>
      <c r="G18" s="3500">
        <f t="shared" si="6"/>
        <v>1.4498679730530522</v>
      </c>
      <c r="H18" s="3057" t="str">
        <f t="shared" si="6"/>
        <v>NA</v>
      </c>
      <c r="I18" s="3057">
        <f t="shared" si="6"/>
        <v>1.4498679730530522</v>
      </c>
      <c r="J18" s="3057">
        <f t="shared" si="6"/>
        <v>3.6634331008608363E-2</v>
      </c>
      <c r="K18" s="3057">
        <f t="shared" si="6"/>
        <v>2.2984691786251638E-2</v>
      </c>
      <c r="L18" s="3057">
        <f t="shared" si="3"/>
        <v>-0.41785235270241944</v>
      </c>
      <c r="M18" s="3106" t="str">
        <f t="shared" si="4"/>
        <v>NA</v>
      </c>
      <c r="N18" s="2917">
        <v>104.35113020218986</v>
      </c>
      <c r="O18" s="2917" t="s">
        <v>274</v>
      </c>
      <c r="P18" s="3087">
        <f>IF(SUM(N18:O18)=0,N18,SUM(N18:O18))</f>
        <v>104.35113020218986</v>
      </c>
      <c r="Q18" s="2917">
        <v>2.6366772119943445</v>
      </c>
      <c r="R18" s="2918">
        <v>1.6542737751450323</v>
      </c>
      <c r="S18" s="2918">
        <v>-30.074024719867399</v>
      </c>
      <c r="T18" s="2918" t="s">
        <v>199</v>
      </c>
      <c r="U18" s="4262">
        <f t="shared" ref="U18" si="11">IF(SUM(P18:T18)=0,P18,SUM(P18:T18)*-44/12)</f>
        <v>-288.08287372136004</v>
      </c>
      <c r="W18" s="2424"/>
    </row>
    <row r="19" spans="2:23" ht="18" customHeight="1" x14ac:dyDescent="0.2">
      <c r="B19" s="477" t="s">
        <v>1345</v>
      </c>
      <c r="C19" s="494"/>
      <c r="D19" s="3504">
        <f>IF(SUM(D20:D22)=0,"IE",SUM(D20:D22))</f>
        <v>11143.537922328764</v>
      </c>
      <c r="E19" s="3512">
        <f t="shared" ref="E19:U19" si="12">IF(SUM(E20:E22)=0,"IE",SUM(E20:E22))</f>
        <v>11143.537922328764</v>
      </c>
      <c r="F19" s="3513" t="str">
        <f t="shared" si="12"/>
        <v>IE</v>
      </c>
      <c r="G19" s="3500">
        <f t="shared" si="6"/>
        <v>0.81849736737274281</v>
      </c>
      <c r="H19" s="3057" t="str">
        <f t="shared" si="6"/>
        <v>NA</v>
      </c>
      <c r="I19" s="3057">
        <f t="shared" si="6"/>
        <v>0.81849736737274281</v>
      </c>
      <c r="J19" s="3057">
        <f t="shared" si="6"/>
        <v>6.2586307478217237E-2</v>
      </c>
      <c r="K19" s="3057">
        <f t="shared" si="6"/>
        <v>-2.1123063124948824E-3</v>
      </c>
      <c r="L19" s="3057">
        <f t="shared" si="3"/>
        <v>-0.18472766257478399</v>
      </c>
      <c r="M19" s="3106" t="str">
        <f t="shared" si="4"/>
        <v>NA</v>
      </c>
      <c r="N19" s="3057">
        <f t="shared" si="12"/>
        <v>9120.9564526444174</v>
      </c>
      <c r="O19" s="3057" t="str">
        <f t="shared" si="12"/>
        <v>IE</v>
      </c>
      <c r="P19" s="3057">
        <f t="shared" si="12"/>
        <v>9120.9564526444174</v>
      </c>
      <c r="Q19" s="3057">
        <f t="shared" si="12"/>
        <v>697.43289080204215</v>
      </c>
      <c r="R19" s="3514">
        <f t="shared" si="12"/>
        <v>-23.538565496861153</v>
      </c>
      <c r="S19" s="3514">
        <f t="shared" si="12"/>
        <v>-2058.5197132052572</v>
      </c>
      <c r="T19" s="3514" t="str">
        <f t="shared" si="12"/>
        <v>IE</v>
      </c>
      <c r="U19" s="4262">
        <f t="shared" si="12"/>
        <v>-28366.54723739592</v>
      </c>
      <c r="W19" s="2048"/>
    </row>
    <row r="20" spans="2:23" ht="18" customHeight="1" x14ac:dyDescent="0.2">
      <c r="B20" s="486"/>
      <c r="C20" s="498" t="s">
        <v>1346</v>
      </c>
      <c r="D20" s="3509">
        <f>IF(SUM(E20:F20)=0,E20,SUM(E20:F20))</f>
        <v>2753.7885516797542</v>
      </c>
      <c r="E20" s="3510">
        <v>2753.7885516797542</v>
      </c>
      <c r="F20" s="3496" t="s">
        <v>199</v>
      </c>
      <c r="G20" s="3500">
        <f t="shared" si="6"/>
        <v>1.4268880936349762</v>
      </c>
      <c r="H20" s="3057" t="str">
        <f t="shared" si="6"/>
        <v>NA</v>
      </c>
      <c r="I20" s="3057">
        <f t="shared" si="6"/>
        <v>1.4268880936349762</v>
      </c>
      <c r="J20" s="3057">
        <f t="shared" si="6"/>
        <v>5.2690125337187262E-2</v>
      </c>
      <c r="K20" s="3057">
        <f t="shared" si="6"/>
        <v>2.8946292483907891E-2</v>
      </c>
      <c r="L20" s="3057">
        <f t="shared" si="3"/>
        <v>-0.55488732828210807</v>
      </c>
      <c r="M20" s="3106" t="str">
        <f t="shared" si="4"/>
        <v>NA</v>
      </c>
      <c r="N20" s="2917">
        <v>3929.3480967801465</v>
      </c>
      <c r="O20" s="2917" t="s">
        <v>274</v>
      </c>
      <c r="P20" s="3087">
        <f>IF(SUM(N20:O20)=0,N20,SUM(N20:O20))</f>
        <v>3929.3480967801465</v>
      </c>
      <c r="Q20" s="2917">
        <v>145.09746394011762</v>
      </c>
      <c r="R20" s="2918">
        <v>79.711968855759267</v>
      </c>
      <c r="S20" s="2918">
        <v>-1528.0423720954345</v>
      </c>
      <c r="T20" s="2918" t="s">
        <v>199</v>
      </c>
      <c r="U20" s="4262">
        <f t="shared" ref="U20:U22" si="13">IF(SUM(P20:T20)=0,P20,SUM(P20:T20)*-44/12)</f>
        <v>-9629.088910762157</v>
      </c>
      <c r="W20" s="2424"/>
    </row>
    <row r="21" spans="2:23" ht="18" customHeight="1" x14ac:dyDescent="0.2">
      <c r="B21" s="490"/>
      <c r="C21" s="498" t="s">
        <v>1347</v>
      </c>
      <c r="D21" s="3509">
        <f>IF(SUM(E21:F21)=0,E21,SUM(E21:F21))</f>
        <v>8389.7493706490095</v>
      </c>
      <c r="E21" s="3510">
        <v>8389.7493706490095</v>
      </c>
      <c r="F21" s="3496" t="s">
        <v>199</v>
      </c>
      <c r="G21" s="3500">
        <f t="shared" si="6"/>
        <v>0.61863160468305378</v>
      </c>
      <c r="H21" s="3057" t="str">
        <f t="shared" si="6"/>
        <v>NA</v>
      </c>
      <c r="I21" s="3057">
        <f t="shared" si="6"/>
        <v>0.61863160468305378</v>
      </c>
      <c r="J21" s="3057">
        <f t="shared" si="6"/>
        <v>6.5844743856310631E-2</v>
      </c>
      <c r="K21" s="3057">
        <f t="shared" si="6"/>
        <v>-1.2306748365312994E-2</v>
      </c>
      <c r="L21" s="3057">
        <f t="shared" si="3"/>
        <v>-6.3229223862832307E-2</v>
      </c>
      <c r="M21" s="3106" t="str">
        <f t="shared" si="4"/>
        <v>NA</v>
      </c>
      <c r="N21" s="2917">
        <v>5190.1641160532372</v>
      </c>
      <c r="O21" s="2917" t="s">
        <v>274</v>
      </c>
      <c r="P21" s="3087">
        <f t="shared" ref="P21:P28" si="14">IF(SUM(N21:O21)=0,N21,SUM(N21:O21))</f>
        <v>5190.1641160532372</v>
      </c>
      <c r="Q21" s="2917">
        <v>552.4208983290273</v>
      </c>
      <c r="R21" s="2918">
        <v>-103.25053435262042</v>
      </c>
      <c r="S21" s="2918">
        <v>-530.47734110982265</v>
      </c>
      <c r="T21" s="2918" t="s">
        <v>199</v>
      </c>
      <c r="U21" s="4262">
        <f t="shared" si="13"/>
        <v>-18732.476176039349</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v>1.4442398110338113</v>
      </c>
      <c r="O22" s="2917" t="s">
        <v>274</v>
      </c>
      <c r="P22" s="3087">
        <f t="shared" si="14"/>
        <v>1.4442398110338113</v>
      </c>
      <c r="Q22" s="2917">
        <v>-8.5471467102828186E-2</v>
      </c>
      <c r="R22" s="2918" t="s">
        <v>205</v>
      </c>
      <c r="S22" s="2918" t="s">
        <v>205</v>
      </c>
      <c r="T22" s="2918" t="s">
        <v>205</v>
      </c>
      <c r="U22" s="4262">
        <f t="shared" si="13"/>
        <v>-4.9821505944136044</v>
      </c>
      <c r="W22" s="2424"/>
    </row>
    <row r="23" spans="2:23" ht="18" customHeight="1" x14ac:dyDescent="0.2">
      <c r="B23" s="477" t="s">
        <v>1348</v>
      </c>
      <c r="C23" s="494"/>
      <c r="D23" s="3509">
        <f>D24</f>
        <v>155.74494164405507</v>
      </c>
      <c r="E23" s="3512" t="str">
        <f t="shared" ref="E23" si="15">E24</f>
        <v>NO</v>
      </c>
      <c r="F23" s="3513">
        <f t="shared" ref="F23" si="16">F24</f>
        <v>155.74494164405507</v>
      </c>
      <c r="G23" s="3500">
        <f t="shared" si="6"/>
        <v>8.2701064842432714</v>
      </c>
      <c r="H23" s="3057" t="str">
        <f t="shared" si="6"/>
        <v>NA</v>
      </c>
      <c r="I23" s="3057">
        <f t="shared" si="6"/>
        <v>8.2701064842432714</v>
      </c>
      <c r="J23" s="3057">
        <f t="shared" si="6"/>
        <v>-0.67246875019666352</v>
      </c>
      <c r="K23" s="3057">
        <f t="shared" si="6"/>
        <v>0.12420155256062169</v>
      </c>
      <c r="L23" s="3057" t="str">
        <f t="shared" si="3"/>
        <v>NA</v>
      </c>
      <c r="M23" s="3106">
        <f t="shared" si="4"/>
        <v>-2.939229302536862E-2</v>
      </c>
      <c r="N23" s="3057">
        <f t="shared" ref="N23" si="17">N24</f>
        <v>1288.0272517785897</v>
      </c>
      <c r="O23" s="3057" t="str">
        <f t="shared" ref="O23" si="18">O24</f>
        <v>IE</v>
      </c>
      <c r="P23" s="3057">
        <f t="shared" ref="P23" si="19">P24</f>
        <v>1288.0272517785897</v>
      </c>
      <c r="Q23" s="3057">
        <f t="shared" ref="Q23" si="20">Q24</f>
        <v>-104.73360625683002</v>
      </c>
      <c r="R23" s="3514">
        <f t="shared" ref="R23" si="21">R24</f>
        <v>19.343763555655066</v>
      </c>
      <c r="S23" s="3514" t="str">
        <f t="shared" ref="S23" si="22">S24</f>
        <v>NO</v>
      </c>
      <c r="T23" s="3514">
        <f t="shared" ref="T23" si="23">T24</f>
        <v>-4.5777009620210025</v>
      </c>
      <c r="U23" s="4262">
        <f t="shared" ref="U23" si="24">U24</f>
        <v>-4392.8855964231107</v>
      </c>
      <c r="W23" s="2048"/>
    </row>
    <row r="24" spans="2:23" ht="18" customHeight="1" x14ac:dyDescent="0.2">
      <c r="B24" s="478"/>
      <c r="C24" s="498" t="s">
        <v>409</v>
      </c>
      <c r="D24" s="3509">
        <f>IF(SUM(E24:F24)=0,E24,SUM(E24:F24))</f>
        <v>155.74494164405507</v>
      </c>
      <c r="E24" s="3510" t="s">
        <v>199</v>
      </c>
      <c r="F24" s="3496">
        <v>155.74494164405507</v>
      </c>
      <c r="G24" s="3500">
        <f t="shared" si="6"/>
        <v>8.2701064842432714</v>
      </c>
      <c r="H24" s="3057" t="str">
        <f t="shared" si="6"/>
        <v>NA</v>
      </c>
      <c r="I24" s="3057">
        <f t="shared" si="6"/>
        <v>8.2701064842432714</v>
      </c>
      <c r="J24" s="3057">
        <f t="shared" si="6"/>
        <v>-0.67246875019666352</v>
      </c>
      <c r="K24" s="3057">
        <f t="shared" si="6"/>
        <v>0.12420155256062169</v>
      </c>
      <c r="L24" s="3057" t="str">
        <f t="shared" si="3"/>
        <v>NA</v>
      </c>
      <c r="M24" s="3106">
        <f t="shared" si="4"/>
        <v>-2.939229302536862E-2</v>
      </c>
      <c r="N24" s="2917">
        <v>1288.0272517785897</v>
      </c>
      <c r="O24" s="2917" t="s">
        <v>274</v>
      </c>
      <c r="P24" s="3087">
        <f t="shared" si="14"/>
        <v>1288.0272517785897</v>
      </c>
      <c r="Q24" s="2917">
        <v>-104.73360625683002</v>
      </c>
      <c r="R24" s="2918">
        <v>19.343763555655066</v>
      </c>
      <c r="S24" s="2918" t="s">
        <v>199</v>
      </c>
      <c r="T24" s="2918">
        <v>-4.5777009620210025</v>
      </c>
      <c r="U24" s="4262">
        <f t="shared" ref="U24" si="25">IF(SUM(P24:T24)=0,P24,SUM(P24:T24)*-44/12)</f>
        <v>-4392.8855964231107</v>
      </c>
      <c r="W24" s="2424"/>
    </row>
    <row r="25" spans="2:23" ht="18" customHeight="1" x14ac:dyDescent="0.2">
      <c r="B25" s="477" t="s">
        <v>1349</v>
      </c>
      <c r="C25" s="494"/>
      <c r="D25" s="3509">
        <f>D26</f>
        <v>57.47132352270301</v>
      </c>
      <c r="E25" s="3512">
        <f t="shared" ref="E25" si="26">E26</f>
        <v>57.47132352270301</v>
      </c>
      <c r="F25" s="3513" t="str">
        <f t="shared" ref="F25" si="27">F26</f>
        <v>NO</v>
      </c>
      <c r="G25" s="3500">
        <f t="shared" si="6"/>
        <v>1.7284000285266845</v>
      </c>
      <c r="H25" s="3057" t="str">
        <f t="shared" si="6"/>
        <v>NA</v>
      </c>
      <c r="I25" s="3057">
        <f t="shared" si="6"/>
        <v>1.7284000285266845</v>
      </c>
      <c r="J25" s="3057">
        <f t="shared" si="6"/>
        <v>6.1561861500277947E-2</v>
      </c>
      <c r="K25" s="3057">
        <f t="shared" si="6"/>
        <v>4.2972901915933961E-2</v>
      </c>
      <c r="L25" s="3057">
        <f t="shared" si="3"/>
        <v>-1.0456822876031469</v>
      </c>
      <c r="M25" s="3106" t="str">
        <f t="shared" si="4"/>
        <v>NA</v>
      </c>
      <c r="N25" s="3057">
        <f t="shared" ref="N25" si="28">N26</f>
        <v>99.333437216106191</v>
      </c>
      <c r="O25" s="3057" t="str">
        <f t="shared" ref="O25" si="29">O26</f>
        <v>IE</v>
      </c>
      <c r="P25" s="3057">
        <f t="shared" ref="P25" si="30">P26</f>
        <v>99.333437216106191</v>
      </c>
      <c r="Q25" s="3057">
        <f t="shared" ref="Q25" si="31">Q26</f>
        <v>3.5380416589423089</v>
      </c>
      <c r="R25" s="3514">
        <f t="shared" ref="R25" si="32">R26</f>
        <v>2.4697095487200249</v>
      </c>
      <c r="S25" s="3514">
        <f t="shared" ref="S25" si="33">S26</f>
        <v>-60.096745052800628</v>
      </c>
      <c r="T25" s="3514" t="str">
        <f t="shared" ref="T25" si="34">T26</f>
        <v>NO</v>
      </c>
      <c r="U25" s="4262">
        <f t="shared" ref="U25" si="35">U26</f>
        <v>-165.8962923602156</v>
      </c>
      <c r="W25" s="2048"/>
    </row>
    <row r="26" spans="2:23" ht="18" customHeight="1" x14ac:dyDescent="0.2">
      <c r="B26" s="478"/>
      <c r="C26" s="498" t="s">
        <v>409</v>
      </c>
      <c r="D26" s="3509">
        <f>IF(SUM(E26:F26)=0,E26,SUM(E26:F26))</f>
        <v>57.47132352270301</v>
      </c>
      <c r="E26" s="3510">
        <v>57.47132352270301</v>
      </c>
      <c r="F26" s="3496" t="s">
        <v>199</v>
      </c>
      <c r="G26" s="3500">
        <f t="shared" si="6"/>
        <v>1.7284000285266845</v>
      </c>
      <c r="H26" s="3057" t="str">
        <f t="shared" si="6"/>
        <v>NA</v>
      </c>
      <c r="I26" s="3057">
        <f t="shared" si="6"/>
        <v>1.7284000285266845</v>
      </c>
      <c r="J26" s="3057">
        <f t="shared" si="6"/>
        <v>6.1561861500277947E-2</v>
      </c>
      <c r="K26" s="3057">
        <f t="shared" si="6"/>
        <v>4.2972901915933961E-2</v>
      </c>
      <c r="L26" s="3057">
        <f t="shared" si="3"/>
        <v>-1.0456822876031469</v>
      </c>
      <c r="M26" s="3106" t="str">
        <f t="shared" si="4"/>
        <v>NA</v>
      </c>
      <c r="N26" s="2917">
        <v>99.333437216106191</v>
      </c>
      <c r="O26" s="2917" t="s">
        <v>274</v>
      </c>
      <c r="P26" s="3087">
        <f t="shared" si="14"/>
        <v>99.333437216106191</v>
      </c>
      <c r="Q26" s="2917">
        <v>3.5380416589423089</v>
      </c>
      <c r="R26" s="2918">
        <v>2.4697095487200249</v>
      </c>
      <c r="S26" s="2918">
        <v>-60.096745052800628</v>
      </c>
      <c r="T26" s="2918" t="s">
        <v>199</v>
      </c>
      <c r="U26" s="4262">
        <f t="shared" ref="U26" si="36">IF(SUM(P26:T26)=0,P26,SUM(P26:T26)*-44/12)</f>
        <v>-165.8962923602156</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39986.502291237834</v>
      </c>
      <c r="E10" s="3523">
        <f t="shared" ref="E10:F10" si="0">IF(SUM(E11,E13)=0,"IE",SUM(E11,E13))</f>
        <v>39983.502291237834</v>
      </c>
      <c r="F10" s="3524">
        <f t="shared" si="0"/>
        <v>3</v>
      </c>
      <c r="G10" s="3500">
        <f>IFERROR(IF(SUM($D10)=0,"NA",M10/$D10),"NA")</f>
        <v>2.4300385751223747E-2</v>
      </c>
      <c r="H10" s="3523" t="str">
        <f t="shared" ref="H10:J10" si="1">IFERROR(IF(SUM($D10)=0,"NA",N10/$D10),"NA")</f>
        <v>NA</v>
      </c>
      <c r="I10" s="3523">
        <f t="shared" si="1"/>
        <v>2.4300385751223747E-2</v>
      </c>
      <c r="J10" s="3523">
        <f t="shared" si="1"/>
        <v>-2.6989404552015127E-3</v>
      </c>
      <c r="K10" s="3525">
        <f>IFERROR(IF(SUM(E10)=0,"NA",Q10/E10),"NA")</f>
        <v>-1.4051244787892431E-2</v>
      </c>
      <c r="L10" s="3524">
        <f>IFERROR(IF(SUM(F10)=0,"NA",R10/F10),"NA")</f>
        <v>-12.475</v>
      </c>
      <c r="M10" s="3526">
        <f>IF(SUM(M11,M13)=0,"IE",SUM(M11,M13))</f>
        <v>971.68743051927152</v>
      </c>
      <c r="N10" s="3523" t="str">
        <f t="shared" ref="N10:S10" si="2">IF(SUM(N11,N13)=0,"IE",SUM(N11,N13))</f>
        <v>IE</v>
      </c>
      <c r="O10" s="3527">
        <f t="shared" si="2"/>
        <v>971.68743051927152</v>
      </c>
      <c r="P10" s="3523">
        <f t="shared" si="2"/>
        <v>-107.92118869582977</v>
      </c>
      <c r="Q10" s="3525">
        <f t="shared" si="2"/>
        <v>-561.8179781714407</v>
      </c>
      <c r="R10" s="3525">
        <f t="shared" si="2"/>
        <v>-37.424999999999997</v>
      </c>
      <c r="S10" s="3528">
        <f t="shared" si="2"/>
        <v>-969.91863339067083</v>
      </c>
      <c r="U10" s="2287"/>
    </row>
    <row r="11" spans="2:21" ht="18" customHeight="1" x14ac:dyDescent="0.2">
      <c r="B11" s="489" t="s">
        <v>1256</v>
      </c>
      <c r="C11" s="2282"/>
      <c r="D11" s="3529">
        <f>D12</f>
        <v>37701.015033880001</v>
      </c>
      <c r="E11" s="3057">
        <f t="shared" ref="E11" si="3">E12</f>
        <v>37701.015033880001</v>
      </c>
      <c r="F11" s="3057" t="str">
        <f t="shared" ref="F11" si="4">F12</f>
        <v>IE</v>
      </c>
      <c r="G11" s="3500">
        <f t="shared" ref="G11:G23" si="5">IFERROR(IF(SUM($D11)=0,"NA",M11/$D11),"NA")</f>
        <v>7.6060644854889349E-4</v>
      </c>
      <c r="H11" s="3057" t="str">
        <f t="shared" ref="H11:H23" si="6">IFERROR(IF(SUM($D11)=0,"NA",N11/$D11),"NA")</f>
        <v>NA</v>
      </c>
      <c r="I11" s="3057">
        <f t="shared" ref="I11:I23" si="7">IFERROR(IF(SUM($D11)=0,"NA",O11/$D11),"NA")</f>
        <v>7.6060644854889349E-4</v>
      </c>
      <c r="J11" s="3057" t="str">
        <f t="shared" ref="J11:J23" si="8">IFERROR(IF(SUM($D11)=0,"NA",P11/$D11),"NA")</f>
        <v>NA</v>
      </c>
      <c r="K11" s="3514">
        <f t="shared" ref="K11:K23" si="9">IFERROR(IF(SUM(E11)=0,"NA",Q11/E11),"NA")</f>
        <v>-6.9595348059821906E-3</v>
      </c>
      <c r="L11" s="3106" t="str">
        <f t="shared" ref="L11:L23" si="10">IFERROR(IF(SUM(F11)=0,"NA",R11/F11),"NA")</f>
        <v>NA</v>
      </c>
      <c r="M11" s="3530">
        <f t="shared" ref="M11" si="11">M12</f>
        <v>28.67563515160791</v>
      </c>
      <c r="N11" s="3531" t="str">
        <f t="shared" ref="N11" si="12">N12</f>
        <v>IE</v>
      </c>
      <c r="O11" s="3532">
        <f t="shared" ref="O11" si="13">O12</f>
        <v>28.67563515160791</v>
      </c>
      <c r="P11" s="3531" t="str">
        <f t="shared" ref="P11" si="14">P12</f>
        <v>NA</v>
      </c>
      <c r="Q11" s="3533">
        <f t="shared" ref="Q11" si="15">Q12</f>
        <v>-262.3815263491457</v>
      </c>
      <c r="R11" s="3533" t="str">
        <f t="shared" ref="R11" si="16">R12</f>
        <v>IE</v>
      </c>
      <c r="S11" s="3534">
        <f t="shared" ref="S11" si="17">S12</f>
        <v>856.92160105763867</v>
      </c>
      <c r="U11" s="2284"/>
    </row>
    <row r="12" spans="2:21" ht="18" customHeight="1" x14ac:dyDescent="0.2">
      <c r="B12" s="491"/>
      <c r="C12" s="498" t="s">
        <v>409</v>
      </c>
      <c r="D12" s="3509">
        <f>IF(SUM(E12:F12)=0,E12,SUM(E12:F12))</f>
        <v>37701.015033880001</v>
      </c>
      <c r="E12" s="3510">
        <v>37701.015033880001</v>
      </c>
      <c r="F12" s="3496" t="s">
        <v>274</v>
      </c>
      <c r="G12" s="3500">
        <f t="shared" si="5"/>
        <v>7.6060644854889349E-4</v>
      </c>
      <c r="H12" s="3057" t="str">
        <f t="shared" si="6"/>
        <v>NA</v>
      </c>
      <c r="I12" s="3057">
        <f t="shared" si="7"/>
        <v>7.6060644854889349E-4</v>
      </c>
      <c r="J12" s="3057" t="str">
        <f t="shared" si="8"/>
        <v>NA</v>
      </c>
      <c r="K12" s="3514">
        <f t="shared" si="9"/>
        <v>-6.9595348059821906E-3</v>
      </c>
      <c r="L12" s="3106" t="str">
        <f t="shared" si="10"/>
        <v>NA</v>
      </c>
      <c r="M12" s="2917">
        <v>28.67563515160791</v>
      </c>
      <c r="N12" s="2917" t="s">
        <v>274</v>
      </c>
      <c r="O12" s="3087">
        <f>IF(SUM(M12:N12)=0,M12,SUM(M12:N12))</f>
        <v>28.67563515160791</v>
      </c>
      <c r="P12" s="2917" t="s">
        <v>205</v>
      </c>
      <c r="Q12" s="2918">
        <v>-262.3815263491457</v>
      </c>
      <c r="R12" s="2918" t="s">
        <v>274</v>
      </c>
      <c r="S12" s="3534">
        <f>IF(SUM(O12:R12)=0,Q12,SUM(O12:R12)*-44/12)</f>
        <v>856.92160105763867</v>
      </c>
      <c r="U12" s="2424"/>
    </row>
    <row r="13" spans="2:21" ht="18" customHeight="1" x14ac:dyDescent="0.2">
      <c r="B13" s="475" t="s">
        <v>1375</v>
      </c>
      <c r="C13" s="494"/>
      <c r="D13" s="3529">
        <f>IF(SUM(D14,D16,D18,D20,D22)=0,"IE",SUM(D14,D16,D18,D20,D22))</f>
        <v>2285.4872573578295</v>
      </c>
      <c r="E13" s="3531">
        <f t="shared" ref="E13:F13" si="18">IF(SUM(E14,E16,E18,E20,E22)=0,"IE",SUM(E14,E16,E18,E20,E22))</f>
        <v>2282.4872573578295</v>
      </c>
      <c r="F13" s="3535">
        <f t="shared" si="18"/>
        <v>3</v>
      </c>
      <c r="G13" s="3500">
        <f t="shared" si="5"/>
        <v>0.4126086427879917</v>
      </c>
      <c r="H13" s="3057" t="str">
        <f t="shared" si="6"/>
        <v>NA</v>
      </c>
      <c r="I13" s="3057">
        <f t="shared" si="7"/>
        <v>0.4126086427879917</v>
      </c>
      <c r="J13" s="3057">
        <f t="shared" si="8"/>
        <v>-4.7220210197362299E-2</v>
      </c>
      <c r="K13" s="3514">
        <f t="shared" si="9"/>
        <v>-0.13118866309418864</v>
      </c>
      <c r="L13" s="3106">
        <f t="shared" si="10"/>
        <v>-12.475</v>
      </c>
      <c r="M13" s="3530">
        <f>IF(SUM(M14,M16,M18,M20,M22)=0,"IE",SUM(M14,M16,M18,M20,M22))</f>
        <v>943.01179536766358</v>
      </c>
      <c r="N13" s="3531" t="str">
        <f t="shared" ref="N13" si="19">IF(SUM(N14,N16,N18,N20,N22)=0,"IE",SUM(N14,N16,N18,N20,N22))</f>
        <v>IE</v>
      </c>
      <c r="O13" s="3532">
        <f t="shared" ref="O13" si="20">IF(SUM(O14,O16,O18,O20,O22)=0,"IE",SUM(O14,O16,O18,O20,O22))</f>
        <v>943.01179536766358</v>
      </c>
      <c r="P13" s="3532">
        <f t="shared" ref="P13" si="21">IF(SUM(P14,P16,P18,P20,P22)=0,"IE",SUM(P14,P16,P18,P20,P22))</f>
        <v>-107.92118869582977</v>
      </c>
      <c r="Q13" s="3532">
        <f t="shared" ref="Q13" si="22">IF(SUM(Q14,Q16,Q18,Q20,Q22)=0,"IE",SUM(Q14,Q16,Q18,Q20,Q22))</f>
        <v>-299.43645182229494</v>
      </c>
      <c r="R13" s="3532">
        <f t="shared" ref="R13" si="23">IF(SUM(R14,R16,R18,R20,R22)=0,"IE",SUM(R14,R16,R18,R20,R22))</f>
        <v>-37.424999999999997</v>
      </c>
      <c r="S13" s="3534">
        <f t="shared" ref="S13" si="24">IF(SUM(S14,S16,S18,S20,S22)=0,"IE",SUM(S14,S16,S18,S20,S22))</f>
        <v>-1826.8402344483095</v>
      </c>
      <c r="U13" s="493"/>
    </row>
    <row r="14" spans="2:21" ht="18" customHeight="1" x14ac:dyDescent="0.2">
      <c r="B14" s="477" t="s">
        <v>1376</v>
      </c>
      <c r="C14" s="494"/>
      <c r="D14" s="3529">
        <f>D15</f>
        <v>2272.8263163300176</v>
      </c>
      <c r="E14" s="3057">
        <f t="shared" ref="E14" si="25">E15</f>
        <v>2272.8263163300176</v>
      </c>
      <c r="F14" s="3057" t="str">
        <f t="shared" ref="F14" si="26">F15</f>
        <v>IE</v>
      </c>
      <c r="G14" s="3500">
        <f t="shared" si="5"/>
        <v>0.4149071086480402</v>
      </c>
      <c r="H14" s="3057" t="str">
        <f t="shared" si="6"/>
        <v>NA</v>
      </c>
      <c r="I14" s="3057">
        <f t="shared" si="7"/>
        <v>0.4149071086480402</v>
      </c>
      <c r="J14" s="3057">
        <f t="shared" si="8"/>
        <v>-4.7483253744655896E-2</v>
      </c>
      <c r="K14" s="3514">
        <f t="shared" si="9"/>
        <v>-0.11932837775132973</v>
      </c>
      <c r="L14" s="3106" t="str">
        <f t="shared" si="10"/>
        <v>NA</v>
      </c>
      <c r="M14" s="3530">
        <f t="shared" ref="M14" si="27">M15</f>
        <v>943.01179536766358</v>
      </c>
      <c r="N14" s="3531" t="str">
        <f t="shared" ref="N14" si="28">N15</f>
        <v>IE</v>
      </c>
      <c r="O14" s="3532">
        <f t="shared" ref="O14" si="29">O15</f>
        <v>943.01179536766358</v>
      </c>
      <c r="P14" s="3531">
        <f t="shared" ref="P14" si="30">P15</f>
        <v>-107.92118869582977</v>
      </c>
      <c r="Q14" s="3533">
        <f t="shared" ref="Q14" si="31">Q15</f>
        <v>-271.21267723819159</v>
      </c>
      <c r="R14" s="3533" t="str">
        <f t="shared" ref="R14" si="32">R15</f>
        <v>IE</v>
      </c>
      <c r="S14" s="3534">
        <f t="shared" ref="S14" si="33">S15</f>
        <v>-2067.5524079233551</v>
      </c>
      <c r="U14" s="493"/>
    </row>
    <row r="15" spans="2:21" ht="18" customHeight="1" x14ac:dyDescent="0.2">
      <c r="B15" s="491"/>
      <c r="C15" s="498" t="s">
        <v>409</v>
      </c>
      <c r="D15" s="3509">
        <f>IF(SUM(E15:F15)=0,E15,SUM(E15:F15))</f>
        <v>2272.8263163300176</v>
      </c>
      <c r="E15" s="3510">
        <v>2272.8263163300176</v>
      </c>
      <c r="F15" s="3496" t="s">
        <v>274</v>
      </c>
      <c r="G15" s="3500">
        <f t="shared" si="5"/>
        <v>0.4149071086480402</v>
      </c>
      <c r="H15" s="3057" t="str">
        <f t="shared" si="6"/>
        <v>NA</v>
      </c>
      <c r="I15" s="3057">
        <f t="shared" si="7"/>
        <v>0.4149071086480402</v>
      </c>
      <c r="J15" s="3057">
        <f t="shared" si="8"/>
        <v>-4.7483253744655896E-2</v>
      </c>
      <c r="K15" s="3514">
        <f t="shared" si="9"/>
        <v>-0.11932837775132973</v>
      </c>
      <c r="L15" s="3106" t="str">
        <f t="shared" si="10"/>
        <v>NA</v>
      </c>
      <c r="M15" s="2917">
        <v>943.01179536766358</v>
      </c>
      <c r="N15" s="2917" t="s">
        <v>274</v>
      </c>
      <c r="O15" s="3087">
        <f>IF(SUM(M15:N15)=0,M15,SUM(M15:N15))</f>
        <v>943.01179536766358</v>
      </c>
      <c r="P15" s="2917">
        <v>-107.92118869582977</v>
      </c>
      <c r="Q15" s="2918">
        <v>-271.21267723819159</v>
      </c>
      <c r="R15" s="2918" t="s">
        <v>274</v>
      </c>
      <c r="S15" s="3534">
        <f>IF(SUM(O15:R15)=0,Q15,SUM(O15:R15)*-44/12)</f>
        <v>-2067.5524079233551</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517759.746804567</v>
      </c>
      <c r="E10" s="3523">
        <f t="shared" ref="E10:F10" si="0">IF(SUM(E11,E15)=0,"IE",SUM(E11,E15))</f>
        <v>517758.746804567</v>
      </c>
      <c r="F10" s="3524">
        <f t="shared" si="0"/>
        <v>1</v>
      </c>
      <c r="G10" s="3500">
        <f>IFERROR(IF(SUM($D10)=0,"NA",M10/$D10),"NA")</f>
        <v>5.4356721394305096E-3</v>
      </c>
      <c r="H10" s="3523">
        <f t="shared" ref="H10:J10" si="1">IFERROR(IF(SUM($D10)=0,"NA",N10/$D10),"NA")</f>
        <v>-1.1112020214613176E-2</v>
      </c>
      <c r="I10" s="3523">
        <f t="shared" si="1"/>
        <v>-5.6763480751826668E-3</v>
      </c>
      <c r="J10" s="3523">
        <f t="shared" si="1"/>
        <v>-3.072987102729853E-3</v>
      </c>
      <c r="K10" s="3525">
        <f>IFERROR(IF(SUM(E10)=0,"NA",Q10/E10),"NA")</f>
        <v>-2.4635906853240179E-4</v>
      </c>
      <c r="L10" s="3524">
        <f>IFERROR(IF(SUM(F10)=0,"NA",R10/F10),"NA")</f>
        <v>-8.7249999999999996</v>
      </c>
      <c r="M10" s="3526">
        <f>IF(SUM(M11,M15)=0,"IE",SUM(M11,M15))</f>
        <v>2814.3722306241798</v>
      </c>
      <c r="N10" s="3523">
        <f t="shared" ref="N10:S10" si="2">IF(SUM(N11,N15)=0,"IE",SUM(N11,N15))</f>
        <v>-5753.3567728053486</v>
      </c>
      <c r="O10" s="3527">
        <f t="shared" si="2"/>
        <v>-2938.9845421811688</v>
      </c>
      <c r="P10" s="3523">
        <f t="shared" si="2"/>
        <v>-1591.0690242431085</v>
      </c>
      <c r="Q10" s="3525">
        <f t="shared" si="2"/>
        <v>-127.55456258727679</v>
      </c>
      <c r="R10" s="3525">
        <f t="shared" si="2"/>
        <v>-8.7249999999999996</v>
      </c>
      <c r="S10" s="3528">
        <f t="shared" si="2"/>
        <v>17109.88813970903</v>
      </c>
      <c r="U10" s="2287"/>
    </row>
    <row r="11" spans="2:21" ht="18" customHeight="1" x14ac:dyDescent="0.2">
      <c r="B11" s="483" t="s">
        <v>1259</v>
      </c>
      <c r="C11" s="473"/>
      <c r="D11" s="3539">
        <f>IF(SUM(D12:D14)=0,"IE",SUM(D12:D14))</f>
        <v>504343.35694641899</v>
      </c>
      <c r="E11" s="3505">
        <f t="shared" ref="E11:F11" si="3">IF(SUM(E12:E14)=0,"IE",SUM(E12:E14))</f>
        <v>504343.35694641899</v>
      </c>
      <c r="F11" s="3506" t="str">
        <f t="shared" si="3"/>
        <v>IE</v>
      </c>
      <c r="G11" s="3539">
        <f t="shared" ref="G11:G26" si="4">IFERROR(IF(SUM($D11)=0,"NA",M11/$D11),"NA")</f>
        <v>5.5802702501406721E-3</v>
      </c>
      <c r="H11" s="3087" t="str">
        <f t="shared" ref="H11:H26" si="5">IFERROR(IF(SUM($D11)=0,"NA",N11/$D11),"NA")</f>
        <v>NA</v>
      </c>
      <c r="I11" s="3087">
        <f t="shared" ref="I11:I26" si="6">IFERROR(IF(SUM($D11)=0,"NA",O11/$D11),"NA")</f>
        <v>5.5802702501406721E-3</v>
      </c>
      <c r="J11" s="3087">
        <f t="shared" ref="J11:J26" si="7">IFERROR(IF(SUM($D11)=0,"NA",P11/$D11),"NA")</f>
        <v>-3.4856003261151932E-4</v>
      </c>
      <c r="K11" s="3507">
        <f t="shared" ref="K11:K26" si="8">IFERROR(IF(SUM(E11)=0,"NA",Q11/E11),"NA")</f>
        <v>1.5495905742755991E-3</v>
      </c>
      <c r="L11" s="3216" t="str">
        <f t="shared" ref="L11:L26" si="9">IFERROR(IF(SUM(F11)=0,"NA",R11/F11),"NA")</f>
        <v>NA</v>
      </c>
      <c r="M11" s="3087">
        <f>IF(SUM(M12:M14)=0,"IE",SUM(M12:M14))</f>
        <v>2814.3722306241798</v>
      </c>
      <c r="N11" s="3087" t="str">
        <f t="shared" ref="N11:O11" si="10">IF(SUM(N12:N14)=0,"IE",SUM(N12:N14))</f>
        <v>IE</v>
      </c>
      <c r="O11" s="3087">
        <f t="shared" si="10"/>
        <v>2814.3722306241798</v>
      </c>
      <c r="P11" s="3087">
        <f t="shared" ref="P11" si="11">IF(SUM(P12:P14)=0,"IE",SUM(P12:P14))</f>
        <v>-175.79393694464693</v>
      </c>
      <c r="Q11" s="3507">
        <f t="shared" ref="Q11" si="12">IF(SUM(Q12:Q14)=0,"IE",SUM(Q12:Q14))</f>
        <v>781.52571212268481</v>
      </c>
      <c r="R11" s="3507" t="str">
        <f t="shared" ref="R11" si="13">IF(SUM(R12:R14)=0,"IE",SUM(R12:R14))</f>
        <v>IE</v>
      </c>
      <c r="S11" s="3508">
        <f t="shared" ref="S11" si="14">IF(SUM(S12:S14)=0,"IE",SUM(S12:S14))</f>
        <v>-12540.381354608133</v>
      </c>
      <c r="U11" s="2423"/>
    </row>
    <row r="12" spans="2:21" ht="18" customHeight="1" x14ac:dyDescent="0.2">
      <c r="B12" s="489"/>
      <c r="C12" s="474" t="s">
        <v>1391</v>
      </c>
      <c r="D12" s="3500">
        <f>IF(SUM(E12:F12)=0,E12,SUM(E12:F12))</f>
        <v>69820.727480068104</v>
      </c>
      <c r="E12" s="3510">
        <v>69820.727480068104</v>
      </c>
      <c r="F12" s="3496" t="s">
        <v>274</v>
      </c>
      <c r="G12" s="3500">
        <f t="shared" si="4"/>
        <v>1.113414377585875E-2</v>
      </c>
      <c r="H12" s="3057" t="str">
        <f t="shared" si="5"/>
        <v>NA</v>
      </c>
      <c r="I12" s="3057">
        <f t="shared" si="6"/>
        <v>1.113414377585875E-2</v>
      </c>
      <c r="J12" s="3057">
        <f t="shared" si="7"/>
        <v>2.2268287551717495E-3</v>
      </c>
      <c r="K12" s="3514">
        <f t="shared" si="8"/>
        <v>8.907315020686998E-3</v>
      </c>
      <c r="L12" s="3106" t="str">
        <f t="shared" si="9"/>
        <v>NA</v>
      </c>
      <c r="M12" s="2917">
        <v>777.39401829813028</v>
      </c>
      <c r="N12" s="2917" t="s">
        <v>274</v>
      </c>
      <c r="O12" s="3087">
        <f>IF(SUM(M12:N12)=0,M12,SUM(M12:N12))</f>
        <v>777.39401829813028</v>
      </c>
      <c r="P12" s="2917">
        <v>155.47880365962601</v>
      </c>
      <c r="Q12" s="2918">
        <v>621.91521463850404</v>
      </c>
      <c r="R12" s="2918" t="s">
        <v>274</v>
      </c>
      <c r="S12" s="3511">
        <f>IF(SUM(O12:R12)=0,Q12,SUM(O12:R12)*-44/12)</f>
        <v>-5700.8894675196207</v>
      </c>
      <c r="U12" s="2424"/>
    </row>
    <row r="13" spans="2:21" ht="18" customHeight="1" x14ac:dyDescent="0.2">
      <c r="B13" s="489"/>
      <c r="C13" s="474" t="s">
        <v>1392</v>
      </c>
      <c r="D13" s="3500">
        <f>IF(SUM(E13:F13)=0,E13,SUM(E13:F13))</f>
        <v>434522.62946635089</v>
      </c>
      <c r="E13" s="3510">
        <v>434522.62946635089</v>
      </c>
      <c r="F13" s="3496" t="s">
        <v>274</v>
      </c>
      <c r="G13" s="3500" t="str">
        <f t="shared" si="4"/>
        <v>NA</v>
      </c>
      <c r="H13" s="3057" t="str">
        <f t="shared" si="5"/>
        <v>NA</v>
      </c>
      <c r="I13" s="3057" t="str">
        <f t="shared" si="6"/>
        <v>NA</v>
      </c>
      <c r="J13" s="3057" t="str">
        <f t="shared" si="7"/>
        <v>NA</v>
      </c>
      <c r="K13" s="3514">
        <f t="shared" si="8"/>
        <v>3.6732378628980228E-4</v>
      </c>
      <c r="L13" s="3106" t="str">
        <f t="shared" si="9"/>
        <v>NA</v>
      </c>
      <c r="M13" s="2917" t="s">
        <v>205</v>
      </c>
      <c r="N13" s="2917" t="s">
        <v>205</v>
      </c>
      <c r="O13" s="3087" t="str">
        <f>IF(SUM(M13:N13)=0,M13,SUM(M13:N13))</f>
        <v>NA</v>
      </c>
      <c r="P13" s="2917" t="s">
        <v>205</v>
      </c>
      <c r="Q13" s="2918">
        <v>159.61049748418083</v>
      </c>
      <c r="R13" s="2918" t="s">
        <v>274</v>
      </c>
      <c r="S13" s="3511">
        <f>IF(SUM(O13:R13)=0,Q13,SUM(O13:R13)*-44/12)</f>
        <v>-585.23849077532975</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2036.9782123260497</v>
      </c>
      <c r="N14" s="2917" t="s">
        <v>274</v>
      </c>
      <c r="O14" s="3087">
        <f>IF(SUM(M14:N14)=0,M14,SUM(M14:N14))</f>
        <v>2036.9782123260497</v>
      </c>
      <c r="P14" s="2917">
        <v>-331.27274060427294</v>
      </c>
      <c r="Q14" s="2918" t="s">
        <v>205</v>
      </c>
      <c r="R14" s="2918" t="s">
        <v>205</v>
      </c>
      <c r="S14" s="3511">
        <f>IF(SUM(O14:R14)=0,Q14,SUM(O14:R14)*-44/12)</f>
        <v>-6254.2533963131818</v>
      </c>
      <c r="U14" s="2424"/>
    </row>
    <row r="15" spans="2:21" ht="18" customHeight="1" x14ac:dyDescent="0.2">
      <c r="B15" s="475" t="s">
        <v>1394</v>
      </c>
      <c r="C15" s="476"/>
      <c r="D15" s="3529">
        <f>IF(SUM(D16,D19,D21,D23,D25)=0,"IE",SUM(D16,D19,D21,D23,D25))</f>
        <v>13416.389858148024</v>
      </c>
      <c r="E15" s="3531">
        <f t="shared" ref="E15:F15" si="15">IF(SUM(E16,E19,E21,E23,E25)=0,"IE",SUM(E16,E19,E21,E23,E25))</f>
        <v>13415.389858148024</v>
      </c>
      <c r="F15" s="3535">
        <f t="shared" si="15"/>
        <v>1</v>
      </c>
      <c r="G15" s="3500" t="str">
        <f t="shared" si="4"/>
        <v>NA</v>
      </c>
      <c r="H15" s="3057">
        <f t="shared" si="5"/>
        <v>-0.42883047031547217</v>
      </c>
      <c r="I15" s="3057">
        <f t="shared" si="6"/>
        <v>-0.42883047031547217</v>
      </c>
      <c r="J15" s="3057">
        <f t="shared" si="7"/>
        <v>-0.10548851831694042</v>
      </c>
      <c r="K15" s="3514">
        <f t="shared" si="8"/>
        <v>-6.7763984820599088E-2</v>
      </c>
      <c r="L15" s="3106">
        <f t="shared" si="9"/>
        <v>-8.7249999999999996</v>
      </c>
      <c r="M15" s="3530" t="str">
        <f>IF(SUM(M16,M19,M21,M23,M25)=0,"IE",SUM(M16,M19,M21,M23,M25))</f>
        <v>IE</v>
      </c>
      <c r="N15" s="3531">
        <f t="shared" ref="N15:S15" si="16">IF(SUM(N16,N19,N21,N23,N25)=0,"IE",SUM(N16,N19,N21,N23,N25))</f>
        <v>-5753.3567728053486</v>
      </c>
      <c r="O15" s="3532">
        <f t="shared" si="16"/>
        <v>-5753.3567728053486</v>
      </c>
      <c r="P15" s="3532">
        <f t="shared" si="16"/>
        <v>-1415.2750872984616</v>
      </c>
      <c r="Q15" s="3532">
        <f t="shared" si="16"/>
        <v>-909.0802747099616</v>
      </c>
      <c r="R15" s="3532">
        <f t="shared" si="16"/>
        <v>-8.7249999999999996</v>
      </c>
      <c r="S15" s="3534">
        <f t="shared" si="16"/>
        <v>29650.269494317163</v>
      </c>
      <c r="U15" s="2048"/>
    </row>
    <row r="16" spans="2:21" ht="18" customHeight="1" x14ac:dyDescent="0.2">
      <c r="B16" s="490" t="s">
        <v>1395</v>
      </c>
      <c r="C16" s="476"/>
      <c r="D16" s="3539">
        <f>IF(SUM(D17:D18)=0,"IE",SUM(D17:D18))</f>
        <v>13367.512425611478</v>
      </c>
      <c r="E16" s="3505">
        <f t="shared" ref="E16:F16" si="17">IF(SUM(E17:E18)=0,"IE",SUM(E17:E18))</f>
        <v>13367.512425611478</v>
      </c>
      <c r="F16" s="3506" t="str">
        <f t="shared" si="17"/>
        <v>IE</v>
      </c>
      <c r="G16" s="3500" t="str">
        <f t="shared" si="4"/>
        <v>NA</v>
      </c>
      <c r="H16" s="3057">
        <f t="shared" si="5"/>
        <v>-0.43039846080727839</v>
      </c>
      <c r="I16" s="3057">
        <f t="shared" si="6"/>
        <v>-0.43039846080727839</v>
      </c>
      <c r="J16" s="3057">
        <f t="shared" si="7"/>
        <v>-0.10587423016618007</v>
      </c>
      <c r="K16" s="3514">
        <f t="shared" si="8"/>
        <v>-5.9149859189586623E-2</v>
      </c>
      <c r="L16" s="3106" t="str">
        <f t="shared" si="9"/>
        <v>NA</v>
      </c>
      <c r="M16" s="3057" t="str">
        <f>IF(SUM(M17:M18)=0,"IE",SUM(M17:M18))</f>
        <v>IE</v>
      </c>
      <c r="N16" s="3057">
        <f t="shared" ref="N16:O16" si="18">IF(SUM(N17:N18)=0,"IE",SUM(N17:N18))</f>
        <v>-5753.3567728053486</v>
      </c>
      <c r="O16" s="3057">
        <f t="shared" si="18"/>
        <v>-5753.3567728053486</v>
      </c>
      <c r="P16" s="3057">
        <f t="shared" ref="P16" si="19">IF(SUM(P17:P18)=0,"IE",SUM(P17:P18))</f>
        <v>-1415.2750872984616</v>
      </c>
      <c r="Q16" s="3514">
        <f t="shared" ref="Q16" si="20">IF(SUM(Q17:Q18)=0,"IE",SUM(Q17:Q18))</f>
        <v>-790.68647768996846</v>
      </c>
      <c r="R16" s="3514" t="str">
        <f t="shared" ref="R16" si="21">IF(SUM(R17:R18)=0,"IE",SUM(R17:R18))</f>
        <v>IE</v>
      </c>
      <c r="S16" s="3511">
        <f t="shared" ref="S16" si="22">IF(SUM(S17:S18)=0,"IE",SUM(S17:S18))</f>
        <v>29184.167238577189</v>
      </c>
      <c r="U16" s="2048"/>
    </row>
    <row r="17" spans="2:21" ht="18" customHeight="1" x14ac:dyDescent="0.2">
      <c r="B17" s="490"/>
      <c r="C17" s="474" t="s">
        <v>1396</v>
      </c>
      <c r="D17" s="3500">
        <f>IF(SUM(E17:F17)=0,E17,SUM(E17:F17))</f>
        <v>13367.512425611478</v>
      </c>
      <c r="E17" s="3510">
        <v>13367.512425611478</v>
      </c>
      <c r="F17" s="3496" t="s">
        <v>274</v>
      </c>
      <c r="G17" s="3500" t="str">
        <f t="shared" si="4"/>
        <v>NA</v>
      </c>
      <c r="H17" s="3057">
        <f t="shared" si="5"/>
        <v>-0.42982422254225378</v>
      </c>
      <c r="I17" s="3057">
        <f t="shared" si="6"/>
        <v>-0.42982422254225378</v>
      </c>
      <c r="J17" s="3057">
        <f t="shared" si="7"/>
        <v>-0.10574996936985984</v>
      </c>
      <c r="K17" s="3514">
        <f t="shared" si="8"/>
        <v>-5.9149859189586623E-2</v>
      </c>
      <c r="L17" s="3106" t="str">
        <f t="shared" si="9"/>
        <v>NA</v>
      </c>
      <c r="M17" s="2917" t="s">
        <v>274</v>
      </c>
      <c r="N17" s="2917">
        <v>-5745.6806356623702</v>
      </c>
      <c r="O17" s="3087">
        <f>IF(SUM(M17:N17)=0,M17,SUM(M17:N17))</f>
        <v>-5745.6806356623702</v>
      </c>
      <c r="P17" s="2917">
        <v>-1413.6140295596344</v>
      </c>
      <c r="Q17" s="2918">
        <v>-790.68647768996846</v>
      </c>
      <c r="R17" s="2918" t="s">
        <v>274</v>
      </c>
      <c r="S17" s="3511">
        <f>IF(SUM(O17:R17)=0,Q17,SUM(O17:R17)*-44/12)</f>
        <v>29149.930857343901</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-7.6761371429788294</v>
      </c>
      <c r="O18" s="3087">
        <f>IF(SUM(M18:N18)=0,M18,SUM(M18:N18))</f>
        <v>-7.6761371429788294</v>
      </c>
      <c r="P18" s="2917">
        <v>-1.6610577388270704</v>
      </c>
      <c r="Q18" s="2918" t="s">
        <v>205</v>
      </c>
      <c r="R18" s="2918" t="s">
        <v>205</v>
      </c>
      <c r="S18" s="3511">
        <f>IF(SUM(O18:R18)=0,Q18,SUM(O18:R18)*-44/12)</f>
        <v>34.236381233288299</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13263.519818646917</v>
      </c>
      <c r="E10" s="3523">
        <f>IF(SUM(E11,E23)=0,"IE",SUM(E11,E23))</f>
        <v>13217.366544020288</v>
      </c>
      <c r="F10" s="3524">
        <f>IF(SUM(F11,F23)=0,"IE",SUM(F11,F23))</f>
        <v>46.153274626628928</v>
      </c>
      <c r="G10" s="4317" t="str">
        <f>IFERROR(IF(SUM($D10)=0,"NA",M10/$D10),"NA")</f>
        <v>NA</v>
      </c>
      <c r="H10" s="4318">
        <f t="shared" ref="H10:J10" si="0">IFERROR(IF(SUM($D10)=0,"NA",N10/$D10),"NA")</f>
        <v>-4.0096153873010196E-3</v>
      </c>
      <c r="I10" s="4319">
        <f t="shared" si="0"/>
        <v>-4.0096153873010196E-3</v>
      </c>
      <c r="J10" s="4318">
        <f t="shared" si="0"/>
        <v>-1.9021740243416047E-3</v>
      </c>
      <c r="K10" s="4318">
        <f>IFERROR(IF(SUM(E10)=0,"NA",Q10/E10),"NA")</f>
        <v>-7.3516363177859412E-4</v>
      </c>
      <c r="L10" s="4320" t="str">
        <f>IFERROR(IF(SUM(F10)=0,"NA",R10/F10),"NA")</f>
        <v>NA</v>
      </c>
      <c r="M10" s="4319" t="str">
        <f t="shared" ref="M10:S10" si="1">IF(SUM(M11,M23)=0,"IE",SUM(M11,M23))</f>
        <v>IE</v>
      </c>
      <c r="N10" s="4318">
        <f t="shared" si="1"/>
        <v>-53.181613154618702</v>
      </c>
      <c r="O10" s="4319">
        <f t="shared" si="1"/>
        <v>-53.181613154618702</v>
      </c>
      <c r="P10" s="4318">
        <f t="shared" si="1"/>
        <v>-25.229522870370236</v>
      </c>
      <c r="Q10" s="4321">
        <f t="shared" si="1"/>
        <v>-9.7169271910508392</v>
      </c>
      <c r="R10" s="4321" t="str">
        <f t="shared" si="1"/>
        <v>IE</v>
      </c>
      <c r="S10" s="3528">
        <f t="shared" si="1"/>
        <v>323.13623179214591</v>
      </c>
      <c r="U10" s="4322"/>
    </row>
    <row r="11" spans="1:23" ht="18" customHeight="1" x14ac:dyDescent="0.2">
      <c r="B11" s="491" t="s">
        <v>1262</v>
      </c>
      <c r="C11" s="473"/>
      <c r="D11" s="4323">
        <f>IF(SUM(D12,D14,D17)=0,"IE",SUM(D12,D14,D17))</f>
        <v>13214.019376136999</v>
      </c>
      <c r="E11" s="3542">
        <f t="shared" ref="E11:S11" si="2">IF(SUM(E12,E14,E17)=0,"IE",SUM(E12,E14,E17))</f>
        <v>13167.86610151037</v>
      </c>
      <c r="F11" s="3543">
        <f t="shared" si="2"/>
        <v>46.153274626628928</v>
      </c>
      <c r="G11" s="4324" t="str">
        <f t="shared" ref="G11:G56" si="3">IFERROR(IF(SUM($D11)=0,"NA",M11/$D11),"NA")</f>
        <v>NA</v>
      </c>
      <c r="H11" s="4325">
        <f t="shared" ref="H11:H56" si="4">IFERROR(IF(SUM($D11)=0,"NA",N11/$D11),"NA")</f>
        <v>-3.5204902745702422E-3</v>
      </c>
      <c r="I11" s="4326">
        <f t="shared" ref="I11:I56" si="5">IFERROR(IF(SUM($D11)=0,"NA",O11/$D11),"NA")</f>
        <v>-3.5204902745702422E-3</v>
      </c>
      <c r="J11" s="4325">
        <f t="shared" ref="J11:J56" si="6">IFERROR(IF(SUM($D11)=0,"NA",P11/$D11),"NA")</f>
        <v>-1.9092996727348422E-3</v>
      </c>
      <c r="K11" s="4325">
        <f t="shared" ref="K11:K56" si="7">IFERROR(IF(SUM(E11)=0,"NA",Q11/E11),"NA")</f>
        <v>-7.3792724775172916E-4</v>
      </c>
      <c r="L11" s="4327" t="str">
        <f t="shared" ref="L11:L56" si="8">IFERROR(IF(SUM(F11)=0,"NA",R11/F11),"NA")</f>
        <v>NA</v>
      </c>
      <c r="M11" s="4326" t="str">
        <f t="shared" si="2"/>
        <v>IE</v>
      </c>
      <c r="N11" s="4325">
        <f t="shared" si="2"/>
        <v>-46.519826701673047</v>
      </c>
      <c r="O11" s="4326">
        <f t="shared" si="2"/>
        <v>-46.519826701673047</v>
      </c>
      <c r="P11" s="4325">
        <f t="shared" si="2"/>
        <v>-25.229522870370236</v>
      </c>
      <c r="Q11" s="4328">
        <f t="shared" si="2"/>
        <v>-9.7169271910508392</v>
      </c>
      <c r="R11" s="4328" t="str">
        <f t="shared" si="2"/>
        <v>IE</v>
      </c>
      <c r="S11" s="3544">
        <f t="shared" si="2"/>
        <v>298.70968146467851</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773.76889083423191</v>
      </c>
      <c r="E14" s="3505">
        <f>IF(SUM(E15:E16)=0,"IE",SUM(E15:E16))</f>
        <v>773.76889083423191</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546.59870000000012</v>
      </c>
      <c r="E15" s="3510">
        <v>546.59870000000012</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12440.250485302768</v>
      </c>
      <c r="E17" s="3505">
        <f>IF(SUM(E18:E21)=0,"IE",SUM(E18:E21))</f>
        <v>12394.097210676138</v>
      </c>
      <c r="F17" s="3506">
        <f>IF(SUM(F18:F21)=0,"IE",SUM(F18:F21))</f>
        <v>46.153274626628928</v>
      </c>
      <c r="G17" s="3545" t="str">
        <f t="shared" si="3"/>
        <v>NA</v>
      </c>
      <c r="H17" s="3531">
        <f t="shared" si="4"/>
        <v>-3.739460612680811E-3</v>
      </c>
      <c r="I17" s="3546">
        <f t="shared" si="5"/>
        <v>-3.739460612680811E-3</v>
      </c>
      <c r="J17" s="3531">
        <f t="shared" si="6"/>
        <v>-2.0280558578926562E-3</v>
      </c>
      <c r="K17" s="3531">
        <f t="shared" si="7"/>
        <v>-7.8399636745472563E-4</v>
      </c>
      <c r="L17" s="3535" t="str">
        <f t="shared" si="8"/>
        <v>NA</v>
      </c>
      <c r="M17" s="3505" t="str">
        <f t="shared" ref="M17:S17" si="16">IF(SUM(M18:M21)=0,"IE",SUM(M18:M21))</f>
        <v>IE</v>
      </c>
      <c r="N17" s="4325">
        <f t="shared" si="16"/>
        <v>-46.519826701673047</v>
      </c>
      <c r="O17" s="4326">
        <f t="shared" si="16"/>
        <v>-46.519826701673047</v>
      </c>
      <c r="P17" s="4325">
        <f t="shared" si="16"/>
        <v>-25.229522870370236</v>
      </c>
      <c r="Q17" s="4328">
        <f t="shared" si="16"/>
        <v>-9.7169271910508392</v>
      </c>
      <c r="R17" s="4328" t="str">
        <f t="shared" si="16"/>
        <v>IE</v>
      </c>
      <c r="S17" s="4332">
        <f t="shared" si="16"/>
        <v>298.70968146467851</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-7.0737023167505792E-3</v>
      </c>
      <c r="I18" s="3554">
        <f t="shared" si="5"/>
        <v>-7.0737023167505792E-3</v>
      </c>
      <c r="J18" s="3553">
        <f t="shared" si="6"/>
        <v>-1.4147404633501153E-3</v>
      </c>
      <c r="K18" s="3553">
        <f t="shared" si="7"/>
        <v>-5.6589618534004611E-3</v>
      </c>
      <c r="L18" s="3555" t="str">
        <f t="shared" si="8"/>
        <v>NA</v>
      </c>
      <c r="M18" s="3547" t="s">
        <v>274</v>
      </c>
      <c r="N18" s="3548">
        <v>-12.146158988813555</v>
      </c>
      <c r="O18" s="3087">
        <f>IF(SUM(M18:N18)=0,M18,SUM(M18:N18))</f>
        <v>-12.146158988813555</v>
      </c>
      <c r="P18" s="3548">
        <v>-2.4292317977627098</v>
      </c>
      <c r="Q18" s="3549">
        <v>-9.7169271910508392</v>
      </c>
      <c r="R18" s="3556" t="s">
        <v>274</v>
      </c>
      <c r="S18" s="3511">
        <f>IF(SUM(O18:R18)=0,Q18,SUM(O18:R18)*-44/12)</f>
        <v>89.071832584632716</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-34.373667712859493</v>
      </c>
      <c r="O19" s="3087">
        <f t="shared" ref="O19:O22" si="18">IF(SUM(M19:N19)=0,M19,SUM(M19:N19))</f>
        <v>-34.373667712859493</v>
      </c>
      <c r="P19" s="3548">
        <v>-22.800291072607525</v>
      </c>
      <c r="Q19" s="3551" t="s">
        <v>205</v>
      </c>
      <c r="R19" s="3550" t="s">
        <v>205</v>
      </c>
      <c r="S19" s="3511">
        <f t="shared" ref="S19:S22" si="19">IF(SUM(O19:R19)=0,Q19,SUM(O19:R19)*-44/12)</f>
        <v>209.63784888004577</v>
      </c>
      <c r="T19" s="2519"/>
      <c r="U19" s="2699"/>
      <c r="V19" s="2519"/>
      <c r="W19" s="2519"/>
    </row>
    <row r="20" spans="1:23" ht="18" customHeight="1" x14ac:dyDescent="0.2">
      <c r="A20" s="2519"/>
      <c r="B20" s="2698"/>
      <c r="C20" s="4316" t="s">
        <v>1414</v>
      </c>
      <c r="D20" s="3500">
        <f t="shared" si="17"/>
        <v>10677.010677355198</v>
      </c>
      <c r="E20" s="4335">
        <v>10677.010677355198</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46.153274626628928</v>
      </c>
      <c r="E21" s="3505" t="str">
        <f t="shared" ref="E21:F21" si="20">E22</f>
        <v>IE</v>
      </c>
      <c r="F21" s="3506">
        <f t="shared" si="20"/>
        <v>46.153274626628928</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46.153274626628928</v>
      </c>
      <c r="E22" s="3510" t="s">
        <v>274</v>
      </c>
      <c r="F22" s="3496">
        <v>46.153274626628928</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49.500442509917733</v>
      </c>
      <c r="E23" s="3531">
        <f t="shared" ref="E23:F23" si="22">IF(SUM(E24,E35,E46)=0,"IE",SUM(E24,E35,E46))</f>
        <v>49.500442509917733</v>
      </c>
      <c r="F23" s="3535" t="str">
        <f t="shared" si="22"/>
        <v>IE</v>
      </c>
      <c r="G23" s="3545" t="str">
        <f t="shared" si="3"/>
        <v>NA</v>
      </c>
      <c r="H23" s="3531">
        <f t="shared" si="4"/>
        <v>-0.13458034141029998</v>
      </c>
      <c r="I23" s="3546">
        <f t="shared" si="5"/>
        <v>-0.13458034141029998</v>
      </c>
      <c r="J23" s="3531" t="str">
        <f t="shared" si="6"/>
        <v>NA</v>
      </c>
      <c r="K23" s="3531" t="str">
        <f t="shared" si="7"/>
        <v>NA</v>
      </c>
      <c r="L23" s="3535" t="str">
        <f t="shared" si="8"/>
        <v>NA</v>
      </c>
      <c r="M23" s="3531" t="str">
        <f t="shared" ref="M23" si="23">IF(SUM(M24,M35,M46)=0,"IE",SUM(M24,M35,M46))</f>
        <v>IE</v>
      </c>
      <c r="N23" s="3531">
        <f t="shared" ref="N23" si="24">IF(SUM(N24,N35,N46)=0,"IE",SUM(N24,N35,N46))</f>
        <v>-6.6617864529456554</v>
      </c>
      <c r="O23" s="3546">
        <f t="shared" ref="O23" si="25">IF(SUM(O24,O35,O46)=0,"IE",SUM(O24,O35,O46))</f>
        <v>-6.6617864529456554</v>
      </c>
      <c r="P23" s="3531" t="str">
        <f>IF(SUM(P24,P35,P46)=0,"NO",SUM(P24,P35,P46))</f>
        <v>NO</v>
      </c>
      <c r="Q23" s="3530" t="str">
        <f>IF(SUM(Q24,Q35,Q46)=0,"NO",SUM(Q24,Q35,Q46))</f>
        <v>NO</v>
      </c>
      <c r="R23" s="3530" t="str">
        <f>IF(SUM(R24,R35,R46)=0,"NO",SUM(R24,R35,R46))</f>
        <v>NO</v>
      </c>
      <c r="S23" s="3534">
        <f t="shared" ref="S23" si="26">IF(SUM(S24,S35,S46)=0,"IE",SUM(S24,S35,S46))</f>
        <v>24.426550327467407</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49.500442509917733</v>
      </c>
      <c r="E35" s="3531">
        <f>IF(SUM(E36,E38,E40,E42,E44)=0,"IE",SUM(E36,E38,E40,E42,E44))</f>
        <v>49.500442509917733</v>
      </c>
      <c r="F35" s="3535" t="str">
        <f>IF(SUM(F36,F38,F40,F42,F44)=0,"IE",SUM(F36,F38,F40,F42,F44))</f>
        <v>IE</v>
      </c>
      <c r="G35" s="3545" t="str">
        <f t="shared" si="3"/>
        <v>NA</v>
      </c>
      <c r="H35" s="3531">
        <f t="shared" si="4"/>
        <v>-0.13458034141029998</v>
      </c>
      <c r="I35" s="3546">
        <f t="shared" si="5"/>
        <v>-0.13458034141029998</v>
      </c>
      <c r="J35" s="3531" t="str">
        <f t="shared" si="6"/>
        <v>NA</v>
      </c>
      <c r="K35" s="3531" t="str">
        <f t="shared" si="7"/>
        <v>NA</v>
      </c>
      <c r="L35" s="3535" t="str">
        <f t="shared" si="8"/>
        <v>NA</v>
      </c>
      <c r="M35" s="3531" t="str">
        <f t="shared" ref="M35:S35" si="48">IF(SUM(M36,M38,M40,M42,M44)=0,"IE",SUM(M36,M38,M40,M42,M44))</f>
        <v>IE</v>
      </c>
      <c r="N35" s="3531">
        <f t="shared" si="48"/>
        <v>-6.6617864529456554</v>
      </c>
      <c r="O35" s="3546">
        <f t="shared" si="48"/>
        <v>-6.6617864529456554</v>
      </c>
      <c r="P35" s="3531" t="str">
        <f>IF(SUM(P36,P38,P40,P42,P44)=0,"NO",SUM(P36,P38,P40,P42,P44))</f>
        <v>NO</v>
      </c>
      <c r="Q35" s="3530" t="str">
        <f>IF(SUM(Q36,Q38,Q40,Q42,Q44)=0,"NO",SUM(Q36,Q38,Q40,Q42,Q44))</f>
        <v>NO</v>
      </c>
      <c r="R35" s="3530" t="str">
        <f>IF(SUM(R36,R38,R40,R42,R44)=0,"NO",SUM(R36,R38,R40,R42,R44))</f>
        <v>NO</v>
      </c>
      <c r="S35" s="3534">
        <f t="shared" si="48"/>
        <v>24.426550327467407</v>
      </c>
      <c r="U35" s="493"/>
    </row>
    <row r="36" spans="2:21" ht="18" customHeight="1" x14ac:dyDescent="0.2">
      <c r="B36" s="495" t="s">
        <v>1424</v>
      </c>
      <c r="C36" s="476"/>
      <c r="D36" s="3500">
        <f>D37</f>
        <v>49.500442509917733</v>
      </c>
      <c r="E36" s="3505">
        <f t="shared" ref="E36:F36" si="49">E37</f>
        <v>49.500442509917733</v>
      </c>
      <c r="F36" s="3506" t="str">
        <f t="shared" si="49"/>
        <v>IE</v>
      </c>
      <c r="G36" s="3500" t="str">
        <f t="shared" si="3"/>
        <v>NA</v>
      </c>
      <c r="H36" s="3057">
        <f t="shared" si="4"/>
        <v>-0.13458034141029998</v>
      </c>
      <c r="I36" s="3057">
        <f t="shared" si="5"/>
        <v>-0.13458034141029998</v>
      </c>
      <c r="J36" s="3057" t="str">
        <f t="shared" si="6"/>
        <v>NA</v>
      </c>
      <c r="K36" s="3514" t="str">
        <f t="shared" si="7"/>
        <v>NA</v>
      </c>
      <c r="L36" s="3106" t="str">
        <f t="shared" si="8"/>
        <v>NA</v>
      </c>
      <c r="M36" s="4170" t="str">
        <f t="shared" ref="M36:S36" si="50">M37</f>
        <v>IE</v>
      </c>
      <c r="N36" s="3057">
        <f t="shared" si="50"/>
        <v>-6.6617864529456554</v>
      </c>
      <c r="O36" s="3057">
        <f t="shared" si="50"/>
        <v>-6.6617864529456554</v>
      </c>
      <c r="P36" s="3057" t="str">
        <f t="shared" si="50"/>
        <v>NA</v>
      </c>
      <c r="Q36" s="3514" t="str">
        <f t="shared" si="50"/>
        <v>NA</v>
      </c>
      <c r="R36" s="3514" t="str">
        <f t="shared" si="50"/>
        <v>NA</v>
      </c>
      <c r="S36" s="3511">
        <f t="shared" si="50"/>
        <v>24.426550327467407</v>
      </c>
      <c r="U36" s="4329"/>
    </row>
    <row r="37" spans="2:21" ht="18" customHeight="1" x14ac:dyDescent="0.2">
      <c r="B37" s="1478"/>
      <c r="C37" s="4330" t="s">
        <v>409</v>
      </c>
      <c r="D37" s="3500">
        <f>IF(SUM(E37:F37)=0,E37,SUM(E37:F37))</f>
        <v>49.500442509917733</v>
      </c>
      <c r="E37" s="3510">
        <v>49.500442509917733</v>
      </c>
      <c r="F37" s="3496" t="s">
        <v>274</v>
      </c>
      <c r="G37" s="3545" t="str">
        <f t="shared" si="3"/>
        <v>NA</v>
      </c>
      <c r="H37" s="3531">
        <f t="shared" si="4"/>
        <v>-0.13458034141029998</v>
      </c>
      <c r="I37" s="3546">
        <f t="shared" si="5"/>
        <v>-0.13458034141029998</v>
      </c>
      <c r="J37" s="3531" t="str">
        <f t="shared" si="6"/>
        <v>NA</v>
      </c>
      <c r="K37" s="3531" t="str">
        <f t="shared" si="7"/>
        <v>NA</v>
      </c>
      <c r="L37" s="3535" t="str">
        <f t="shared" si="8"/>
        <v>NA</v>
      </c>
      <c r="M37" s="3547" t="s">
        <v>274</v>
      </c>
      <c r="N37" s="3548">
        <v>-6.6617864529456554</v>
      </c>
      <c r="O37" s="3087">
        <f t="shared" ref="O37" si="51">IF(SUM(M37:N37)=0,M37,SUM(M37:N37))</f>
        <v>-6.6617864529456554</v>
      </c>
      <c r="P37" s="3548" t="s">
        <v>205</v>
      </c>
      <c r="Q37" s="3549" t="s">
        <v>205</v>
      </c>
      <c r="R37" s="3549" t="s">
        <v>205</v>
      </c>
      <c r="S37" s="3511">
        <f t="shared" ref="S37" si="52">IF(SUM(O37:R37)=0,Q37,SUM(O37:R37)*-44/12)</f>
        <v>24.426550327467407</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1597.1255853164075</v>
      </c>
      <c r="E10" s="3523">
        <f t="shared" ref="E10:F10" si="0">IF(SUM(E11,E13)=0,"IE",SUM(E11,E13))</f>
        <v>1509.8673387050726</v>
      </c>
      <c r="F10" s="3524">
        <f t="shared" si="0"/>
        <v>87.258246611334755</v>
      </c>
      <c r="G10" s="3522">
        <f>IFERROR(IF(SUM($D10)=0,"NA",M10/$D10),"NA")</f>
        <v>8.6437669533813389E-4</v>
      </c>
      <c r="H10" s="3523">
        <f t="shared" ref="H10:J10" si="1">IFERROR(IF(SUM($D10)=0,"NA",N10/$D10),"NA")</f>
        <v>-0.55255999748127826</v>
      </c>
      <c r="I10" s="3523">
        <f t="shared" si="1"/>
        <v>-0.55169562078594014</v>
      </c>
      <c r="J10" s="3523">
        <f t="shared" si="1"/>
        <v>-0.16388880176915469</v>
      </c>
      <c r="K10" s="3525">
        <f>IFERROR(IF(SUM(E10)=0,"NA",Q10/E10),"NA")</f>
        <v>-7.2785568084367425E-2</v>
      </c>
      <c r="L10" s="3524">
        <f>IFERROR(IF(SUM(F10)=0,"NA",R10/F10),"NA")</f>
        <v>0.5231658219949239</v>
      </c>
      <c r="M10" s="3526">
        <f>IF(SUM(M11,M13)=0,"IE",SUM(M11,M13))</f>
        <v>1.3805181354757792</v>
      </c>
      <c r="N10" s="3523">
        <f t="shared" ref="N10:S10" si="2">IF(SUM(N11,N13)=0,"IE",SUM(N11,N13))</f>
        <v>-882.50770939971926</v>
      </c>
      <c r="O10" s="3527">
        <f t="shared" si="2"/>
        <v>-881.12719126424349</v>
      </c>
      <c r="P10" s="3523">
        <f t="shared" si="2"/>
        <v>-261.75099845236588</v>
      </c>
      <c r="Q10" s="3525">
        <f t="shared" si="2"/>
        <v>-109.89655197968071</v>
      </c>
      <c r="R10" s="3525">
        <f t="shared" si="2"/>
        <v>45.650532314254733</v>
      </c>
      <c r="S10" s="3528">
        <f t="shared" si="2"/>
        <v>4426.1221010674635</v>
      </c>
      <c r="U10" s="2287"/>
    </row>
    <row r="11" spans="2:21" ht="18" customHeight="1" x14ac:dyDescent="0.2">
      <c r="B11" s="483" t="s">
        <v>1265</v>
      </c>
      <c r="C11" s="2282"/>
      <c r="D11" s="3529">
        <f>D12</f>
        <v>1092.7090150609999</v>
      </c>
      <c r="E11" s="3057">
        <f t="shared" ref="E11:F11" si="3">E12</f>
        <v>1092.7090150609999</v>
      </c>
      <c r="F11" s="3057" t="str">
        <f t="shared" si="3"/>
        <v>IE</v>
      </c>
      <c r="G11" s="3500">
        <f t="shared" ref="G11:G24" si="4">IFERROR(IF(SUM($D11)=0,"NA",M11/$D11),"NA")</f>
        <v>1.2633904511153982E-3</v>
      </c>
      <c r="H11" s="3057" t="str">
        <f t="shared" ref="H11:H24" si="5">IFERROR(IF(SUM($D11)=0,"NA",N11/$D11),"NA")</f>
        <v>NA</v>
      </c>
      <c r="I11" s="3057">
        <f t="shared" ref="I11:I24" si="6">IFERROR(IF(SUM($D11)=0,"NA",O11/$D11),"NA")</f>
        <v>1.2633904511153982E-3</v>
      </c>
      <c r="J11" s="3057">
        <f t="shared" ref="J11:J24" si="7">IFERROR(IF(SUM($D11)=0,"NA",P11/$D11),"NA")</f>
        <v>2.5267809022307965E-4</v>
      </c>
      <c r="K11" s="3514">
        <f t="shared" ref="K11:K24" si="8">IFERROR(IF(SUM(E11)=0,"NA",Q11/E11),"NA")</f>
        <v>1.0107123608923186E-3</v>
      </c>
      <c r="L11" s="3106" t="str">
        <f t="shared" ref="L11:L24" si="9">IFERROR(IF(SUM(F11)=0,"NA",R11/F11),"NA")</f>
        <v>NA</v>
      </c>
      <c r="M11" s="3530">
        <f t="shared" ref="M11:S11" si="10">M12</f>
        <v>1.3805181354757792</v>
      </c>
      <c r="N11" s="3531" t="str">
        <f t="shared" si="10"/>
        <v>IE</v>
      </c>
      <c r="O11" s="3532">
        <f t="shared" si="10"/>
        <v>1.3805181354757792</v>
      </c>
      <c r="P11" s="3531">
        <f t="shared" si="10"/>
        <v>0.27610362709515585</v>
      </c>
      <c r="Q11" s="3533">
        <f t="shared" si="10"/>
        <v>1.1044145083806234</v>
      </c>
      <c r="R11" s="3533" t="str">
        <f t="shared" si="10"/>
        <v>IE</v>
      </c>
      <c r="S11" s="3534">
        <f t="shared" si="10"/>
        <v>-10.123799660155713</v>
      </c>
      <c r="U11" s="2423"/>
    </row>
    <row r="12" spans="2:21" ht="18" customHeight="1" x14ac:dyDescent="0.2">
      <c r="B12" s="491"/>
      <c r="C12" s="4330" t="s">
        <v>409</v>
      </c>
      <c r="D12" s="3500">
        <f>IF(SUM(E12:F12)=0,E12,SUM(E12:F12))</f>
        <v>1092.7090150609999</v>
      </c>
      <c r="E12" s="3510">
        <v>1092.7090150609999</v>
      </c>
      <c r="F12" s="3496" t="s">
        <v>274</v>
      </c>
      <c r="G12" s="3500">
        <f t="shared" si="4"/>
        <v>1.2633904511153982E-3</v>
      </c>
      <c r="H12" s="3057" t="str">
        <f t="shared" si="5"/>
        <v>NA</v>
      </c>
      <c r="I12" s="3057">
        <f t="shared" si="6"/>
        <v>1.2633904511153982E-3</v>
      </c>
      <c r="J12" s="3057">
        <f t="shared" si="7"/>
        <v>2.5267809022307965E-4</v>
      </c>
      <c r="K12" s="3514">
        <f t="shared" si="8"/>
        <v>1.0107123608923186E-3</v>
      </c>
      <c r="L12" s="3106" t="str">
        <f t="shared" si="9"/>
        <v>NA</v>
      </c>
      <c r="M12" s="2917">
        <v>1.3805181354757792</v>
      </c>
      <c r="N12" s="2917" t="s">
        <v>274</v>
      </c>
      <c r="O12" s="3087">
        <f>IF(SUM(M12:N12)=0,M12,SUM(M12:N12))</f>
        <v>1.3805181354757792</v>
      </c>
      <c r="P12" s="2917">
        <v>0.27610362709515585</v>
      </c>
      <c r="Q12" s="2918">
        <v>1.1044145083806234</v>
      </c>
      <c r="R12" s="2918" t="s">
        <v>274</v>
      </c>
      <c r="S12" s="3511">
        <f>IF(SUM(O12:R12)=0,Q12,SUM(O12:R12)*-44/12)</f>
        <v>-10.123799660155713</v>
      </c>
      <c r="U12" s="2424"/>
    </row>
    <row r="13" spans="2:21" ht="18" customHeight="1" x14ac:dyDescent="0.2">
      <c r="B13" s="483" t="s">
        <v>1266</v>
      </c>
      <c r="C13" s="494"/>
      <c r="D13" s="3529">
        <f>IF(SUM(D14,D17,D19,D21,D23)=0,"IE",SUM(D14,D17,D19,D21,D23))</f>
        <v>504.41657025540752</v>
      </c>
      <c r="E13" s="3531">
        <f t="shared" ref="E13:S13" si="11">IF(SUM(E14,E17,E19,E21,E23)=0,"IE",SUM(E14,E17,E19,E21,E23))</f>
        <v>417.15832364407277</v>
      </c>
      <c r="F13" s="3535">
        <f t="shared" si="11"/>
        <v>87.258246611334755</v>
      </c>
      <c r="G13" s="3500" t="str">
        <f t="shared" si="4"/>
        <v>NA</v>
      </c>
      <c r="H13" s="3057">
        <f t="shared" si="5"/>
        <v>-1.7495612980217286</v>
      </c>
      <c r="I13" s="3057">
        <f t="shared" si="6"/>
        <v>-1.7495612980217286</v>
      </c>
      <c r="J13" s="3057">
        <f t="shared" si="7"/>
        <v>-0.51946569072222504</v>
      </c>
      <c r="K13" s="3514">
        <f t="shared" si="8"/>
        <v>-0.26608834151603655</v>
      </c>
      <c r="L13" s="3106">
        <f t="shared" si="9"/>
        <v>0.5231658219949239</v>
      </c>
      <c r="M13" s="3057" t="str">
        <f t="shared" si="11"/>
        <v>IE</v>
      </c>
      <c r="N13" s="3057">
        <f t="shared" si="11"/>
        <v>-882.50770939971926</v>
      </c>
      <c r="O13" s="3057">
        <f t="shared" si="11"/>
        <v>-882.50770939971926</v>
      </c>
      <c r="P13" s="3057">
        <f t="shared" si="11"/>
        <v>-262.02710207946103</v>
      </c>
      <c r="Q13" s="3514">
        <f t="shared" si="11"/>
        <v>-111.00096648806134</v>
      </c>
      <c r="R13" s="3514">
        <f t="shared" si="11"/>
        <v>45.650532314254733</v>
      </c>
      <c r="S13" s="3511">
        <f t="shared" si="11"/>
        <v>4436.2459007276193</v>
      </c>
      <c r="U13" s="2048"/>
    </row>
    <row r="14" spans="2:21" ht="18" customHeight="1" x14ac:dyDescent="0.2">
      <c r="B14" s="485" t="s">
        <v>1440</v>
      </c>
      <c r="C14" s="494"/>
      <c r="D14" s="3539">
        <f>IF(SUM(D15:D16)=0,"IE",SUM(D15:D16))</f>
        <v>504.41657025540752</v>
      </c>
      <c r="E14" s="3505">
        <f t="shared" ref="E14:F14" si="12">IF(SUM(E15:E16)=0,"IE",SUM(E15:E16))</f>
        <v>417.15832364407277</v>
      </c>
      <c r="F14" s="3506">
        <f t="shared" si="12"/>
        <v>87.258246611334755</v>
      </c>
      <c r="G14" s="3500" t="str">
        <f t="shared" si="4"/>
        <v>NA</v>
      </c>
      <c r="H14" s="3057">
        <f t="shared" si="5"/>
        <v>-1.7495612980217286</v>
      </c>
      <c r="I14" s="3057">
        <f t="shared" si="6"/>
        <v>-1.7495612980217286</v>
      </c>
      <c r="J14" s="3057">
        <f t="shared" si="7"/>
        <v>-0.51946569072222504</v>
      </c>
      <c r="K14" s="3514">
        <f t="shared" si="8"/>
        <v>-0.26608834151603655</v>
      </c>
      <c r="L14" s="3106">
        <f t="shared" si="9"/>
        <v>0.5231658219949239</v>
      </c>
      <c r="M14" s="3057" t="str">
        <f>IF(SUM(M15:M16)=0,"IE",SUM(M15:M16))</f>
        <v>IE</v>
      </c>
      <c r="N14" s="3057">
        <f t="shared" ref="N14:S14" si="13">IF(SUM(N15:N16)=0,"IE",SUM(N15:N16))</f>
        <v>-882.50770939971926</v>
      </c>
      <c r="O14" s="3057">
        <f t="shared" si="13"/>
        <v>-882.50770939971926</v>
      </c>
      <c r="P14" s="3057">
        <f t="shared" si="13"/>
        <v>-262.02710207946103</v>
      </c>
      <c r="Q14" s="3514">
        <f t="shared" si="13"/>
        <v>-111.00096648806134</v>
      </c>
      <c r="R14" s="3514">
        <f t="shared" si="13"/>
        <v>45.650532314254733</v>
      </c>
      <c r="S14" s="3511">
        <f t="shared" si="13"/>
        <v>4436.2459007276193</v>
      </c>
      <c r="U14" s="2048"/>
    </row>
    <row r="15" spans="2:21" ht="18" customHeight="1" x14ac:dyDescent="0.2">
      <c r="B15" s="486"/>
      <c r="C15" s="498" t="s">
        <v>1441</v>
      </c>
      <c r="D15" s="3500">
        <f>IF(SUM(E15:F15)=0,E15,SUM(E15:F15))</f>
        <v>87.258246611334755</v>
      </c>
      <c r="E15" s="3510" t="s">
        <v>199</v>
      </c>
      <c r="F15" s="3496">
        <v>87.258246611334755</v>
      </c>
      <c r="G15" s="3500" t="str">
        <f t="shared" si="4"/>
        <v>NA</v>
      </c>
      <c r="H15" s="3057">
        <f t="shared" si="5"/>
        <v>-7.0035460494397945</v>
      </c>
      <c r="I15" s="3057">
        <f t="shared" si="6"/>
        <v>-7.0035460494397945</v>
      </c>
      <c r="J15" s="3057">
        <f t="shared" si="7"/>
        <v>-2.3645788015248943</v>
      </c>
      <c r="K15" s="3514" t="str">
        <f t="shared" si="8"/>
        <v>NA</v>
      </c>
      <c r="L15" s="3106">
        <f t="shared" si="9"/>
        <v>0.5231658219949239</v>
      </c>
      <c r="M15" s="2917" t="s">
        <v>274</v>
      </c>
      <c r="N15" s="2917">
        <v>-611.11714833585688</v>
      </c>
      <c r="O15" s="3087">
        <f>IF(SUM(M15:N15)=0,M15,SUM(M15:N15))</f>
        <v>-611.11714833585688</v>
      </c>
      <c r="P15" s="2917">
        <v>-206.3290001953936</v>
      </c>
      <c r="Q15" s="2918" t="s">
        <v>199</v>
      </c>
      <c r="R15" s="2918">
        <v>45.650532314254733</v>
      </c>
      <c r="S15" s="3511">
        <f>IF(SUM(O15:R15)=0,Q15,SUM(O15:R15)*-44/12)</f>
        <v>2829.9172594623178</v>
      </c>
      <c r="U15" s="2048"/>
    </row>
    <row r="16" spans="2:21" ht="18" customHeight="1" x14ac:dyDescent="0.2">
      <c r="B16" s="484"/>
      <c r="C16" s="498" t="s">
        <v>1442</v>
      </c>
      <c r="D16" s="3500">
        <f>IF(SUM(E16:F16)=0,E16,SUM(E16:F16))</f>
        <v>417.15832364407277</v>
      </c>
      <c r="E16" s="3510">
        <v>417.15832364407277</v>
      </c>
      <c r="F16" s="3496" t="s">
        <v>274</v>
      </c>
      <c r="G16" s="3500" t="str">
        <f t="shared" si="4"/>
        <v>NA</v>
      </c>
      <c r="H16" s="3057">
        <f t="shared" si="5"/>
        <v>-0.65056968944821514</v>
      </c>
      <c r="I16" s="3057">
        <f t="shared" si="6"/>
        <v>-0.65056968944821514</v>
      </c>
      <c r="J16" s="3057">
        <f t="shared" si="7"/>
        <v>-0.13351789650873683</v>
      </c>
      <c r="K16" s="3514">
        <f t="shared" si="8"/>
        <v>-0.26608834151603655</v>
      </c>
      <c r="L16" s="3106" t="str">
        <f t="shared" si="9"/>
        <v>NA</v>
      </c>
      <c r="M16" s="2917" t="s">
        <v>274</v>
      </c>
      <c r="N16" s="2917">
        <v>-271.39056106386244</v>
      </c>
      <c r="O16" s="3087">
        <f>IF(SUM(M16:N16)=0,M16,SUM(M16:N16))</f>
        <v>-271.39056106386244</v>
      </c>
      <c r="P16" s="2917">
        <v>-55.698101884067448</v>
      </c>
      <c r="Q16" s="2918">
        <v>-111.00096648806134</v>
      </c>
      <c r="R16" s="2918" t="s">
        <v>274</v>
      </c>
      <c r="S16" s="3511">
        <f>IF(SUM(O16:R16)=0,Q16,SUM(O16:R16)*-44/12)</f>
        <v>1606.3286412653013</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74.073809369490533</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74.073809369490533</v>
      </c>
    </row>
    <row r="270" spans="2:10" ht="18" customHeight="1" x14ac:dyDescent="0.2">
      <c r="B270" s="2842" t="s">
        <v>1550</v>
      </c>
      <c r="C270" s="2843"/>
      <c r="D270" s="2823"/>
      <c r="E270" s="2824"/>
      <c r="F270" s="2825"/>
      <c r="G270" s="2826"/>
      <c r="H270" s="2834" t="s">
        <v>221</v>
      </c>
      <c r="I270" s="2830" t="s">
        <v>221</v>
      </c>
      <c r="J270" s="3659">
        <f>J277</f>
        <v>72.997392646573871</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667.7902396824619</v>
      </c>
      <c r="E277" s="2770" t="s">
        <v>205</v>
      </c>
      <c r="F277" s="2768" t="s">
        <v>205</v>
      </c>
      <c r="G277" s="3653">
        <f>IF(SUM(D277)=0,"NA",J277*1000/D277)</f>
        <v>109.31185918692755</v>
      </c>
      <c r="H277" s="2793" t="str">
        <f t="shared" ref="H277:J277" si="1">H302</f>
        <v>NE</v>
      </c>
      <c r="I277" s="2792" t="str">
        <f t="shared" si="1"/>
        <v>NE</v>
      </c>
      <c r="J277" s="3652">
        <f t="shared" si="1"/>
        <v>72.997392646573871</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440.62004884823011</v>
      </c>
      <c r="E281" s="2770" t="str">
        <f t="shared" si="2"/>
        <v>NA</v>
      </c>
      <c r="F281" s="2768" t="str">
        <f t="shared" si="2"/>
        <v>NA</v>
      </c>
      <c r="G281" s="3653">
        <f t="shared" si="2"/>
        <v>123.13194680710457</v>
      </c>
      <c r="H281" s="2795" t="str">
        <f t="shared" ref="H281" si="3">H306</f>
        <v>NA</v>
      </c>
      <c r="I281" s="2773" t="str">
        <f t="shared" ref="I281:J281" si="4">I306</f>
        <v>NA</v>
      </c>
      <c r="J281" s="3662">
        <f t="shared" si="4"/>
        <v>54.254404416924089</v>
      </c>
    </row>
    <row r="282" spans="2:10" ht="18" customHeight="1" outlineLevel="1" x14ac:dyDescent="0.2">
      <c r="B282" s="2862" t="str">
        <f>B307</f>
        <v>Other Constructed Water Bodies</v>
      </c>
      <c r="C282" s="2850" t="str">
        <f t="shared" si="2"/>
        <v>Other Constructed Water Bodies</v>
      </c>
      <c r="D282" s="3647">
        <f t="shared" si="2"/>
        <v>227.17019083423182</v>
      </c>
      <c r="E282" s="2770" t="str">
        <f t="shared" si="2"/>
        <v>NA</v>
      </c>
      <c r="F282" s="2768" t="str">
        <f t="shared" si="2"/>
        <v>NA</v>
      </c>
      <c r="G282" s="3653">
        <f t="shared" si="2"/>
        <v>82.506371812341811</v>
      </c>
      <c r="H282" s="2860" t="str">
        <f t="shared" ref="H282" si="5">H307</f>
        <v>NA</v>
      </c>
      <c r="I282" s="2861" t="str">
        <f t="shared" ref="I282:J282" si="6">I307</f>
        <v>NA</v>
      </c>
      <c r="J282" s="3662">
        <f t="shared" si="6"/>
        <v>18.742988229649775</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72.997392646573871</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667.7902396824619</v>
      </c>
      <c r="E302" s="2770" t="s">
        <v>205</v>
      </c>
      <c r="F302" s="2768" t="s">
        <v>205</v>
      </c>
      <c r="G302" s="3653">
        <f>IF(SUM(D302)=0,"NA",J302*1000/D302)</f>
        <v>109.31185918692755</v>
      </c>
      <c r="H302" s="2793" t="s">
        <v>221</v>
      </c>
      <c r="I302" s="2792" t="s">
        <v>221</v>
      </c>
      <c r="J302" s="3652">
        <f t="shared" ref="J302" si="7">IF(SUM(J306:J307)=0,"NO",SUM(J306:J307))</f>
        <v>72.997392646573871</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440.62004884823011</v>
      </c>
      <c r="E306" s="2770" t="s">
        <v>205</v>
      </c>
      <c r="F306" s="2768" t="s">
        <v>205</v>
      </c>
      <c r="G306" s="3653">
        <f>IF(SUM(D306)=0,"NA",J306*1000/D306)</f>
        <v>123.13194680710457</v>
      </c>
      <c r="H306" s="2795" t="s">
        <v>205</v>
      </c>
      <c r="I306" s="2773" t="s">
        <v>205</v>
      </c>
      <c r="J306" s="3662">
        <v>54.254404416924089</v>
      </c>
    </row>
    <row r="307" spans="2:10" ht="18" customHeight="1" outlineLevel="2" x14ac:dyDescent="0.2">
      <c r="B307" s="2862" t="s">
        <v>1554</v>
      </c>
      <c r="C307" s="2850" t="s">
        <v>1554</v>
      </c>
      <c r="D307" s="3650">
        <v>227.17019083423182</v>
      </c>
      <c r="E307" s="2770" t="s">
        <v>205</v>
      </c>
      <c r="F307" s="2768" t="s">
        <v>205</v>
      </c>
      <c r="G307" s="3653">
        <f>IF(SUM(D307)=0,"NA",J307*1000/D307)</f>
        <v>82.506371812341811</v>
      </c>
      <c r="H307" s="2795" t="s">
        <v>205</v>
      </c>
      <c r="I307" s="2773" t="s">
        <v>205</v>
      </c>
      <c r="J307" s="3662">
        <v>18.742988229649775</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1.0764167229166668</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4.7817100694444443</v>
      </c>
      <c r="E327" s="2791" t="str">
        <f t="shared" ref="E327:J327" si="8">E331</f>
        <v>NA</v>
      </c>
      <c r="F327" s="2792" t="str">
        <f t="shared" si="8"/>
        <v>NA</v>
      </c>
      <c r="G327" s="3655">
        <f t="shared" si="8"/>
        <v>225.1112483366706</v>
      </c>
      <c r="H327" s="2793" t="str">
        <f t="shared" si="8"/>
        <v>IE</v>
      </c>
      <c r="I327" s="2792" t="str">
        <f t="shared" si="8"/>
        <v>NA</v>
      </c>
      <c r="J327" s="3652">
        <f t="shared" si="8"/>
        <v>1.0764167229166668</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4.7817100694444443</v>
      </c>
      <c r="E331" s="2770" t="str">
        <f t="shared" si="9"/>
        <v>NA</v>
      </c>
      <c r="F331" s="2768" t="str">
        <f t="shared" si="9"/>
        <v>NA</v>
      </c>
      <c r="G331" s="3653">
        <f t="shared" si="9"/>
        <v>225.1112483366706</v>
      </c>
      <c r="H331" s="2780" t="str">
        <f t="shared" si="9"/>
        <v>IE</v>
      </c>
      <c r="I331" s="2773" t="str">
        <f t="shared" si="9"/>
        <v>NA</v>
      </c>
      <c r="J331" s="3662">
        <f t="shared" si="9"/>
        <v>1.0764167229166668</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1.0764167229166668</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4.7817100694444443</v>
      </c>
      <c r="E411" s="2791" t="str">
        <f t="shared" ref="E411:J411" si="10">E415</f>
        <v>NA</v>
      </c>
      <c r="F411" s="2792" t="str">
        <f t="shared" si="10"/>
        <v>NA</v>
      </c>
      <c r="G411" s="3655">
        <f t="shared" si="10"/>
        <v>225.1112483366706</v>
      </c>
      <c r="H411" s="2793" t="str">
        <f t="shared" si="10"/>
        <v>IE</v>
      </c>
      <c r="I411" s="2792" t="str">
        <f t="shared" si="10"/>
        <v>NA</v>
      </c>
      <c r="J411" s="3652">
        <f t="shared" si="10"/>
        <v>1.0764167229166668</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4.7817100694444443</v>
      </c>
      <c r="E415" s="2770" t="str">
        <f>E427</f>
        <v>NA</v>
      </c>
      <c r="F415" s="2768" t="str">
        <f>F427</f>
        <v>NA</v>
      </c>
      <c r="G415" s="3653">
        <f t="shared" ref="G415:J415" si="11">G427</f>
        <v>225.1112483366706</v>
      </c>
      <c r="H415" s="2795" t="str">
        <f t="shared" si="11"/>
        <v>IE</v>
      </c>
      <c r="I415" s="2773" t="str">
        <f t="shared" si="11"/>
        <v>NA</v>
      </c>
      <c r="J415" s="3662">
        <f t="shared" si="11"/>
        <v>1.0764167229166668</v>
      </c>
    </row>
    <row r="416" spans="2:10" ht="18" customHeight="1" outlineLevel="2" x14ac:dyDescent="0.2">
      <c r="B416" s="2857" t="s">
        <v>1564</v>
      </c>
      <c r="C416" s="2843"/>
      <c r="D416" s="3649"/>
      <c r="E416" s="2824"/>
      <c r="F416" s="2825"/>
      <c r="G416" s="3656"/>
      <c r="H416" s="2834" t="s">
        <v>221</v>
      </c>
      <c r="I416" s="2830" t="s">
        <v>221</v>
      </c>
      <c r="J416" s="3659">
        <f>J423</f>
        <v>1.0764167229166668</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4.7817100694444443</v>
      </c>
      <c r="E423" s="2791" t="str">
        <f t="shared" ref="E423:J423" si="12">E427</f>
        <v>NA</v>
      </c>
      <c r="F423" s="2792" t="str">
        <f t="shared" si="12"/>
        <v>NA</v>
      </c>
      <c r="G423" s="3655">
        <f t="shared" si="12"/>
        <v>225.1112483366706</v>
      </c>
      <c r="H423" s="2793" t="str">
        <f t="shared" si="12"/>
        <v>IE</v>
      </c>
      <c r="I423" s="2792" t="str">
        <f t="shared" si="12"/>
        <v>NA</v>
      </c>
      <c r="J423" s="3652">
        <f t="shared" si="12"/>
        <v>1.0764167229166668</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4.7817100694444443</v>
      </c>
      <c r="E427" s="2770" t="s">
        <v>205</v>
      </c>
      <c r="F427" s="2768" t="s">
        <v>205</v>
      </c>
      <c r="G427" s="3653">
        <f>IF(SUM(D427)=0,"NA",J427*1000/D427)</f>
        <v>225.1112483366706</v>
      </c>
      <c r="H427" s="4306" t="s">
        <v>274</v>
      </c>
      <c r="I427" s="2773" t="s">
        <v>205</v>
      </c>
      <c r="J427" s="3662">
        <v>1.0764167229166668</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657110.297928088</v>
      </c>
      <c r="D10" s="3577">
        <f>IF(SUM(D11,D20,D28,D37,D46,D55)=0,"NO",SUM(D11,D20,D28,D37,D46,D55))</f>
        <v>77308.802863320845</v>
      </c>
      <c r="E10" s="3592">
        <f t="shared" ref="E10:E12" si="0">IF(SUM(C10)=0,"NA",G10/C10*1000/(44/28))</f>
        <v>2.1178675077190077E-3</v>
      </c>
      <c r="F10" s="3593">
        <f t="shared" ref="F10:F11" si="1">IF(SUM(D10)=0,"NA",H10/D10*1000/(44/28))</f>
        <v>7.4999999999999997E-3</v>
      </c>
      <c r="G10" s="4464">
        <f>IF(SUM(G11,G20,G28,G37,G46,G55)=0,"NO",SUM(G11,G20,G28,G37,G46,G55))</f>
        <v>2.1869140055234282</v>
      </c>
      <c r="H10" s="4465">
        <f>IF(SUM(H11,H20,H28,H37,H46,H55)=0,"NO",SUM(H11,H20,H28,H37,H46,H55))</f>
        <v>0.91113946231770993</v>
      </c>
      <c r="I10" s="4466">
        <f t="shared" ref="I10:I11" si="2">IF(SUM(G10:H10)=0,"NO",SUM(G10:H10))</f>
        <v>3.098053467841138</v>
      </c>
    </row>
    <row r="11" spans="2:10" ht="18" customHeight="1" x14ac:dyDescent="0.2">
      <c r="B11" s="2863" t="s">
        <v>1605</v>
      </c>
      <c r="C11" s="3578">
        <f>IF(SUM(C12:C13)=0,"NO",SUM(C12:C13))</f>
        <v>135616.73490102234</v>
      </c>
      <c r="D11" s="3579">
        <f>IF(SUM(D12:D13)=0,"NO",SUM(D12:D13))</f>
        <v>56599.443715078582</v>
      </c>
      <c r="E11" s="3594">
        <f t="shared" si="0"/>
        <v>6.7083794339740993E-3</v>
      </c>
      <c r="F11" s="3595">
        <f t="shared" si="1"/>
        <v>7.4999999999999997E-3</v>
      </c>
      <c r="G11" s="4467">
        <f>IF(SUM(G12:G13)=0,"NO",SUM(G12:G13))</f>
        <v>1.4296362383485846</v>
      </c>
      <c r="H11" s="4468">
        <f>IF(SUM(H12:H13)=0,"NO",SUM(H12:H13))</f>
        <v>0.66706487235628331</v>
      </c>
      <c r="I11" s="4469">
        <f t="shared" si="2"/>
        <v>2.0967011107048679</v>
      </c>
    </row>
    <row r="12" spans="2:10" ht="18" customHeight="1" x14ac:dyDescent="0.2">
      <c r="B12" s="917" t="s">
        <v>1606</v>
      </c>
      <c r="C12" s="3580">
        <f>Table4.A!E11</f>
        <v>124343.75280513099</v>
      </c>
      <c r="D12" s="3581">
        <f>H12/F12*1000/(44/28)</f>
        <v>39196.911938666672</v>
      </c>
      <c r="E12" s="3596">
        <f t="shared" si="0"/>
        <v>4.8240881637198266E-3</v>
      </c>
      <c r="F12" s="3597">
        <v>7.4999999999999997E-3</v>
      </c>
      <c r="G12" s="4470">
        <v>0.9426139267910143</v>
      </c>
      <c r="H12" s="4471">
        <v>0.46196360499142863</v>
      </c>
      <c r="I12" s="4472">
        <f>IF(SUM(G12:H12)=0,"NO",SUM(G12:H12))</f>
        <v>1.4045775317824429</v>
      </c>
    </row>
    <row r="13" spans="2:10" ht="18" customHeight="1" x14ac:dyDescent="0.2">
      <c r="B13" s="917" t="s">
        <v>1607</v>
      </c>
      <c r="C13" s="3582">
        <f>IF(SUM(C15:C19)=0,"NO",SUM(C15:C19))</f>
        <v>11272.982095891359</v>
      </c>
      <c r="D13" s="3583">
        <f>IF(SUM(D15:D19)=0,"NO",SUM(D15:D19))</f>
        <v>17402.531776411914</v>
      </c>
      <c r="E13" s="3599">
        <f>IF(SUM(C13)=0,"NA",G13/C13*1000/(44/28))</f>
        <v>2.7492573529940795E-2</v>
      </c>
      <c r="F13" s="3598">
        <f>IF(SUM(D13)=0,"NA",H13/D13*1000/(44/28))</f>
        <v>7.4999999999999997E-3</v>
      </c>
      <c r="G13" s="4473">
        <f>IF(SUM(G15:G19)=0,"NO",SUM(G15:G19))</f>
        <v>0.48702231155757031</v>
      </c>
      <c r="H13" s="4474">
        <f>IF(SUM(H15:H19)=0,"NO",SUM(H15:H19))</f>
        <v>0.20510126736485471</v>
      </c>
      <c r="I13" s="4472">
        <f>IF(SUM(G13:H13)=0,"NO",SUM(G13:H13))</f>
        <v>0.69212357892242504</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71.972850039892251</v>
      </c>
      <c r="D15" s="3581">
        <f>H15/F15*1000/(44/28)</f>
        <v>166.36975654454085</v>
      </c>
      <c r="E15" s="3599">
        <f>IF(SUM(C15)=0,"NA",G15/C15*1000/(44/28))</f>
        <v>4.9299037209041385E-2</v>
      </c>
      <c r="F15" s="3597">
        <v>7.4999999999999997E-3</v>
      </c>
      <c r="G15" s="4477">
        <v>5.5757306191044917E-3</v>
      </c>
      <c r="H15" s="4478">
        <v>1.9607864164178025E-3</v>
      </c>
      <c r="I15" s="4472">
        <f>IF(SUM(G15:H15)=0,"NO",SUM(G15:H15))</f>
        <v>7.5365170355222947E-3</v>
      </c>
    </row>
    <row r="16" spans="2:10" ht="18" customHeight="1" x14ac:dyDescent="0.2">
      <c r="B16" s="518" t="s">
        <v>1609</v>
      </c>
      <c r="C16" s="3584">
        <f>Table4.A!E19</f>
        <v>11143.537922328764</v>
      </c>
      <c r="D16" s="3581">
        <f>H16/F16*1000/(44/28)</f>
        <v>16951.066617170232</v>
      </c>
      <c r="E16" s="3599">
        <f t="shared" ref="E16:E21" si="3">IF(SUM(C16)=0,"NA",G16/C16*1000/(44/28))</f>
        <v>2.6864275045649335E-2</v>
      </c>
      <c r="F16" s="3597">
        <v>7.4999999999999997E-3</v>
      </c>
      <c r="G16" s="4477">
        <v>0.47042767785681427</v>
      </c>
      <c r="H16" s="4478">
        <v>0.19978042798807774</v>
      </c>
      <c r="I16" s="4472">
        <f t="shared" ref="I16:I21" si="4">IF(SUM(G16:H16)=0,"NO",SUM(G16:H16))</f>
        <v>0.67020810584489199</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57.47132352270301</v>
      </c>
      <c r="D18" s="3581">
        <f>H18/F18*1000/(44/28)</f>
        <v>285.09540269714159</v>
      </c>
      <c r="E18" s="3599">
        <f t="shared" si="3"/>
        <v>0.12200918308429538</v>
      </c>
      <c r="F18" s="3597">
        <v>7.4999999999999997E-3</v>
      </c>
      <c r="G18" s="4477">
        <v>1.1018903081651526E-2</v>
      </c>
      <c r="H18" s="4478">
        <v>3.3600529603591686E-3</v>
      </c>
      <c r="I18" s="4472">
        <f t="shared" si="4"/>
        <v>1.4378956042010695E-2</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2272.8263163300176</v>
      </c>
      <c r="D20" s="3589">
        <f>D21</f>
        <v>1454.6130515188172</v>
      </c>
      <c r="E20" s="3602">
        <f t="shared" si="3"/>
        <v>1.3921644070988467E-2</v>
      </c>
      <c r="F20" s="3603">
        <f t="shared" si="5"/>
        <v>7.4999999999999997E-3</v>
      </c>
      <c r="G20" s="4482">
        <f>G21</f>
        <v>4.9722324160335118E-2</v>
      </c>
      <c r="H20" s="4483">
        <f>H21</f>
        <v>1.7143653821471774E-2</v>
      </c>
      <c r="I20" s="4484">
        <f t="shared" si="4"/>
        <v>6.6865977981806893E-2</v>
      </c>
    </row>
    <row r="21" spans="2:9" ht="18" customHeight="1" x14ac:dyDescent="0.2">
      <c r="B21" s="917" t="s">
        <v>1614</v>
      </c>
      <c r="C21" s="3582">
        <f>IF(SUM(C23:C27)=0,"NO",SUM(C23:C27))</f>
        <v>2272.8263163300176</v>
      </c>
      <c r="D21" s="3583">
        <f>IF(SUM(D23:D27)=0,"NO",SUM(D23:D27))</f>
        <v>1454.6130515188172</v>
      </c>
      <c r="E21" s="3599">
        <f t="shared" si="3"/>
        <v>1.3921644070988467E-2</v>
      </c>
      <c r="F21" s="3598">
        <f t="shared" si="5"/>
        <v>7.4999999999999997E-3</v>
      </c>
      <c r="G21" s="4473">
        <f>IF(SUM(G23:G27)=0,"NO",SUM(G23:G27))</f>
        <v>4.9722324160335118E-2</v>
      </c>
      <c r="H21" s="4474">
        <f>IF(SUM(H23:H27)=0,"NO",SUM(H23:H27))</f>
        <v>1.7143653821471774E-2</v>
      </c>
      <c r="I21" s="4472">
        <f t="shared" si="4"/>
        <v>6.6865977981806893E-2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2272.8263163300176</v>
      </c>
      <c r="D23" s="3581">
        <f>H23/F23*1000/(44/28)</f>
        <v>1454.6130515188172</v>
      </c>
      <c r="E23" s="3599">
        <f>IF(SUM(C23)=0,"NA",G23/C23*1000/(44/28))</f>
        <v>1.3921644070988467E-2</v>
      </c>
      <c r="F23" s="3597">
        <v>7.4999999999999997E-3</v>
      </c>
      <c r="G23" s="4477">
        <v>4.9722324160335118E-2</v>
      </c>
      <c r="H23" s="4478">
        <v>1.7143653821471774E-2</v>
      </c>
      <c r="I23" s="4472">
        <f>IF(SUM(G23:H23)=0,"NO",SUM(G23:H23))</f>
        <v>6.6865977981806893E-2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517710.86937203049</v>
      </c>
      <c r="D28" s="3579">
        <f>IF(SUM(D29:D30)=0,"NO",SUM(D29:D30))</f>
        <v>18810.098962877215</v>
      </c>
      <c r="E28" s="3594">
        <f t="shared" si="6"/>
        <v>8.4461758423001851E-4</v>
      </c>
      <c r="F28" s="3595">
        <f t="shared" si="7"/>
        <v>7.4999999999999997E-3</v>
      </c>
      <c r="G28" s="4467">
        <f>IF(SUM(G29:G30)=0,"NO",SUM(G29:G30))</f>
        <v>0.68713496314355682</v>
      </c>
      <c r="H28" s="4468">
        <f>IF(SUM(H29:H30)=0,"NO",SUM(H29:H30))</f>
        <v>0.22169045206248145</v>
      </c>
      <c r="I28" s="4484">
        <f t="shared" si="8"/>
        <v>0.90882541520603821</v>
      </c>
    </row>
    <row r="29" spans="2:9" ht="18" customHeight="1" x14ac:dyDescent="0.2">
      <c r="B29" s="917" t="s">
        <v>1621</v>
      </c>
      <c r="C29" s="3580">
        <f>Table4.C!E11</f>
        <v>504343.35694641899</v>
      </c>
      <c r="D29" s="3581">
        <f>H29/F29*1000/(44/28)</f>
        <v>14728.150186973868</v>
      </c>
      <c r="E29" s="3596">
        <f t="shared" si="6"/>
        <v>6.2413562292383301E-4</v>
      </c>
      <c r="F29" s="3597">
        <v>7.4999999999999997E-3</v>
      </c>
      <c r="G29" s="4470">
        <v>0.49465217254396465</v>
      </c>
      <c r="H29" s="4471">
        <v>0.17358177006076342</v>
      </c>
      <c r="I29" s="4472">
        <f t="shared" si="8"/>
        <v>0.66823394260472813</v>
      </c>
    </row>
    <row r="30" spans="2:9" ht="18" customHeight="1" x14ac:dyDescent="0.2">
      <c r="B30" s="917" t="s">
        <v>1622</v>
      </c>
      <c r="C30" s="3582">
        <f>IF(SUM(C32:C36)=0,"NO",SUM(C32:C36))</f>
        <v>13367.512425611478</v>
      </c>
      <c r="D30" s="3583">
        <f>IF(SUM(D32:D36)=0,"NO",SUM(D32:D36))</f>
        <v>4081.9487759033473</v>
      </c>
      <c r="E30" s="3599">
        <f>IF(SUM(C30)=0,"NA",G30/C30*1000/(44/28))</f>
        <v>9.1631894299715778E-3</v>
      </c>
      <c r="F30" s="3598">
        <f>IF(SUM(D30)=0,"NA",H30/D30*1000/(44/28))</f>
        <v>7.4999999999999997E-3</v>
      </c>
      <c r="G30" s="4473">
        <f>IF(SUM(G32:G36)=0,"NO",SUM(G32:G36))</f>
        <v>0.19248279059959217</v>
      </c>
      <c r="H30" s="4474">
        <f>IF(SUM(H32:H36)=0,"NO",SUM(H32:H36))</f>
        <v>4.8108682001718014E-2</v>
      </c>
      <c r="I30" s="4472">
        <f t="shared" si="8"/>
        <v>0.2405914726013102</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13367.512425611478</v>
      </c>
      <c r="D32" s="3581">
        <f>H32/F32*1000/(44/28)</f>
        <v>4081.9487759033473</v>
      </c>
      <c r="E32" s="3599">
        <f>IF(SUM(C32)=0,"NA",G32/C32*1000/(44/28))</f>
        <v>9.1631894299715778E-3</v>
      </c>
      <c r="F32" s="3597">
        <v>7.4999999999999997E-3</v>
      </c>
      <c r="G32" s="4477">
        <v>0.19248279059959217</v>
      </c>
      <c r="H32" s="4478">
        <v>4.8108682001718014E-2</v>
      </c>
      <c r="I32" s="4472">
        <f t="shared" si="8"/>
        <v>0.2405914726013102</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1509.8673387050726</v>
      </c>
      <c r="D46" s="3579">
        <f>IF(SUM(D47:D48)=0,"NO",SUM(D47:D48))</f>
        <v>444.64713384623576</v>
      </c>
      <c r="E46" s="3594">
        <f t="shared" si="11"/>
        <v>8.6066176106003953E-3</v>
      </c>
      <c r="F46" s="3595">
        <f t="shared" si="12"/>
        <v>7.4999999999999997E-3</v>
      </c>
      <c r="G46" s="4467">
        <f>IF(SUM(G47:G48)=0,"NO",SUM(G47:G48))</f>
        <v>2.0420479870951958E-2</v>
      </c>
      <c r="H46" s="4468">
        <f>IF(SUM(H47:H48)=0,"NO",SUM(H47:H48))</f>
        <v>5.240484077473493E-3</v>
      </c>
      <c r="I46" s="4469">
        <f t="shared" si="8"/>
        <v>2.5660963948425451E-2</v>
      </c>
    </row>
    <row r="47" spans="2:9" ht="18" customHeight="1" x14ac:dyDescent="0.2">
      <c r="B47" s="917" t="s">
        <v>1637</v>
      </c>
      <c r="C47" s="3580">
        <f>Table4.E!E11</f>
        <v>1092.7090150609999</v>
      </c>
      <c r="D47" s="3581">
        <f>H47/F47*1000/(44/28)</f>
        <v>3.0231569966956631</v>
      </c>
      <c r="E47" s="3596">
        <f t="shared" si="11"/>
        <v>4.0942345503061242E-5</v>
      </c>
      <c r="F47" s="3597">
        <v>7.4999999999999997E-3</v>
      </c>
      <c r="G47" s="4470">
        <v>7.0302681474044179E-5</v>
      </c>
      <c r="H47" s="4471">
        <v>3.5630064603913171E-5</v>
      </c>
      <c r="I47" s="4472">
        <f t="shared" si="8"/>
        <v>1.0593274607795735E-4</v>
      </c>
    </row>
    <row r="48" spans="2:9" ht="18" customHeight="1" x14ac:dyDescent="0.2">
      <c r="B48" s="917" t="s">
        <v>1638</v>
      </c>
      <c r="C48" s="3582">
        <f>IF(SUM(C50:C54)=0,"NO",SUM(C50:C54))</f>
        <v>417.15832364407277</v>
      </c>
      <c r="D48" s="3583">
        <f>IF(SUM(D50:D54)=0,"NO",SUM(D50:D54))</f>
        <v>441.6239768495401</v>
      </c>
      <c r="E48" s="3599">
        <f>IF(SUM(C48)=0,"NA",G48/C48*1000/(44/28))</f>
        <v>3.1043639843537599E-2</v>
      </c>
      <c r="F48" s="3598">
        <f>IF(SUM(D48)=0,"NA",H48/D48*1000/(44/28))</f>
        <v>7.4999999999999997E-3</v>
      </c>
      <c r="G48" s="4473">
        <f>IF(SUM(G50:G54)=0,"NO",SUM(G50:G54))</f>
        <v>2.0350177189477913E-2</v>
      </c>
      <c r="H48" s="4474">
        <f>IF(SUM(H50:H54)=0,"NO",SUM(H50:H54))</f>
        <v>5.2048540128695796E-3</v>
      </c>
      <c r="I48" s="4472">
        <f t="shared" si="8"/>
        <v>2.5555031202347492E-2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417.15832364407277</v>
      </c>
      <c r="D50" s="3581">
        <f>H50/F50*1000/(44/28)</f>
        <v>441.6239768495401</v>
      </c>
      <c r="E50" s="3599">
        <f>IF(SUM(C50)=0,"NA",G50/C50*1000/(44/28))</f>
        <v>3.1043639843537599E-2</v>
      </c>
      <c r="F50" s="3597">
        <v>7.4999999999999997E-3</v>
      </c>
      <c r="G50" s="4477">
        <v>2.0350177189477913E-2</v>
      </c>
      <c r="H50" s="4478">
        <v>5.2048540128695796E-3</v>
      </c>
      <c r="I50" s="4472">
        <f t="shared" si="8"/>
        <v>2.5555031202347492E-2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5346719.7887486471</v>
      </c>
      <c r="D10" s="3055" t="s">
        <v>97</v>
      </c>
      <c r="E10" s="615"/>
      <c r="F10" s="615"/>
      <c r="G10" s="615"/>
      <c r="H10" s="1938">
        <f>IF(SUM(H11:H15)=0,"NO",SUM(H11:H15))</f>
        <v>374373.1199646648</v>
      </c>
      <c r="I10" s="1938">
        <f t="shared" ref="I10:K10" si="0">IF(SUM(I11:I16)=0,"NO",SUM(I11:I16))</f>
        <v>79.577858577653984</v>
      </c>
      <c r="J10" s="1938">
        <f t="shared" si="0"/>
        <v>12.185263684579958</v>
      </c>
      <c r="K10" s="3064" t="str">
        <f t="shared" si="0"/>
        <v>NO</v>
      </c>
    </row>
    <row r="11" spans="2:11" ht="18" customHeight="1" x14ac:dyDescent="0.2">
      <c r="B11" s="282" t="s">
        <v>243</v>
      </c>
      <c r="C11" s="3065">
        <f>IF(SUM(C18,'Table1.A(a)s2'!C11,'Table1.A(a)s3'!C11,'Table1.A(a)s4'!C11,'Table1.A(a)s4'!C94)=0,"NO",SUM(C18,'Table1.A(a)s2'!C11,'Table1.A(a)s3'!C11,'Table1.A(a)s4'!C11,'Table1.A(a)s4'!C94))</f>
        <v>1907301.3980105901</v>
      </c>
      <c r="D11" s="3056" t="s">
        <v>244</v>
      </c>
      <c r="E11" s="1938">
        <f>IFERROR(H11*1000/$C11,"NA")</f>
        <v>68.273594029211964</v>
      </c>
      <c r="F11" s="1938">
        <f t="shared" ref="F11:G16" si="1">IFERROR(I11*1000000/$C11,"NA")</f>
        <v>9.612150780505111</v>
      </c>
      <c r="G11" s="1938">
        <f t="shared" si="1"/>
        <v>3.7868933481802514</v>
      </c>
      <c r="H11" s="1938">
        <f>IF(SUM(H18,'Table1.A(a)s2'!H11,'Table1.A(a)s3'!H11,'Table1.A(a)s4'!H11,'Table1.A(a)s4'!H94)=0,"NO",SUM(H18,'Table1.A(a)s2'!H11,'Table1.A(a)s3'!H11,'Table1.A(a)s4'!H11,'Table1.A(a)s4'!H94))</f>
        <v>130218.32133912346</v>
      </c>
      <c r="I11" s="1938">
        <f>IF(SUM(I18,'Table1.A(a)s2'!I11,'Table1.A(a)s3'!I11,'Table1.A(a)s4'!I11,'Table1.A(a)s4'!I94)=0,"NO",SUM(I18,'Table1.A(a)s2'!I11,'Table1.A(a)s3'!I11,'Table1.A(a)s4'!I11,'Table1.A(a)s4'!I94))</f>
        <v>18.333268621545983</v>
      </c>
      <c r="J11" s="1938">
        <f>IF(SUM(J18,'Table1.A(a)s2'!J11,'Table1.A(a)s3'!J11,'Table1.A(a)s4'!J11,'Table1.A(a)s4'!J94)=0,"NO",SUM(J18,'Table1.A(a)s2'!J11,'Table1.A(a)s3'!J11,'Table1.A(a)s4'!J11,'Table1.A(a)s4'!J94))</f>
        <v>7.2227469771011972</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1990960.0409535065</v>
      </c>
      <c r="D12" s="3056" t="s">
        <v>97</v>
      </c>
      <c r="E12" s="1938">
        <f t="shared" ref="E12:E16" si="2">IFERROR(H12*1000/$C12,"NA")</f>
        <v>90.320417411525483</v>
      </c>
      <c r="F12" s="1938">
        <f t="shared" si="1"/>
        <v>0.67814831260898467</v>
      </c>
      <c r="G12" s="1938">
        <f t="shared" si="1"/>
        <v>1.4299492760050903</v>
      </c>
      <c r="H12" s="1938">
        <f>IF(SUM(H19,'Table1.A(a)s2'!H12,'Table1.A(a)s3'!H12,'Table1.A(a)s4'!H12,'Table1.A(a)s4'!H95)=0,"NO",SUM(H19,'Table1.A(a)s2'!H12,'Table1.A(a)s3'!H12,'Table1.A(a)s4'!H12,'Table1.A(a)s4'!H95))</f>
        <v>179824.34194858858</v>
      </c>
      <c r="I12" s="1938">
        <f>IF(SUM(I19,'Table1.A(a)s2'!I12,'Table1.A(a)s3'!I12,'Table1.A(a)s4'!I12,'Table1.A(a)s4'!I95)=0,"NO",SUM(I19,'Table1.A(a)s2'!I12,'Table1.A(a)s3'!I12,'Table1.A(a)s4'!I12,'Table1.A(a)s4'!I95))</f>
        <v>1.3501661922445356</v>
      </c>
      <c r="J12" s="1938">
        <f>IF(SUM(J19,'Table1.A(a)s2'!J12,'Table1.A(a)s3'!J12,'Table1.A(a)s4'!J12,'Table1.A(a)s4'!J95)=0,"NO",SUM(J19,'Table1.A(a)s2'!J12,'Table1.A(a)s3'!J12,'Table1.A(a)s4'!J12,'Table1.A(a)s4'!J95))</f>
        <v>2.8469718691165311</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1251315.8428052652</v>
      </c>
      <c r="D13" s="3056" t="s">
        <v>244</v>
      </c>
      <c r="E13" s="1938">
        <f t="shared" si="2"/>
        <v>51.226984119218365</v>
      </c>
      <c r="F13" s="1938">
        <f t="shared" si="1"/>
        <v>14.132760926635411</v>
      </c>
      <c r="G13" s="1938">
        <f t="shared" si="1"/>
        <v>1.0026464480642272</v>
      </c>
      <c r="H13" s="1938">
        <f>IF(SUM(H20,'Table1.A(a)s2'!H13,'Table1.A(a)s3'!H13,'Table1.A(a)s4'!H13,'Table1.A(a)s4'!H96)=0,"NO",SUM(H20,'Table1.A(a)s2'!H13,'Table1.A(a)s3'!H13,'Table1.A(a)s4'!H13,'Table1.A(a)s4'!H96))</f>
        <v>64101.136807511662</v>
      </c>
      <c r="I13" s="1938">
        <f>IF(SUM(I20,'Table1.A(a)s2'!I13,'Table1.A(a)s3'!I13,'Table1.A(a)s4'!I13,'Table1.A(a)s4'!I96)=0,"NO",SUM(I20,'Table1.A(a)s2'!I13,'Table1.A(a)s3'!I13,'Table1.A(a)s4'!I13,'Table1.A(a)s4'!I96))</f>
        <v>17.684547650078109</v>
      </c>
      <c r="J13" s="1938">
        <f>IF(SUM(J20,'Table1.A(a)s2'!J13,'Table1.A(a)s3'!J13,'Table1.A(a)s4'!J13,'Table1.A(a)s4'!J96)=0,"NO",SUM(J20,'Table1.A(a)s2'!J13,'Table1.A(a)s3'!J13,'Table1.A(a)s4'!J13,'Table1.A(a)s4'!J96))</f>
        <v>1.2546273851951941</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3086.2589024745289</v>
      </c>
      <c r="D14" s="3056" t="s">
        <v>244</v>
      </c>
      <c r="E14" s="1938">
        <f t="shared" si="2"/>
        <v>74.303510070790495</v>
      </c>
      <c r="F14" s="1938">
        <f t="shared" si="1"/>
        <v>26.312361369817872</v>
      </c>
      <c r="G14" s="1938">
        <f t="shared" si="1"/>
        <v>0.89236524432129505</v>
      </c>
      <c r="H14" s="1938">
        <f>IF(SUM(H21,'Table1.A(a)s2'!H14,'Table1.A(a)s3'!H14,'Table1.A(a)s4'!H14,'Table1.A(a)s4'!H97)=0,"NO",SUM(H21,'Table1.A(a)s2'!H14,'Table1.A(a)s3'!H14,'Table1.A(a)s4'!H14,'Table1.A(a)s4'!H97))</f>
        <v>229.319869441083</v>
      </c>
      <c r="I14" s="1938">
        <f>IF(SUM(I21,'Table1.A(a)s2'!I14,'Table1.A(a)s3'!I14,'Table1.A(a)s4'!I14,'Table1.A(a)s4'!I97)=0,"NO",SUM(I21,'Table1.A(a)s2'!I14,'Table1.A(a)s3'!I14,'Table1.A(a)s4'!I14,'Table1.A(a)s4'!I97))</f>
        <v>8.1206759522727295E-2</v>
      </c>
      <c r="J14" s="1938">
        <f>IF(SUM(J21,'Table1.A(a)s2'!J14,'Table1.A(a)s3'!J14,'Table1.A(a)s4'!J14,'Table1.A(a)s4'!J97)=0,"NO",SUM(J21,'Table1.A(a)s2'!J14,'Table1.A(a)s3'!J14,'Table1.A(a)s4'!J14,'Table1.A(a)s4'!J97))</f>
        <v>2.7540701795454548E-3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194056.24807681073</v>
      </c>
      <c r="D16" s="3058" t="s">
        <v>244</v>
      </c>
      <c r="E16" s="2891">
        <f t="shared" si="2"/>
        <v>85.176660063133724</v>
      </c>
      <c r="F16" s="1938">
        <f t="shared" si="1"/>
        <v>217.0951452054633</v>
      </c>
      <c r="G16" s="1938">
        <f t="shared" si="1"/>
        <v>4.4222404147884671</v>
      </c>
      <c r="H16" s="2891">
        <f>IF(SUM(H23,'Table1.A(a)s2'!H16,'Table1.A(a)s3'!H15,'Table1.A(a)s4'!H16,'Table1.A(a)s4'!H99)=0,"NO",SUM(H23,'Table1.A(a)s2'!H16,'Table1.A(a)s3'!H15,'Table1.A(a)s4'!H16,'Table1.A(a)s4'!H99))</f>
        <v>16529.063075565657</v>
      </c>
      <c r="I16" s="2891">
        <f>IF(SUM(I23,'Table1.A(a)s2'!I16,'Table1.A(a)s3'!I15,'Table1.A(a)s4'!I16,'Table1.A(a)s4'!I99)=0,"NO",SUM(I23,'Table1.A(a)s2'!I16,'Table1.A(a)s3'!I15,'Table1.A(a)s4'!I16,'Table1.A(a)s4'!I99))</f>
        <v>42.128669354262634</v>
      </c>
      <c r="J16" s="2891">
        <f>IF(SUM(J23,'Table1.A(a)s2'!J16,'Table1.A(a)s3'!J15,'Table1.A(a)s4'!J16,'Table1.A(a)s4'!J99)=0,"NO",SUM(J23,'Table1.A(a)s2'!J16,'Table1.A(a)s3'!J15,'Table1.A(a)s4'!J16,'Table1.A(a)s4'!J99))</f>
        <v>0.85816338298748918</v>
      </c>
      <c r="K16" s="3045" t="str">
        <f>IF(SUM(K23,'Table1.A(a)s2'!K16,'Table1.A(a)s3'!K15,'Table1.A(a)s4'!K16,'Table1.A(a)s4'!K99)=0,"NO",SUM(K23,'Table1.A(a)s2'!K16,'Table1.A(a)s3'!K15,'Table1.A(a)s4'!K16,'Table1.A(a)s4'!K99))</f>
        <v>NO</v>
      </c>
    </row>
    <row r="17" spans="2:12" ht="18" customHeight="1" x14ac:dyDescent="0.2">
      <c r="B17" s="2209" t="s">
        <v>175</v>
      </c>
      <c r="C17" s="3046">
        <f>IF(SUM(C18:C23)=0,"NO",SUM(C18:C23))</f>
        <v>2816379.639956635</v>
      </c>
      <c r="D17" s="3059" t="s">
        <v>97</v>
      </c>
      <c r="E17" s="3060"/>
      <c r="F17" s="3060"/>
      <c r="G17" s="3060"/>
      <c r="H17" s="3046">
        <f>IF(SUM(H18:H22)=0,"NO",SUM(H18:H22))</f>
        <v>220698.04942543415</v>
      </c>
      <c r="I17" s="3046">
        <f t="shared" ref="I17" si="3">IF(SUM(I18:I23)=0,"NO",SUM(I18:I23))</f>
        <v>21.831268922385448</v>
      </c>
      <c r="J17" s="3046">
        <f t="shared" ref="J17" si="4">IF(SUM(J18:J23)=0,"NO",SUM(J18:J23))</f>
        <v>4.1187199369974756</v>
      </c>
      <c r="K17" s="3047" t="str">
        <f t="shared" ref="K17" si="5">IF(SUM(K18:K23)=0,"NO",SUM(K18:K23))</f>
        <v>NO</v>
      </c>
    </row>
    <row r="18" spans="2:12" ht="18" customHeight="1" x14ac:dyDescent="0.2">
      <c r="B18" s="282" t="s">
        <v>243</v>
      </c>
      <c r="C18" s="3065">
        <f>IF(SUM(C25,C54,C61)=0,"NO",SUM(C25,C54,C61))</f>
        <v>202194.29542225925</v>
      </c>
      <c r="D18" s="3056" t="s">
        <v>97</v>
      </c>
      <c r="E18" s="1938">
        <f>IFERROR(H18*1000/$C18,"NA")</f>
        <v>67.016124361555356</v>
      </c>
      <c r="F18" s="1938">
        <f t="shared" ref="F18:G23" si="6">IFERROR(I18*1000000/$C18,"NA")</f>
        <v>2.6348092721016139</v>
      </c>
      <c r="G18" s="1938">
        <f t="shared" si="6"/>
        <v>1.7730227293443139</v>
      </c>
      <c r="H18" s="3065">
        <f>IF(SUM(H25,H54,H61)=0,"NO",SUM(H25,H54,H61))</f>
        <v>13550.27804721519</v>
      </c>
      <c r="I18" s="3065">
        <f>IF(SUM(I25,I54,I61)=0,"NO",SUM(I25,I54,I61))</f>
        <v>0.53274340434462153</v>
      </c>
      <c r="J18" s="3065">
        <f>IF(SUM(J25,J54,J61)=0,"NO",SUM(J25,J54,J61))</f>
        <v>0.35849508152742465</v>
      </c>
      <c r="K18" s="3048" t="str">
        <f>IF(SUM(K25,K54,K61)=0,"NO",SUM(K25,K54,K61))</f>
        <v>NO</v>
      </c>
      <c r="L18" s="19"/>
    </row>
    <row r="19" spans="2:12" ht="18" customHeight="1" x14ac:dyDescent="0.2">
      <c r="B19" s="282" t="s">
        <v>245</v>
      </c>
      <c r="C19" s="3065">
        <f t="shared" ref="C19:C23" si="7">IF(SUM(C26,C55,C62)=0,"NO",SUM(C26,C55,C62))</f>
        <v>1880848.6819050815</v>
      </c>
      <c r="D19" s="3056" t="s">
        <v>97</v>
      </c>
      <c r="E19" s="1938">
        <f t="shared" ref="E19:E23" si="8">IFERROR(H19*1000/$C19,"NA")</f>
        <v>90.97667909834216</v>
      </c>
      <c r="F19" s="1938">
        <f t="shared" si="6"/>
        <v>0.66362476964345618</v>
      </c>
      <c r="G19" s="1938">
        <f t="shared" si="6"/>
        <v>1.4734371887365134</v>
      </c>
      <c r="H19" s="3065">
        <f t="shared" ref="H19:K23" si="9">IF(SUM(H26,H55,H62)=0,"NO",SUM(H26,H55,H62))</f>
        <v>171113.36696621845</v>
      </c>
      <c r="I19" s="3065">
        <f t="shared" si="9"/>
        <v>1.248177773263458</v>
      </c>
      <c r="J19" s="3065">
        <f t="shared" si="9"/>
        <v>2.7713123943050002</v>
      </c>
      <c r="K19" s="3048" t="str">
        <f t="shared" si="9"/>
        <v>NO</v>
      </c>
      <c r="L19" s="19"/>
    </row>
    <row r="20" spans="2:12" ht="18" customHeight="1" x14ac:dyDescent="0.2">
      <c r="B20" s="282" t="s">
        <v>246</v>
      </c>
      <c r="C20" s="3065">
        <f t="shared" si="7"/>
        <v>705399.06053279445</v>
      </c>
      <c r="D20" s="3056" t="s">
        <v>97</v>
      </c>
      <c r="E20" s="1938">
        <f t="shared" si="8"/>
        <v>51.081704730928841</v>
      </c>
      <c r="F20" s="1938">
        <f t="shared" si="6"/>
        <v>23.809673732521819</v>
      </c>
      <c r="G20" s="1938">
        <f t="shared" si="6"/>
        <v>1.2561936336788087</v>
      </c>
      <c r="H20" s="3065">
        <f t="shared" si="9"/>
        <v>36032.98652761081</v>
      </c>
      <c r="I20" s="3065">
        <f t="shared" si="9"/>
        <v>16.795321482513245</v>
      </c>
      <c r="J20" s="3065">
        <f t="shared" si="9"/>
        <v>0.88611780904430892</v>
      </c>
      <c r="K20" s="3048" t="str">
        <f t="shared" si="9"/>
        <v>NO</v>
      </c>
      <c r="L20" s="19"/>
    </row>
    <row r="21" spans="2:12" ht="18" customHeight="1" x14ac:dyDescent="0.2">
      <c r="B21" s="282" t="s">
        <v>247</v>
      </c>
      <c r="C21" s="3065">
        <f t="shared" si="7"/>
        <v>551.22500000000002</v>
      </c>
      <c r="D21" s="3056" t="s">
        <v>97</v>
      </c>
      <c r="E21" s="1938">
        <f t="shared" si="8"/>
        <v>2.572242531996916</v>
      </c>
      <c r="F21" s="1938">
        <f t="shared" si="6"/>
        <v>1.0281818181818179</v>
      </c>
      <c r="G21" s="1938">
        <f t="shared" si="6"/>
        <v>0.42463636363636359</v>
      </c>
      <c r="H21" s="3065">
        <f t="shared" si="9"/>
        <v>1.4178843897000002</v>
      </c>
      <c r="I21" s="3065">
        <f t="shared" si="9"/>
        <v>5.6675952272727261E-4</v>
      </c>
      <c r="J21" s="3065">
        <f t="shared" si="9"/>
        <v>2.3407017954545453E-4</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27386.377096500008</v>
      </c>
      <c r="D23" s="3056" t="s">
        <v>97</v>
      </c>
      <c r="E23" s="1938">
        <f t="shared" si="8"/>
        <v>71.69531119452013</v>
      </c>
      <c r="F23" s="1938">
        <f t="shared" si="6"/>
        <v>118.83497737849088</v>
      </c>
      <c r="G23" s="1938">
        <f t="shared" si="6"/>
        <v>3.7449488692793547</v>
      </c>
      <c r="H23" s="3065">
        <f t="shared" si="9"/>
        <v>1963.4748284240468</v>
      </c>
      <c r="I23" s="3065">
        <f t="shared" si="9"/>
        <v>3.2544595027413994</v>
      </c>
      <c r="J23" s="3065">
        <f t="shared" si="9"/>
        <v>0.10256058194119572</v>
      </c>
      <c r="K23" s="3048" t="str">
        <f t="shared" si="9"/>
        <v>NO</v>
      </c>
      <c r="L23" s="19"/>
    </row>
    <row r="24" spans="2:12" ht="18" customHeight="1" x14ac:dyDescent="0.2">
      <c r="B24" s="1236" t="s">
        <v>250</v>
      </c>
      <c r="C24" s="3065">
        <f>IF(SUM(C25:C30)=0,"NO",SUM(C25:C30))</f>
        <v>2433855.8216687003</v>
      </c>
      <c r="D24" s="3056" t="s">
        <v>97</v>
      </c>
      <c r="E24" s="615"/>
      <c r="F24" s="615"/>
      <c r="G24" s="615"/>
      <c r="H24" s="3065">
        <f>IF(SUM(H25:H29)=0,"NO",SUM(H25:H29))</f>
        <v>197716.6769849378</v>
      </c>
      <c r="I24" s="3065">
        <f t="shared" ref="I24" si="10">IF(SUM(I25:I30)=0,"NO",SUM(I25:I30))</f>
        <v>13.227608096213451</v>
      </c>
      <c r="J24" s="3065">
        <f t="shared" ref="J24" si="11">IF(SUM(J25:J30)=0,"NO",SUM(J25:J30))</f>
        <v>3.5887610110556838</v>
      </c>
      <c r="K24" s="3048" t="str">
        <f t="shared" ref="K24" si="12">IF(SUM(K25:K30)=0,"NO",SUM(K25:K30))</f>
        <v>NO</v>
      </c>
      <c r="L24" s="19"/>
    </row>
    <row r="25" spans="2:12" ht="18" customHeight="1" x14ac:dyDescent="0.2">
      <c r="B25" s="160" t="s">
        <v>243</v>
      </c>
      <c r="C25" s="3053">
        <f>IF(SUM(C33,C40,C47)=0,"NO",SUM(C33,C40,C47))</f>
        <v>37222.733698100696</v>
      </c>
      <c r="D25" s="3061" t="s">
        <v>97</v>
      </c>
      <c r="E25" s="3065">
        <f>IFERROR(H25*1000/$C25,"NA")</f>
        <v>69.310714790643459</v>
      </c>
      <c r="F25" s="1938">
        <f t="shared" ref="F25:G30" si="13">IFERROR(I25*1000000/$C25,"NA")</f>
        <v>3.3976601962919086</v>
      </c>
      <c r="G25" s="1938">
        <f t="shared" si="13"/>
        <v>0.39287528711413439</v>
      </c>
      <c r="H25" s="3065">
        <f>IF(SUM(H33,H40,H47)=0,"NO",SUM(H33,H40,H47))</f>
        <v>2579.9342790771302</v>
      </c>
      <c r="I25" s="3065">
        <f>IF(SUM(I33,I40,I47)=0,"NO",SUM(I33,I40,I47))</f>
        <v>0.12647020068321024</v>
      </c>
      <c r="J25" s="3065">
        <f>IF(SUM(J33,J40,J47)=0,"NO",SUM(J33,J40,J47))</f>
        <v>1.4623892188814276E-2</v>
      </c>
      <c r="K25" s="3048" t="str">
        <f>IF(SUM(K33,K40,K47)=0,"NO",SUM(K33,K40,K47))</f>
        <v>NO</v>
      </c>
      <c r="L25" s="19"/>
    </row>
    <row r="26" spans="2:12" ht="18" customHeight="1" x14ac:dyDescent="0.2">
      <c r="B26" s="160" t="s">
        <v>245</v>
      </c>
      <c r="C26" s="3065">
        <f t="shared" ref="C26:C30" si="14">IF(SUM(C34,C41,C48)=0,"NO",SUM(C34,C41,C48))</f>
        <v>1855913.7258073997</v>
      </c>
      <c r="D26" s="3061" t="s">
        <v>97</v>
      </c>
      <c r="E26" s="3065">
        <f t="shared" ref="E26:E30" si="15">IFERROR(H26*1000/$C26,"NA")</f>
        <v>91.013941974384124</v>
      </c>
      <c r="F26" s="1938">
        <f t="shared" si="13"/>
        <v>0.65962662372163927</v>
      </c>
      <c r="G26" s="1938">
        <f t="shared" si="13"/>
        <v>1.4824053797042509</v>
      </c>
      <c r="H26" s="3065">
        <f t="shared" ref="H26:K30" si="16">IF(SUM(H34,H41,H48)=0,"NO",SUM(H34,H41,H48))</f>
        <v>168914.02415009771</v>
      </c>
      <c r="I26" s="3065">
        <f t="shared" si="16"/>
        <v>1.2242101048729832</v>
      </c>
      <c r="J26" s="3065">
        <f t="shared" si="16"/>
        <v>2.7512164914038495</v>
      </c>
      <c r="K26" s="3048" t="str">
        <f t="shared" si="16"/>
        <v>NO</v>
      </c>
      <c r="L26" s="19"/>
    </row>
    <row r="27" spans="2:12" ht="18" customHeight="1" x14ac:dyDescent="0.2">
      <c r="B27" s="160" t="s">
        <v>246</v>
      </c>
      <c r="C27" s="3065">
        <f t="shared" si="14"/>
        <v>514583.32300389989</v>
      </c>
      <c r="D27" s="3061" t="s">
        <v>97</v>
      </c>
      <c r="E27" s="3065">
        <f t="shared" si="15"/>
        <v>50.959130200113847</v>
      </c>
      <c r="F27" s="1938">
        <f t="shared" si="13"/>
        <v>16.764955439332592</v>
      </c>
      <c r="G27" s="1938">
        <f t="shared" si="13"/>
        <v>1.4086086211741005</v>
      </c>
      <c r="H27" s="3065">
        <f t="shared" si="16"/>
        <v>26222.718555762971</v>
      </c>
      <c r="I27" s="3065">
        <f t="shared" si="16"/>
        <v>8.6269664799840715</v>
      </c>
      <c r="J27" s="3065">
        <f t="shared" si="16"/>
        <v>0.72484650509571014</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26136.039159300006</v>
      </c>
      <c r="D30" s="3061" t="s">
        <v>97</v>
      </c>
      <c r="E30" s="3065">
        <f t="shared" si="15"/>
        <v>71.866846963613682</v>
      </c>
      <c r="F30" s="1938">
        <f t="shared" si="13"/>
        <v>124.34788955069152</v>
      </c>
      <c r="G30" s="1938">
        <f t="shared" si="13"/>
        <v>3.7524477894123538</v>
      </c>
      <c r="H30" s="3065">
        <f t="shared" si="16"/>
        <v>1878.3147264964277</v>
      </c>
      <c r="I30" s="3065">
        <f t="shared" si="16"/>
        <v>3.2499613106731857</v>
      </c>
      <c r="J30" s="3065">
        <f t="shared" si="16"/>
        <v>9.8074122367310015E-2</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2433855.8216687003</v>
      </c>
      <c r="D32" s="3056" t="s">
        <v>97</v>
      </c>
      <c r="E32" s="1939"/>
      <c r="F32" s="1939"/>
      <c r="G32" s="1939"/>
      <c r="H32" s="3065">
        <f>IF(SUM(H33:H37)=0,"NO",SUM(H33:H37))</f>
        <v>197716.6769849378</v>
      </c>
      <c r="I32" s="3065">
        <f t="shared" ref="I32" si="17">IF(SUM(I33:I38)=0,"NO",SUM(I33:I38))</f>
        <v>13.227608096213451</v>
      </c>
      <c r="J32" s="3065">
        <f t="shared" ref="J32" si="18">IF(SUM(J33:J38)=0,"NO",SUM(J33:J38))</f>
        <v>3.5887610110556838</v>
      </c>
      <c r="K32" s="3048" t="str">
        <f t="shared" ref="K32" si="19">IF(SUM(K33:K38)=0,"NO",SUM(K33:K38))</f>
        <v>NO</v>
      </c>
      <c r="L32" s="19"/>
    </row>
    <row r="33" spans="2:12" ht="18" customHeight="1" x14ac:dyDescent="0.2">
      <c r="B33" s="160" t="s">
        <v>243</v>
      </c>
      <c r="C33" s="3014">
        <v>37222.733698100696</v>
      </c>
      <c r="D33" s="3056" t="s">
        <v>97</v>
      </c>
      <c r="E33" s="1938">
        <f>IFERROR(H33*1000/$C33,"NA")</f>
        <v>69.310714790643459</v>
      </c>
      <c r="F33" s="1938">
        <f t="shared" ref="F33:G38" si="20">IFERROR(I33*1000000/$C33,"NA")</f>
        <v>3.3976601962919086</v>
      </c>
      <c r="G33" s="1938">
        <f t="shared" si="20"/>
        <v>0.39287528711413439</v>
      </c>
      <c r="H33" s="3014">
        <v>2579.9342790771302</v>
      </c>
      <c r="I33" s="3014">
        <v>0.12647020068321024</v>
      </c>
      <c r="J33" s="3014">
        <v>1.4623892188814276E-2</v>
      </c>
      <c r="K33" s="3051" t="s">
        <v>199</v>
      </c>
      <c r="L33" s="19"/>
    </row>
    <row r="34" spans="2:12" ht="18" customHeight="1" x14ac:dyDescent="0.2">
      <c r="B34" s="160" t="s">
        <v>245</v>
      </c>
      <c r="C34" s="3014">
        <v>1855913.7258073997</v>
      </c>
      <c r="D34" s="3056" t="s">
        <v>97</v>
      </c>
      <c r="E34" s="1938">
        <f t="shared" ref="E34:E38" si="21">IFERROR(H34*1000/$C34,"NA")</f>
        <v>91.013941974384124</v>
      </c>
      <c r="F34" s="1938">
        <f t="shared" si="20"/>
        <v>0.65962662372163927</v>
      </c>
      <c r="G34" s="1938">
        <f t="shared" si="20"/>
        <v>1.4824053797042509</v>
      </c>
      <c r="H34" s="3014">
        <v>168914.02415009771</v>
      </c>
      <c r="I34" s="3014">
        <v>1.2242101048729832</v>
      </c>
      <c r="J34" s="3014">
        <v>2.7512164914038495</v>
      </c>
      <c r="K34" s="3051" t="s">
        <v>199</v>
      </c>
      <c r="L34" s="19"/>
    </row>
    <row r="35" spans="2:12" ht="18" customHeight="1" x14ac:dyDescent="0.2">
      <c r="B35" s="160" t="s">
        <v>246</v>
      </c>
      <c r="C35" s="3014">
        <v>514583.32300389989</v>
      </c>
      <c r="D35" s="3056" t="s">
        <v>97</v>
      </c>
      <c r="E35" s="1938">
        <f t="shared" si="21"/>
        <v>50.959130200113847</v>
      </c>
      <c r="F35" s="1938">
        <f t="shared" si="20"/>
        <v>16.764955439332592</v>
      </c>
      <c r="G35" s="1938">
        <f t="shared" si="20"/>
        <v>1.4086086211741005</v>
      </c>
      <c r="H35" s="3014">
        <v>26222.718555762971</v>
      </c>
      <c r="I35" s="3014">
        <v>8.6269664799840715</v>
      </c>
      <c r="J35" s="3014">
        <v>0.72484650509571014</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26136.039159300006</v>
      </c>
      <c r="D38" s="3056" t="s">
        <v>97</v>
      </c>
      <c r="E38" s="1938">
        <f t="shared" si="21"/>
        <v>71.866846963613682</v>
      </c>
      <c r="F38" s="1938">
        <f t="shared" si="20"/>
        <v>124.34788955069152</v>
      </c>
      <c r="G38" s="1938">
        <f t="shared" si="20"/>
        <v>3.7524477894123538</v>
      </c>
      <c r="H38" s="3014">
        <v>1878.3147264964277</v>
      </c>
      <c r="I38" s="3014">
        <v>3.2499613106731857</v>
      </c>
      <c r="J38" s="3014">
        <v>9.8074122367310015E-2</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86308.312099253089</v>
      </c>
      <c r="D53" s="3056" t="s">
        <v>97</v>
      </c>
      <c r="E53" s="615"/>
      <c r="F53" s="615"/>
      <c r="G53" s="615"/>
      <c r="H53" s="3065">
        <f>IF(SUM(H54:H58)=0,"NO",SUM(H54:H58))</f>
        <v>5141.3832924566168</v>
      </c>
      <c r="I53" s="3065">
        <f t="shared" ref="I53:K53" si="28">IF(SUM(I54:I59)=0,"NO",SUM(I54:I59))</f>
        <v>8.3711125773320766E-2</v>
      </c>
      <c r="J53" s="3065">
        <f t="shared" si="28"/>
        <v>1.6755475215255809E-2</v>
      </c>
      <c r="K53" s="3048" t="str">
        <f t="shared" si="28"/>
        <v>NO</v>
      </c>
      <c r="L53" s="19"/>
    </row>
    <row r="54" spans="2:12" ht="18" customHeight="1" x14ac:dyDescent="0.2">
      <c r="B54" s="160" t="s">
        <v>243</v>
      </c>
      <c r="C54" s="3014">
        <v>68750.434825658551</v>
      </c>
      <c r="D54" s="3056" t="s">
        <v>97</v>
      </c>
      <c r="E54" s="1938">
        <f>IFERROR(H54*1000/$C54,"NA")</f>
        <v>62.045000893006922</v>
      </c>
      <c r="F54" s="1938">
        <f t="shared" ref="F54:G59" si="29">IFERROR(I54*1000000/$C54,"NA")</f>
        <v>0.95502575018243419</v>
      </c>
      <c r="G54" s="1938">
        <f t="shared" si="29"/>
        <v>0.13526841074105159</v>
      </c>
      <c r="H54" s="3014">
        <v>4265.6207901525995</v>
      </c>
      <c r="I54" s="3014">
        <v>6.5658435594743103E-2</v>
      </c>
      <c r="J54" s="3014">
        <v>9.2997620566230774E-3</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17006.652273594533</v>
      </c>
      <c r="D56" s="3056" t="s">
        <v>97</v>
      </c>
      <c r="E56" s="1938">
        <f t="shared" si="30"/>
        <v>51.411918339265007</v>
      </c>
      <c r="F56" s="1938">
        <f t="shared" si="29"/>
        <v>1.0281818181818183</v>
      </c>
      <c r="G56" s="1938">
        <f t="shared" si="29"/>
        <v>0.42463636363636365</v>
      </c>
      <c r="H56" s="3014">
        <v>874.34461791431761</v>
      </c>
      <c r="I56" s="3014">
        <v>1.7485930655850381E-2</v>
      </c>
      <c r="J56" s="3014">
        <v>7.2216429790872786E-3</v>
      </c>
      <c r="K56" s="3051" t="s">
        <v>199</v>
      </c>
    </row>
    <row r="57" spans="2:12" ht="18" customHeight="1" x14ac:dyDescent="0.2">
      <c r="B57" s="282" t="s">
        <v>247</v>
      </c>
      <c r="C57" s="3014">
        <v>551.22500000000002</v>
      </c>
      <c r="D57" s="3056" t="s">
        <v>97</v>
      </c>
      <c r="E57" s="1938">
        <f t="shared" si="30"/>
        <v>2.572242531996916</v>
      </c>
      <c r="F57" s="1938">
        <f t="shared" si="29"/>
        <v>1.0281818181818179</v>
      </c>
      <c r="G57" s="1938">
        <f t="shared" si="29"/>
        <v>0.42463636363636359</v>
      </c>
      <c r="H57" s="3014">
        <v>1.4178843897000002</v>
      </c>
      <c r="I57" s="3014">
        <v>5.6675952272727261E-4</v>
      </c>
      <c r="J57" s="3014">
        <v>2.3407017954545453E-4</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296215.50618868193</v>
      </c>
      <c r="D60" s="3056" t="s">
        <v>97</v>
      </c>
      <c r="E60" s="615"/>
      <c r="F60" s="615"/>
      <c r="G60" s="615"/>
      <c r="H60" s="3065">
        <f>IF(SUM(H61:H65)=0,"NO",SUM(H61:H65))</f>
        <v>17839.98914803972</v>
      </c>
      <c r="I60" s="3065">
        <f t="shared" ref="I60:K60" si="31">IF(SUM(I61:I66)=0,"NO",SUM(I61:I66))</f>
        <v>8.5199497003986817</v>
      </c>
      <c r="J60" s="3065">
        <f t="shared" si="31"/>
        <v>0.51320345072653506</v>
      </c>
      <c r="K60" s="3048" t="str">
        <f t="shared" si="31"/>
        <v>NO</v>
      </c>
      <c r="L60" s="19"/>
    </row>
    <row r="61" spans="2:12" ht="18" customHeight="1" x14ac:dyDescent="0.2">
      <c r="B61" s="160" t="s">
        <v>243</v>
      </c>
      <c r="C61" s="3053">
        <f>IF(SUM(C69,C76,C83)=0,"NO",SUM(C69,C76,C83))</f>
        <v>96221.126898500006</v>
      </c>
      <c r="D61" s="3056" t="s">
        <v>97</v>
      </c>
      <c r="E61" s="1938">
        <f>IFERROR(H61*1000/$C61,"NA")</f>
        <v>69.680362245788459</v>
      </c>
      <c r="F61" s="1938">
        <f t="shared" ref="F61:G66" si="32">IFERROR(I61*1000000/$C61,"NA")</f>
        <v>3.5399166383279801</v>
      </c>
      <c r="G61" s="1938">
        <f t="shared" si="32"/>
        <v>3.4771098413232462</v>
      </c>
      <c r="H61" s="3053">
        <f>IF(SUM(H69,H76,H83)=0,"NO",SUM(H69,H76,H83))</f>
        <v>6704.7229779854606</v>
      </c>
      <c r="I61" s="3053">
        <f>IF(SUM(I69,I76,I83)=0,"NO",SUM(I69,I76,I83))</f>
        <v>0.34061476806666813</v>
      </c>
      <c r="J61" s="3053">
        <f>IF(SUM(J69,J76,J83)=0,"NO",SUM(J69,J76,J83))</f>
        <v>0.3345714272819873</v>
      </c>
      <c r="K61" s="3067" t="str">
        <f>IF(SUM(K69,K76,K83)=0,"NO",SUM(K69,K76,K83))</f>
        <v>NO</v>
      </c>
    </row>
    <row r="62" spans="2:12" ht="18" customHeight="1" x14ac:dyDescent="0.2">
      <c r="B62" s="160" t="s">
        <v>245</v>
      </c>
      <c r="C62" s="3053">
        <f t="shared" ref="C62:C66" si="33">IF(SUM(C70,C77,C84)=0,"NO",SUM(C70,C77,C84))</f>
        <v>24934.956097681872</v>
      </c>
      <c r="D62" s="3056" t="s">
        <v>97</v>
      </c>
      <c r="E62" s="1938">
        <f t="shared" ref="E62:E66" si="34">IFERROR(H62*1000/$C62,"NA")</f>
        <v>88.2031958470223</v>
      </c>
      <c r="F62" s="1938">
        <f t="shared" si="32"/>
        <v>0.9612075632530559</v>
      </c>
      <c r="G62" s="1938">
        <f t="shared" si="32"/>
        <v>0.80593295702729351</v>
      </c>
      <c r="H62" s="3053">
        <f t="shared" ref="H62:K66" si="35">IF(SUM(H70,H77,H84)=0,"NO",SUM(H70,H77,H84))</f>
        <v>2199.3428161207371</v>
      </c>
      <c r="I62" s="3053">
        <f t="shared" si="35"/>
        <v>2.396766839047472E-2</v>
      </c>
      <c r="J62" s="3053">
        <f t="shared" si="35"/>
        <v>2.0095902901150493E-2</v>
      </c>
      <c r="K62" s="3067" t="str">
        <f t="shared" si="35"/>
        <v>NO</v>
      </c>
    </row>
    <row r="63" spans="2:12" ht="18" customHeight="1" x14ac:dyDescent="0.2">
      <c r="B63" s="160" t="s">
        <v>246</v>
      </c>
      <c r="C63" s="3053">
        <f t="shared" si="33"/>
        <v>173809.08525530004</v>
      </c>
      <c r="D63" s="3056" t="s">
        <v>97</v>
      </c>
      <c r="E63" s="1938">
        <f t="shared" si="34"/>
        <v>51.412291485269378</v>
      </c>
      <c r="F63" s="1938">
        <f t="shared" si="32"/>
        <v>46.895529424718475</v>
      </c>
      <c r="G63" s="1938">
        <f t="shared" si="32"/>
        <v>0.88631535424765151</v>
      </c>
      <c r="H63" s="3053">
        <f t="shared" si="35"/>
        <v>8935.9233539335219</v>
      </c>
      <c r="I63" s="3053">
        <f t="shared" si="35"/>
        <v>8.1508690718733252</v>
      </c>
      <c r="J63" s="3053">
        <f t="shared" si="35"/>
        <v>0.15404966096951153</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1250.3379372000002</v>
      </c>
      <c r="D66" s="3056" t="s">
        <v>97</v>
      </c>
      <c r="E66" s="1938">
        <f t="shared" si="34"/>
        <v>68.109668109668092</v>
      </c>
      <c r="F66" s="1938">
        <f t="shared" si="32"/>
        <v>3.5975810493976881</v>
      </c>
      <c r="G66" s="1938">
        <f t="shared" si="32"/>
        <v>3.5881975907510708</v>
      </c>
      <c r="H66" s="3053">
        <f t="shared" si="35"/>
        <v>85.160101927619039</v>
      </c>
      <c r="I66" s="3053">
        <f t="shared" si="35"/>
        <v>4.4981920682137166E-3</v>
      </c>
      <c r="J66" s="3053">
        <f t="shared" si="35"/>
        <v>4.4864595738857045E-3</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24939.223279681872</v>
      </c>
      <c r="D68" s="3056" t="s">
        <v>97</v>
      </c>
      <c r="E68" s="615"/>
      <c r="F68" s="615"/>
      <c r="G68" s="615"/>
      <c r="H68" s="3065">
        <f>IF(SUM(H69:H73)=0,"NO",SUM(H69:H73))</f>
        <v>2199.6431331208937</v>
      </c>
      <c r="I68" s="3065">
        <f t="shared" ref="I68:K68" si="36">IF(SUM(I69:I74)=0,"NO",SUM(I69:I74))</f>
        <v>2.3981640830075691E-2</v>
      </c>
      <c r="J68" s="3065">
        <f t="shared" si="36"/>
        <v>2.0109408417067626E-2</v>
      </c>
      <c r="K68" s="3048" t="str">
        <f t="shared" si="36"/>
        <v>NO</v>
      </c>
    </row>
    <row r="69" spans="2:11" ht="18" customHeight="1" x14ac:dyDescent="0.2">
      <c r="B69" s="282" t="s">
        <v>243</v>
      </c>
      <c r="C69" s="3014">
        <v>4.2621044000000001</v>
      </c>
      <c r="D69" s="3055" t="s">
        <v>97</v>
      </c>
      <c r="E69" s="1938">
        <f>IFERROR(H69*1000/$C69,"NA")</f>
        <v>70.400891869284109</v>
      </c>
      <c r="F69" s="1938">
        <f t="shared" ref="F69:G74" si="37">IFERROR(I69*1000000/$C69,"NA")</f>
        <v>3.2759425210160318</v>
      </c>
      <c r="G69" s="1938">
        <f t="shared" si="37"/>
        <v>3.167689455079965</v>
      </c>
      <c r="H69" s="3014">
        <v>0.30005595100000004</v>
      </c>
      <c r="I69" s="3014">
        <v>1.3962409032969521E-5</v>
      </c>
      <c r="J69" s="3014">
        <v>1.3501023164329922E-5</v>
      </c>
      <c r="K69" s="3051" t="s">
        <v>199</v>
      </c>
    </row>
    <row r="70" spans="2:11" ht="18" customHeight="1" x14ac:dyDescent="0.2">
      <c r="B70" s="282" t="s">
        <v>245</v>
      </c>
      <c r="C70" s="3014">
        <v>24934.956097681872</v>
      </c>
      <c r="D70" s="3055" t="s">
        <v>97</v>
      </c>
      <c r="E70" s="1938">
        <f t="shared" ref="E70:E74" si="38">IFERROR(H70*1000/$C70,"NA")</f>
        <v>88.2031958470223</v>
      </c>
      <c r="F70" s="1938">
        <f t="shared" si="37"/>
        <v>0.9612075632530559</v>
      </c>
      <c r="G70" s="1938">
        <f t="shared" si="37"/>
        <v>0.80593295702729351</v>
      </c>
      <c r="H70" s="3014">
        <v>2199.3428161207371</v>
      </c>
      <c r="I70" s="3014">
        <v>2.396766839047472E-2</v>
      </c>
      <c r="J70" s="3014">
        <v>2.0095902901150493E-2</v>
      </c>
      <c r="K70" s="3051" t="s">
        <v>199</v>
      </c>
    </row>
    <row r="71" spans="2:11" ht="18" customHeight="1" x14ac:dyDescent="0.2">
      <c r="B71" s="160" t="s">
        <v>246</v>
      </c>
      <c r="C71" s="3014">
        <v>5.0776000000000016E-3</v>
      </c>
      <c r="D71" s="3055" t="s">
        <v>97</v>
      </c>
      <c r="E71" s="1938">
        <f t="shared" si="38"/>
        <v>51.411918339264986</v>
      </c>
      <c r="F71" s="1938">
        <f t="shared" si="37"/>
        <v>1.9754545454545451</v>
      </c>
      <c r="G71" s="1938">
        <f t="shared" si="37"/>
        <v>0.88481818181818161</v>
      </c>
      <c r="H71" s="3014">
        <v>2.6104915655945199E-4</v>
      </c>
      <c r="I71" s="3014">
        <v>1.0030568000000002E-8</v>
      </c>
      <c r="J71" s="3014">
        <v>4.4927528000000007E-9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167871.23330350002</v>
      </c>
      <c r="D75" s="3056" t="s">
        <v>97</v>
      </c>
      <c r="E75" s="615"/>
      <c r="F75" s="615"/>
      <c r="G75" s="615"/>
      <c r="H75" s="3065">
        <f>IF(SUM(H76:H80)=0,"NO",SUM(H76:H80))</f>
        <v>8700.5167030068988</v>
      </c>
      <c r="I75" s="3065">
        <f t="shared" ref="I75:K75" si="39">IF(SUM(I76:I81)=0,"NO",SUM(I76:I81))</f>
        <v>8.1260978729483799</v>
      </c>
      <c r="J75" s="3065">
        <f t="shared" si="39"/>
        <v>0.15155229073793861</v>
      </c>
      <c r="K75" s="3048" t="str">
        <f t="shared" si="39"/>
        <v>NO</v>
      </c>
    </row>
    <row r="76" spans="2:11" ht="18" customHeight="1" x14ac:dyDescent="0.2">
      <c r="B76" s="282" t="s">
        <v>243</v>
      </c>
      <c r="C76" s="3014">
        <v>4791.9574703999997</v>
      </c>
      <c r="D76" s="3055" t="s">
        <v>97</v>
      </c>
      <c r="E76" s="1938">
        <f>IFERROR(H76*1000/$C76,"NA")</f>
        <v>66.006072258126352</v>
      </c>
      <c r="F76" s="1938">
        <f t="shared" ref="F76:G81" si="40">IFERROR(I76*1000000/$C76,"NA")</f>
        <v>2.4816977068380881</v>
      </c>
      <c r="G76" s="1938">
        <f t="shared" si="40"/>
        <v>1.514367030153041</v>
      </c>
      <c r="H76" s="3014">
        <v>316.29829104909072</v>
      </c>
      <c r="I76" s="3014">
        <v>1.1892189865557325E-2</v>
      </c>
      <c r="J76" s="3014">
        <v>7.256782403069326E-3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163079.27583310002</v>
      </c>
      <c r="D78" s="3055" t="s">
        <v>97</v>
      </c>
      <c r="E78" s="1938">
        <f t="shared" si="41"/>
        <v>51.411918339264986</v>
      </c>
      <c r="F78" s="1938">
        <f t="shared" si="40"/>
        <v>49.756203794939168</v>
      </c>
      <c r="G78" s="1938">
        <f t="shared" si="40"/>
        <v>0.88481818181818161</v>
      </c>
      <c r="H78" s="3014">
        <v>8384.2184119578087</v>
      </c>
      <c r="I78" s="3014">
        <v>8.1142056830828224</v>
      </c>
      <c r="J78" s="3014">
        <v>0.14429550833486929</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103405.04960550001</v>
      </c>
      <c r="D82" s="3056" t="s">
        <v>97</v>
      </c>
      <c r="E82" s="615"/>
      <c r="F82" s="615"/>
      <c r="G82" s="615"/>
      <c r="H82" s="3065">
        <f>IF(SUM(H83:H87)=0,"NO",SUM(H83:H87))</f>
        <v>6939.8293119119253</v>
      </c>
      <c r="I82" s="3065">
        <f t="shared" ref="I82:K82" si="42">IF(SUM(I83:I88)=0,"NO",SUM(I83:I88))</f>
        <v>0.36987018662022592</v>
      </c>
      <c r="J82" s="3065">
        <f t="shared" si="42"/>
        <v>0.34154175157152883</v>
      </c>
      <c r="K82" s="3048" t="str">
        <f t="shared" si="42"/>
        <v>NO</v>
      </c>
    </row>
    <row r="83" spans="2:11" ht="18" customHeight="1" x14ac:dyDescent="0.2">
      <c r="B83" s="282" t="s">
        <v>243</v>
      </c>
      <c r="C83" s="3014">
        <v>91424.907323700012</v>
      </c>
      <c r="D83" s="3055" t="s">
        <v>97</v>
      </c>
      <c r="E83" s="1938">
        <f>IFERROR(H83*1000/$C83,"NA")</f>
        <v>69.872913388552931</v>
      </c>
      <c r="F83" s="1938">
        <f t="shared" ref="F83:G88" si="43">IFERROR(I83*1000000/$C83,"NA")</f>
        <v>3.5953945747874654</v>
      </c>
      <c r="G83" s="1938">
        <f t="shared" si="43"/>
        <v>3.5799997335179974</v>
      </c>
      <c r="H83" s="3014">
        <v>6388.1246309853695</v>
      </c>
      <c r="I83" s="3014">
        <v>0.32870861579207783</v>
      </c>
      <c r="J83" s="3014">
        <v>0.32730114385575365</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10729.804344600001</v>
      </c>
      <c r="D85" s="3055" t="s">
        <v>97</v>
      </c>
      <c r="E85" s="1938">
        <f t="shared" si="44"/>
        <v>51.417962826527443</v>
      </c>
      <c r="F85" s="1938">
        <f t="shared" si="43"/>
        <v>3.4169661983059352</v>
      </c>
      <c r="G85" s="1938">
        <f t="shared" si="43"/>
        <v>0.90907045726312963</v>
      </c>
      <c r="H85" s="3014">
        <v>551.70468092655551</v>
      </c>
      <c r="I85" s="3014">
        <v>3.6663378759934369E-2</v>
      </c>
      <c r="J85" s="3014">
        <v>9.7541481418894384E-3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1250.3379372000002</v>
      </c>
      <c r="D88" s="3063" t="s">
        <v>97</v>
      </c>
      <c r="E88" s="2891">
        <f t="shared" si="44"/>
        <v>68.109668109668092</v>
      </c>
      <c r="F88" s="2891">
        <f t="shared" si="43"/>
        <v>3.5975810493976881</v>
      </c>
      <c r="G88" s="2891">
        <f t="shared" si="43"/>
        <v>3.5881975907510708</v>
      </c>
      <c r="H88" s="3021">
        <v>85.160101927619039</v>
      </c>
      <c r="I88" s="3021">
        <v>4.4981920682137166E-3</v>
      </c>
      <c r="J88" s="3021">
        <v>4.4864595738857045E-3</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68847431.471034095</v>
      </c>
      <c r="G10" s="4346" t="s">
        <v>205</v>
      </c>
      <c r="H10" s="4347">
        <f t="shared" ref="H10:H13" si="0">IF(SUM($F10)=0,"NA",K10*1000/$F10)</f>
        <v>9.1074473934399155E-3</v>
      </c>
      <c r="I10" s="4348">
        <f t="shared" ref="I10:I13" si="1">IF(SUM($F10)=0,"NA",L10*1000/$F10)</f>
        <v>2.0814534224410116E-4</v>
      </c>
      <c r="J10" s="4349" t="str">
        <f>IF(SUM(J11,J25,J36,J48,J59,J70,J76)=0,"IE",SUM(J11,J25,J36,J48,J59,J70,J76))</f>
        <v>IE</v>
      </c>
      <c r="K10" s="4350">
        <f>IF(SUM(K11,K25,K36,K48,K59,K70,K76)=0,"NO",SUM(K11,K25,K36,K48,K59,K70,K76))</f>
        <v>627.02436029590274</v>
      </c>
      <c r="L10" s="4351">
        <f>IF(SUM(L11,L25,L36,L48,L59,L70,L76)=0,"NO",SUM(L11,L25,L36,L48,L59,L70,L76))</f>
        <v>14.330272186165693</v>
      </c>
    </row>
    <row r="11" spans="2:13" ht="18" customHeight="1" x14ac:dyDescent="0.2">
      <c r="B11" s="934" t="s">
        <v>1662</v>
      </c>
      <c r="C11" s="4352"/>
      <c r="D11" s="4353"/>
      <c r="E11" s="2866" t="s">
        <v>1661</v>
      </c>
      <c r="F11" s="4354">
        <f>IF(SUM(F12,F19)=0,"NO",SUM(F12,F19))</f>
        <v>9699033.7817256954</v>
      </c>
      <c r="G11" s="4355" t="s">
        <v>205</v>
      </c>
      <c r="H11" s="4356">
        <f t="shared" si="0"/>
        <v>3.1771765220054073E-2</v>
      </c>
      <c r="I11" s="4357">
        <f t="shared" si="1"/>
        <v>5.2040363241941871E-4</v>
      </c>
      <c r="J11" s="4358" t="str">
        <f>IF(SUM(J12,J19)=0,"IE",SUM(J12,J19))</f>
        <v>IE</v>
      </c>
      <c r="K11" s="4359">
        <f>IF(SUM(K12,K19)=0,"NO",SUM(K12,K19))</f>
        <v>308.155424174362</v>
      </c>
      <c r="L11" s="4360">
        <f>IF(SUM(L12,L19)=0,"NO",SUM(L12,L19))</f>
        <v>5.047412410968704</v>
      </c>
      <c r="M11" s="472"/>
    </row>
    <row r="12" spans="2:13" ht="18" customHeight="1" x14ac:dyDescent="0.2">
      <c r="B12" s="906" t="s">
        <v>1663</v>
      </c>
      <c r="C12" s="4361"/>
      <c r="D12" s="4362"/>
      <c r="E12" s="4363" t="s">
        <v>1661</v>
      </c>
      <c r="F12" s="4364">
        <f>IF(SUM(F13,F17)=0,"NO",SUM(F13,F17))</f>
        <v>9690515.3365432322</v>
      </c>
      <c r="G12" s="4365" t="str">
        <f>IFERROR(IF(SUM($F12)=0,"NA",J12*1000/$F12),"NA")</f>
        <v>NA</v>
      </c>
      <c r="H12" s="4366">
        <f t="shared" si="0"/>
        <v>3.1277187099931873E-2</v>
      </c>
      <c r="I12" s="4367">
        <f t="shared" si="1"/>
        <v>5.1229488008732132E-4</v>
      </c>
      <c r="J12" s="4170" t="str">
        <f>IF(SUM(J13,J17)=0,"IE",SUM(J13,J17))</f>
        <v>IE</v>
      </c>
      <c r="K12" s="3057">
        <f>IF(SUM(K13,K17)=0,"NO",SUM(K13,K17))</f>
        <v>303.09206127582195</v>
      </c>
      <c r="L12" s="3106">
        <f>IF(SUM(L13,L17)=0,"NO",SUM(L13,L17))</f>
        <v>4.9644013923187629</v>
      </c>
    </row>
    <row r="13" spans="2:13" ht="18" customHeight="1" x14ac:dyDescent="0.2">
      <c r="B13" s="926" t="s">
        <v>1664</v>
      </c>
      <c r="C13" s="4361"/>
      <c r="D13" s="4362"/>
      <c r="E13" s="4363" t="s">
        <v>1661</v>
      </c>
      <c r="F13" s="4368">
        <f>IF(SUM(F14:F16)=0,"NO",SUM(F14:F16))</f>
        <v>9218791.451619396</v>
      </c>
      <c r="G13" s="4369" t="str">
        <f t="shared" ref="G13:G76" si="2">IFERROR(IF(SUM($F13)=0,"NA",J13*1000/$F13),"NA")</f>
        <v>NA</v>
      </c>
      <c r="H13" s="4370">
        <f t="shared" si="0"/>
        <v>2.2948572343218475E-2</v>
      </c>
      <c r="I13" s="4371">
        <f t="shared" si="1"/>
        <v>4.4601108052520668E-4</v>
      </c>
      <c r="J13" s="4170" t="str">
        <f>IF(SUM(J14:J16)=0,"IE",SUM(J14:J16))</f>
        <v>IE</v>
      </c>
      <c r="K13" s="4170">
        <f>IF(SUM(K14:K16)=0,"NO",SUM(K14:K16))</f>
        <v>211.55810254453178</v>
      </c>
      <c r="L13" s="4372">
        <f>IF(SUM(L14:L16)=0,"NO",SUM(L14:L16))</f>
        <v>4.1116831364733049</v>
      </c>
      <c r="M13" s="472"/>
    </row>
    <row r="14" spans="2:13" ht="18" customHeight="1" x14ac:dyDescent="0.2">
      <c r="B14" s="926"/>
      <c r="C14" s="2864" t="s">
        <v>1665</v>
      </c>
      <c r="D14" s="4373" t="s">
        <v>1219</v>
      </c>
      <c r="E14" s="4374" t="s">
        <v>1661</v>
      </c>
      <c r="F14" s="4375">
        <v>360541.63552235934</v>
      </c>
      <c r="G14" s="4369" t="str">
        <f t="shared" si="2"/>
        <v>NA</v>
      </c>
      <c r="H14" s="4370">
        <f>IF(SUM($F14)=0,"NA",K14*1000/$F14)</f>
        <v>0.10406726091046749</v>
      </c>
      <c r="I14" s="4371">
        <f>IF(SUM($F14)=0,"NA",L14*1000/$F14)</f>
        <v>1.0532399465456321E-3</v>
      </c>
      <c r="J14" s="4376" t="s">
        <v>274</v>
      </c>
      <c r="K14" s="4377">
        <v>37.520580452992043</v>
      </c>
      <c r="L14" s="4378">
        <v>0.3797368529250445</v>
      </c>
      <c r="M14" s="472"/>
    </row>
    <row r="15" spans="2:13" ht="18" customHeight="1" x14ac:dyDescent="0.2">
      <c r="B15" s="926"/>
      <c r="C15" s="2864" t="s">
        <v>1666</v>
      </c>
      <c r="D15" s="4373" t="s">
        <v>1219</v>
      </c>
      <c r="E15" s="4379" t="s">
        <v>1661</v>
      </c>
      <c r="F15" s="4380">
        <v>5294.9519940920909</v>
      </c>
      <c r="G15" s="4369" t="str">
        <f t="shared" si="2"/>
        <v>NA</v>
      </c>
      <c r="H15" s="4370">
        <f t="shared" ref="H15:H77" si="3">IF(SUM($F15)=0,"NA",K15*1000/$F15)</f>
        <v>1.3704906146931735</v>
      </c>
      <c r="I15" s="4371">
        <f t="shared" ref="I15:I77" si="4">IF(SUM($F15)=0,"NA",L15*1000/$F15)</f>
        <v>2.5335041779952976E-2</v>
      </c>
      <c r="J15" s="4376" t="s">
        <v>274</v>
      </c>
      <c r="K15" s="4377">
        <v>7.2566820131541148</v>
      </c>
      <c r="L15" s="4381">
        <v>0.13414782999316843</v>
      </c>
      <c r="M15" s="472"/>
    </row>
    <row r="16" spans="2:13" ht="18" customHeight="1" x14ac:dyDescent="0.2">
      <c r="B16" s="926"/>
      <c r="C16" s="2864" t="s">
        <v>1342</v>
      </c>
      <c r="D16" s="4373" t="s">
        <v>1219</v>
      </c>
      <c r="E16" s="4379" t="s">
        <v>1661</v>
      </c>
      <c r="F16" s="4380">
        <v>8852954.8641029447</v>
      </c>
      <c r="G16" s="4369" t="str">
        <f t="shared" si="2"/>
        <v>NA</v>
      </c>
      <c r="H16" s="4370">
        <f t="shared" si="3"/>
        <v>1.8839002642456738E-2</v>
      </c>
      <c r="I16" s="4371">
        <f t="shared" si="4"/>
        <v>4.0639521027532665E-4</v>
      </c>
      <c r="J16" s="4376" t="s">
        <v>274</v>
      </c>
      <c r="K16" s="4377">
        <v>166.78084007838561</v>
      </c>
      <c r="L16" s="4381">
        <v>3.5977984535550922</v>
      </c>
      <c r="M16" s="472"/>
    </row>
    <row r="17" spans="2:13" ht="18" customHeight="1" x14ac:dyDescent="0.2">
      <c r="B17" s="926" t="s">
        <v>1667</v>
      </c>
      <c r="C17" s="4361"/>
      <c r="D17" s="4362"/>
      <c r="E17" s="4382" t="s">
        <v>1661</v>
      </c>
      <c r="F17" s="4368">
        <f>F18</f>
        <v>471723.88492383558</v>
      </c>
      <c r="G17" s="4369" t="str">
        <f t="shared" si="2"/>
        <v>NA</v>
      </c>
      <c r="H17" s="4370">
        <f t="shared" si="3"/>
        <v>0.19404139085742753</v>
      </c>
      <c r="I17" s="4371">
        <f t="shared" si="4"/>
        <v>1.8076639387957589E-3</v>
      </c>
      <c r="J17" s="4170" t="str">
        <f>J18</f>
        <v>IE</v>
      </c>
      <c r="K17" s="4170">
        <f>K18</f>
        <v>91.533958731290141</v>
      </c>
      <c r="L17" s="4372">
        <f>L18</f>
        <v>0.85271825584545802</v>
      </c>
      <c r="M17" s="472"/>
    </row>
    <row r="18" spans="2:13" ht="18" customHeight="1" x14ac:dyDescent="0.2">
      <c r="B18" s="926"/>
      <c r="C18" s="2864" t="s">
        <v>1668</v>
      </c>
      <c r="D18" s="4373" t="s">
        <v>1219</v>
      </c>
      <c r="E18" s="4379" t="s">
        <v>1661</v>
      </c>
      <c r="F18" s="4375">
        <v>471723.88492383558</v>
      </c>
      <c r="G18" s="4369" t="str">
        <f t="shared" si="2"/>
        <v>NA</v>
      </c>
      <c r="H18" s="4370">
        <f t="shared" si="3"/>
        <v>0.19404139085742753</v>
      </c>
      <c r="I18" s="4371">
        <f t="shared" si="4"/>
        <v>1.8076639387957589E-3</v>
      </c>
      <c r="J18" s="4376" t="s">
        <v>274</v>
      </c>
      <c r="K18" s="4377">
        <v>91.533958731290141</v>
      </c>
      <c r="L18" s="4378">
        <v>0.85271825584545802</v>
      </c>
      <c r="M18" s="472"/>
    </row>
    <row r="19" spans="2:13" ht="18" customHeight="1" x14ac:dyDescent="0.2">
      <c r="B19" s="906" t="s">
        <v>1669</v>
      </c>
      <c r="C19" s="4361"/>
      <c r="D19" s="4362"/>
      <c r="E19" s="4382" t="s">
        <v>1661</v>
      </c>
      <c r="F19" s="4383">
        <f>IF(SUM(F20,F23)=0,"NO",SUM(F20,F23))</f>
        <v>8518.4451824633688</v>
      </c>
      <c r="G19" s="4365" t="s">
        <v>205</v>
      </c>
      <c r="H19" s="4366">
        <f t="shared" si="3"/>
        <v>0.59439989224369671</v>
      </c>
      <c r="I19" s="4367">
        <f t="shared" si="4"/>
        <v>9.7448556481683681E-3</v>
      </c>
      <c r="J19" s="4170" t="str">
        <f>IF(SUM(J20,J23)=0,"IE",SUM(J20,J23))</f>
        <v>IE</v>
      </c>
      <c r="K19" s="3057">
        <f>IF(SUM(K20,K23)=0,"NO",SUM(K20,K23))</f>
        <v>5.0633628985400634</v>
      </c>
      <c r="L19" s="3106">
        <f>IF(SUM(L20,L23)=0,"NO",SUM(L20,L23))</f>
        <v>8.3011018649940774E-2</v>
      </c>
    </row>
    <row r="20" spans="2:13" ht="18" customHeight="1" x14ac:dyDescent="0.2">
      <c r="B20" s="926" t="s">
        <v>1670</v>
      </c>
      <c r="C20" s="4361"/>
      <c r="D20" s="4362"/>
      <c r="E20" s="4382" t="s">
        <v>1661</v>
      </c>
      <c r="F20" s="4368">
        <f>IF(SUM(F21:F22)=0,"NO",SUM(F21:F22))</f>
        <v>3458.0306556934693</v>
      </c>
      <c r="G20" s="4369" t="str">
        <f t="shared" si="2"/>
        <v>NA</v>
      </c>
      <c r="H20" s="4370">
        <f t="shared" si="3"/>
        <v>1.1202304401104375</v>
      </c>
      <c r="I20" s="4371">
        <f t="shared" si="4"/>
        <v>2.0795195247310085E-2</v>
      </c>
      <c r="J20" s="4170" t="str">
        <f>IF(SUM(J21:J22)=0,"IE",SUM(J21:J22))</f>
        <v>IE</v>
      </c>
      <c r="K20" s="4170">
        <f>IF(SUM(K21:K22)=0,"NO",SUM(K21:K22))</f>
        <v>3.8737912033428801</v>
      </c>
      <c r="L20" s="4372">
        <f>IF(SUM(L21:L22)=0,"NO",SUM(L21:L22))</f>
        <v>7.1910422656329395E-2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3.7989300938826109</v>
      </c>
      <c r="L21" s="4378">
        <v>7.022744381885769E-2</v>
      </c>
      <c r="M21" s="472"/>
    </row>
    <row r="22" spans="2:13" ht="18" customHeight="1" x14ac:dyDescent="0.2">
      <c r="B22" s="926"/>
      <c r="C22" s="2864" t="s">
        <v>1342</v>
      </c>
      <c r="D22" s="4373" t="s">
        <v>1219</v>
      </c>
      <c r="E22" s="4379" t="s">
        <v>1661</v>
      </c>
      <c r="F22" s="4380">
        <v>3458.0306556934693</v>
      </c>
      <c r="G22" s="4369" t="str">
        <f t="shared" si="2"/>
        <v>NA</v>
      </c>
      <c r="H22" s="4370">
        <f t="shared" si="3"/>
        <v>2.1648480570007199E-2</v>
      </c>
      <c r="I22" s="4371">
        <f t="shared" si="4"/>
        <v>4.8668707858351911E-4</v>
      </c>
      <c r="J22" s="4376" t="s">
        <v>274</v>
      </c>
      <c r="K22" s="4377">
        <v>7.4861109460269318E-2</v>
      </c>
      <c r="L22" s="4381">
        <v>1.6829788374717056E-3</v>
      </c>
      <c r="M22" s="472"/>
    </row>
    <row r="23" spans="2:13" ht="18" customHeight="1" x14ac:dyDescent="0.2">
      <c r="B23" s="926" t="s">
        <v>1671</v>
      </c>
      <c r="C23" s="4361"/>
      <c r="D23" s="4362"/>
      <c r="E23" s="4382" t="s">
        <v>1661</v>
      </c>
      <c r="F23" s="4368">
        <f>F24</f>
        <v>5060.4145267699005</v>
      </c>
      <c r="G23" s="4369" t="str">
        <f t="shared" si="2"/>
        <v>NA</v>
      </c>
      <c r="H23" s="4370">
        <f t="shared" si="3"/>
        <v>0.23507396259817781</v>
      </c>
      <c r="I23" s="4371">
        <f t="shared" si="4"/>
        <v>2.1936139687546452E-3</v>
      </c>
      <c r="J23" s="4170" t="str">
        <f>J24</f>
        <v>IE</v>
      </c>
      <c r="K23" s="4170">
        <f>K24</f>
        <v>1.1895716951971833</v>
      </c>
      <c r="L23" s="4372">
        <f>L24</f>
        <v>1.1100595993611382E-2</v>
      </c>
      <c r="M23" s="472"/>
    </row>
    <row r="24" spans="2:13" ht="18" customHeight="1" thickBot="1" x14ac:dyDescent="0.25">
      <c r="B24" s="936"/>
      <c r="C24" s="2865" t="s">
        <v>1672</v>
      </c>
      <c r="D24" s="4384" t="s">
        <v>1219</v>
      </c>
      <c r="E24" s="4385" t="s">
        <v>1661</v>
      </c>
      <c r="F24" s="4386">
        <v>5060.4145267699005</v>
      </c>
      <c r="G24" s="4387" t="str">
        <f t="shared" si="2"/>
        <v>NA</v>
      </c>
      <c r="H24" s="4388">
        <f t="shared" si="3"/>
        <v>0.23507396259817781</v>
      </c>
      <c r="I24" s="4389">
        <f t="shared" si="4"/>
        <v>2.1936139687546452E-3</v>
      </c>
      <c r="J24" s="4390" t="s">
        <v>274</v>
      </c>
      <c r="K24" s="4391">
        <v>1.1895716951971833</v>
      </c>
      <c r="L24" s="4392">
        <v>1.1100595993611382E-2</v>
      </c>
      <c r="M24" s="472"/>
    </row>
    <row r="25" spans="2:13" ht="18" customHeight="1" x14ac:dyDescent="0.2">
      <c r="B25" s="934" t="s">
        <v>1673</v>
      </c>
      <c r="C25" s="4352"/>
      <c r="D25" s="4353"/>
      <c r="E25" s="4393" t="s">
        <v>1661</v>
      </c>
      <c r="F25" s="4394">
        <f>IF(SUM(F26,F31)=0,"IE",SUM(F26,F31))</f>
        <v>17145.319779312842</v>
      </c>
      <c r="G25" s="4355" t="str">
        <f t="shared" si="2"/>
        <v>NA</v>
      </c>
      <c r="H25" s="4356">
        <f t="shared" si="3"/>
        <v>7.6726646952493691E-2</v>
      </c>
      <c r="I25" s="4357">
        <f t="shared" si="4"/>
        <v>1.4183773207467932E-3</v>
      </c>
      <c r="J25" s="4358" t="str">
        <f>IF(SUM(J26,J31)=0,"IE",SUM(J26,J31))</f>
        <v>IE</v>
      </c>
      <c r="K25" s="4359">
        <f>IF(SUM(K26,K31)=0,"IE",SUM(K26,K31))</f>
        <v>1.3155028975949434</v>
      </c>
      <c r="L25" s="4360">
        <f>IF(SUM(L26,L31)=0,"IE",SUM(L26,L31))</f>
        <v>2.4318532731928747E-2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17145.319779312842</v>
      </c>
      <c r="G31" s="4365" t="str">
        <f t="shared" si="2"/>
        <v>NA</v>
      </c>
      <c r="H31" s="4366">
        <f t="shared" si="3"/>
        <v>7.6726646952493691E-2</v>
      </c>
      <c r="I31" s="4367">
        <f t="shared" si="4"/>
        <v>1.4183773207467932E-3</v>
      </c>
      <c r="J31" s="4170" t="str">
        <f>IF(SUM(J32,J34)=0,"IE",SUM(J32,J34))</f>
        <v>IE</v>
      </c>
      <c r="K31" s="4170">
        <f t="shared" ref="K31:L31" si="6">IF(SUM(K32,K34)=0,"IE",SUM(K32,K34))</f>
        <v>1.3155028975949434</v>
      </c>
      <c r="L31" s="4372">
        <f t="shared" si="6"/>
        <v>2.4318532731928747E-2</v>
      </c>
    </row>
    <row r="32" spans="2:13" ht="18" customHeight="1" x14ac:dyDescent="0.2">
      <c r="B32" s="926" t="s">
        <v>1678</v>
      </c>
      <c r="C32" s="4361"/>
      <c r="D32" s="4362"/>
      <c r="E32" s="4382" t="s">
        <v>1661</v>
      </c>
      <c r="F32" s="4368">
        <f>F33</f>
        <v>17145.319779312842</v>
      </c>
      <c r="G32" s="4365" t="str">
        <f t="shared" si="2"/>
        <v>NA</v>
      </c>
      <c r="H32" s="4366">
        <f t="shared" si="3"/>
        <v>7.6726646952493691E-2</v>
      </c>
      <c r="I32" s="4367">
        <f t="shared" si="4"/>
        <v>1.4183773207467932E-3</v>
      </c>
      <c r="J32" s="4170" t="str">
        <f>J33</f>
        <v>IE</v>
      </c>
      <c r="K32" s="4170">
        <f>K33</f>
        <v>1.3155028975949434</v>
      </c>
      <c r="L32" s="4372">
        <f>L33</f>
        <v>2.4318532731928747E-2</v>
      </c>
      <c r="M32" s="472"/>
    </row>
    <row r="33" spans="2:13" ht="18" customHeight="1" x14ac:dyDescent="0.2">
      <c r="B33" s="926"/>
      <c r="C33" s="2864" t="s">
        <v>1679</v>
      </c>
      <c r="D33" s="4373" t="s">
        <v>1219</v>
      </c>
      <c r="E33" s="4379" t="s">
        <v>1661</v>
      </c>
      <c r="F33" s="4375">
        <v>17145.319779312842</v>
      </c>
      <c r="G33" s="4369" t="str">
        <f t="shared" si="2"/>
        <v>NA</v>
      </c>
      <c r="H33" s="4370">
        <f t="shared" si="3"/>
        <v>7.6726646952493691E-2</v>
      </c>
      <c r="I33" s="4371">
        <f t="shared" si="4"/>
        <v>1.4183773207467932E-3</v>
      </c>
      <c r="J33" s="4376" t="s">
        <v>274</v>
      </c>
      <c r="K33" s="4377">
        <v>1.3155028975949434</v>
      </c>
      <c r="L33" s="4378">
        <v>2.4318532731928747E-2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58245268.72823672</v>
      </c>
      <c r="G36" s="4355" t="str">
        <f t="shared" si="2"/>
        <v>NA</v>
      </c>
      <c r="H36" s="4356">
        <f t="shared" ref="H36" si="7">IF(SUM($F36)=0,"NA",K36*1000/$F36)</f>
        <v>5.0670457506176124E-3</v>
      </c>
      <c r="I36" s="4357">
        <f t="shared" ref="I36" si="8">IF(SUM($F36)=0,"NA",L36*1000/$F36)</f>
        <v>1.5111314473963423E-4</v>
      </c>
      <c r="J36" s="4358" t="str">
        <f>IF(SUM(J37,J42)=0,"IE",SUM(J37,J42))</f>
        <v>IE</v>
      </c>
      <c r="K36" s="4359">
        <f>IF(SUM(K37,K42)=0,"NO",SUM(K37,K42))</f>
        <v>295.13144140299278</v>
      </c>
      <c r="L36" s="4360">
        <f>IF(SUM(L37,L42)=0,"NO",SUM(L37,L42))</f>
        <v>8.801625723728927</v>
      </c>
      <c r="M36" s="472"/>
    </row>
    <row r="37" spans="2:13" ht="18" customHeight="1" x14ac:dyDescent="0.2">
      <c r="B37" s="906" t="s">
        <v>1682</v>
      </c>
      <c r="C37" s="4361"/>
      <c r="D37" s="4362"/>
      <c r="E37" s="4382" t="s">
        <v>1661</v>
      </c>
      <c r="F37" s="4364">
        <f>IF(SUM(F38,F40)=0,"NO",SUM(F38,F40))</f>
        <v>57780449.678937495</v>
      </c>
      <c r="G37" s="4369" t="str">
        <f t="shared" si="2"/>
        <v>NA</v>
      </c>
      <c r="H37" s="4366">
        <f t="shared" si="3"/>
        <v>4.4245324790200234E-3</v>
      </c>
      <c r="I37" s="4367">
        <f t="shared" si="4"/>
        <v>1.39561941760818E-4</v>
      </c>
      <c r="J37" s="4170" t="str">
        <f>IF(SUM(J38,J40)=0,"IE",SUM(J38,J40))</f>
        <v>IE</v>
      </c>
      <c r="K37" s="3057">
        <f>IF(SUM(K38,K40)=0,"NO",SUM(K38,K40))</f>
        <v>255.65147625684102</v>
      </c>
      <c r="L37" s="3106">
        <f>IF(SUM(L38,L40)=0,"NO",SUM(L38,L40))</f>
        <v>8.0639517530057496</v>
      </c>
    </row>
    <row r="38" spans="2:13" ht="18" customHeight="1" x14ac:dyDescent="0.2">
      <c r="B38" s="926" t="s">
        <v>1683</v>
      </c>
      <c r="C38" s="4361"/>
      <c r="D38" s="4362"/>
      <c r="E38" s="4382" t="s">
        <v>1661</v>
      </c>
      <c r="F38" s="4368">
        <f>F39</f>
        <v>57780449.678937495</v>
      </c>
      <c r="G38" s="4369" t="str">
        <f t="shared" si="2"/>
        <v>NA</v>
      </c>
      <c r="H38" s="4370">
        <f t="shared" si="3"/>
        <v>4.4245324790200234E-3</v>
      </c>
      <c r="I38" s="4371">
        <f t="shared" si="4"/>
        <v>1.39561941760818E-4</v>
      </c>
      <c r="J38" s="4170" t="str">
        <f>J39</f>
        <v>IE</v>
      </c>
      <c r="K38" s="4170">
        <f>K39</f>
        <v>255.65147625684102</v>
      </c>
      <c r="L38" s="4372">
        <f>L39</f>
        <v>8.0639517530057496</v>
      </c>
      <c r="M38" s="472"/>
    </row>
    <row r="39" spans="2:13" ht="18" customHeight="1" x14ac:dyDescent="0.2">
      <c r="B39" s="926"/>
      <c r="C39" s="2864" t="s">
        <v>1342</v>
      </c>
      <c r="D39" s="4373" t="s">
        <v>1219</v>
      </c>
      <c r="E39" s="4379" t="s">
        <v>1661</v>
      </c>
      <c r="F39" s="4380">
        <v>57780449.678937495</v>
      </c>
      <c r="G39" s="4369" t="str">
        <f t="shared" si="2"/>
        <v>NA</v>
      </c>
      <c r="H39" s="4370">
        <f t="shared" ref="H39:H40" si="9">IF(SUM($F39)=0,"NA",K39*1000/$F39)</f>
        <v>4.4245324790200234E-3</v>
      </c>
      <c r="I39" s="4371">
        <f t="shared" ref="I39:I40" si="10">IF(SUM($F39)=0,"NA",L39*1000/$F39)</f>
        <v>1.39561941760818E-4</v>
      </c>
      <c r="J39" s="4376" t="s">
        <v>274</v>
      </c>
      <c r="K39" s="4377">
        <v>255.65147625684102</v>
      </c>
      <c r="L39" s="4381">
        <v>8.0639517530057496</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464819.04929922475</v>
      </c>
      <c r="G42" s="4365" t="str">
        <f t="shared" si="2"/>
        <v>NA</v>
      </c>
      <c r="H42" s="4366">
        <f t="shared" si="11"/>
        <v>8.4936203035725327E-2</v>
      </c>
      <c r="I42" s="4367">
        <f t="shared" si="12"/>
        <v>1.5870132083341179E-3</v>
      </c>
      <c r="J42" s="4170" t="str">
        <f>IF(SUM(J43,J46)=0,"IE",SUM(J43,J46))</f>
        <v>IE</v>
      </c>
      <c r="K42" s="3057">
        <f>IF(SUM(K43,K46)=0,"NO",SUM(K43,K46))</f>
        <v>39.47996514615177</v>
      </c>
      <c r="L42" s="3106">
        <f>IF(SUM(L43,L46)=0,"NO",SUM(L43,L46))</f>
        <v>0.7376739707231772</v>
      </c>
    </row>
    <row r="43" spans="2:13" ht="18" customHeight="1" x14ac:dyDescent="0.2">
      <c r="B43" s="926" t="s">
        <v>1686</v>
      </c>
      <c r="C43" s="4361"/>
      <c r="D43" s="4362"/>
      <c r="E43" s="4382" t="s">
        <v>1661</v>
      </c>
      <c r="F43" s="4368">
        <f>IF(SUM(F44:F45)=0,"NO",SUM(F44:F45))</f>
        <v>464819.04929922475</v>
      </c>
      <c r="G43" s="4369" t="str">
        <f t="shared" si="2"/>
        <v>NA</v>
      </c>
      <c r="H43" s="4370">
        <f t="shared" ref="H43" si="13">IF(SUM($F43)=0,"NA",K43*1000/$F43)</f>
        <v>8.4936203035725327E-2</v>
      </c>
      <c r="I43" s="4371">
        <f t="shared" ref="I43" si="14">IF(SUM($F43)=0,"NA",L43*1000/$F43)</f>
        <v>1.5870132083341179E-3</v>
      </c>
      <c r="J43" s="4170" t="str">
        <f>IF(SUM(J44:J45)=0,"IE",SUM(J44:J45))</f>
        <v>IE</v>
      </c>
      <c r="K43" s="4170">
        <f>IF(SUM(K44:K45)=0,"NO",SUM(K44:K45))</f>
        <v>39.47996514615177</v>
      </c>
      <c r="L43" s="4372">
        <f>IF(SUM(L44:L45)=0,"NO",SUM(L44:L45))</f>
        <v>0.7376739707231772</v>
      </c>
      <c r="M43" s="472"/>
    </row>
    <row r="44" spans="2:13" ht="18" customHeight="1" x14ac:dyDescent="0.2">
      <c r="B44" s="926"/>
      <c r="C44" s="2864" t="s">
        <v>1679</v>
      </c>
      <c r="D44" s="4373" t="s">
        <v>1219</v>
      </c>
      <c r="E44" s="4379" t="s">
        <v>1661</v>
      </c>
      <c r="F44" s="4380">
        <v>356910.18718808278</v>
      </c>
      <c r="G44" s="4369" t="str">
        <f t="shared" si="2"/>
        <v>NA</v>
      </c>
      <c r="H44" s="4370">
        <f t="shared" ref="H44:H46" si="15">IF(SUM($F44)=0,"NA",K44*1000/$F44)</f>
        <v>0.10698944966805686</v>
      </c>
      <c r="I44" s="4371">
        <f t="shared" ref="I44:I46" si="16">IF(SUM($F44)=0,"NA",L44*1000/$F44)</f>
        <v>1.9778188542803293E-3</v>
      </c>
      <c r="J44" s="4376" t="s">
        <v>274</v>
      </c>
      <c r="K44" s="4377">
        <v>38.18562450817614</v>
      </c>
      <c r="L44" s="4381">
        <v>0.70590369750531179</v>
      </c>
      <c r="M44" s="472"/>
    </row>
    <row r="45" spans="2:13" ht="18" customHeight="1" x14ac:dyDescent="0.2">
      <c r="B45" s="926"/>
      <c r="C45" s="2864" t="s">
        <v>1342</v>
      </c>
      <c r="D45" s="4373" t="s">
        <v>1219</v>
      </c>
      <c r="E45" s="4379" t="s">
        <v>1661</v>
      </c>
      <c r="F45" s="4380">
        <v>107908.86211114193</v>
      </c>
      <c r="G45" s="4369" t="str">
        <f t="shared" si="2"/>
        <v>NA</v>
      </c>
      <c r="H45" s="4370">
        <f t="shared" si="15"/>
        <v>1.1994757544959616E-2</v>
      </c>
      <c r="I45" s="4371">
        <f t="shared" si="16"/>
        <v>2.9441764648711828E-4</v>
      </c>
      <c r="J45" s="4376" t="s">
        <v>274</v>
      </c>
      <c r="K45" s="4377">
        <v>1.2943406379756266</v>
      </c>
      <c r="L45" s="4381">
        <v>3.177027321786538E-2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870578.15336137614</v>
      </c>
      <c r="G48" s="4355" t="str">
        <f t="shared" si="2"/>
        <v>NA</v>
      </c>
      <c r="H48" s="4356">
        <f t="shared" si="17"/>
        <v>2.3482557162144233E-2</v>
      </c>
      <c r="I48" s="4357">
        <f t="shared" si="18"/>
        <v>4.828275003030425E-4</v>
      </c>
      <c r="J48" s="4358" t="str">
        <f>IF(SUM(J49,J54)=0,"IE",SUM(J49,J54))</f>
        <v>IE</v>
      </c>
      <c r="K48" s="4359">
        <f>IF(SUM(K49,K54)=0,"NO",SUM(K49,K54))</f>
        <v>20.443401250422486</v>
      </c>
      <c r="L48" s="4360">
        <f>IF(SUM(L49,L54)=0,"NO",SUM(L49,L54))</f>
        <v>0.42033907360591199</v>
      </c>
      <c r="M48" s="472"/>
    </row>
    <row r="49" spans="2:13" ht="18" customHeight="1" x14ac:dyDescent="0.2">
      <c r="B49" s="906" t="s">
        <v>1689</v>
      </c>
      <c r="C49" s="4361"/>
      <c r="D49" s="4362"/>
      <c r="E49" s="4382" t="s">
        <v>1661</v>
      </c>
      <c r="F49" s="4364">
        <f>IF(SUM(F50,F52)=0,"NO",SUM(F50,F52))</f>
        <v>870578.15336137614</v>
      </c>
      <c r="G49" s="4365" t="str">
        <f t="shared" si="2"/>
        <v>NA</v>
      </c>
      <c r="H49" s="4366">
        <f t="shared" si="17"/>
        <v>2.3482557162144233E-2</v>
      </c>
      <c r="I49" s="4367">
        <f t="shared" si="18"/>
        <v>4.828275003030425E-4</v>
      </c>
      <c r="J49" s="4170" t="str">
        <f>IF(SUM(J50,J52)=0,"IE",SUM(J50,J52))</f>
        <v>IE</v>
      </c>
      <c r="K49" s="3057">
        <f>IF(SUM(K50,K52)=0,"NO",SUM(K50,K52))</f>
        <v>20.443401250422486</v>
      </c>
      <c r="L49" s="3106">
        <f>IF(SUM(L50,L52)=0,"NO",SUM(L50,L52))</f>
        <v>0.42033907360591199</v>
      </c>
    </row>
    <row r="50" spans="2:13" ht="18" customHeight="1" x14ac:dyDescent="0.2">
      <c r="B50" s="926" t="s">
        <v>1690</v>
      </c>
      <c r="C50" s="4361"/>
      <c r="D50" s="4362"/>
      <c r="E50" s="4382" t="s">
        <v>1661</v>
      </c>
      <c r="F50" s="4368">
        <f>F51</f>
        <v>870578.15336137614</v>
      </c>
      <c r="G50" s="4369" t="str">
        <f t="shared" si="2"/>
        <v>NA</v>
      </c>
      <c r="H50" s="4370">
        <f t="shared" si="17"/>
        <v>2.3482557162144233E-2</v>
      </c>
      <c r="I50" s="4371">
        <f t="shared" si="18"/>
        <v>4.828275003030425E-4</v>
      </c>
      <c r="J50" s="4170" t="str">
        <f>J51</f>
        <v>IE</v>
      </c>
      <c r="K50" s="4170">
        <f>K51</f>
        <v>20.443401250422486</v>
      </c>
      <c r="L50" s="4372">
        <f>L51</f>
        <v>0.42033907360591199</v>
      </c>
      <c r="M50" s="472"/>
    </row>
    <row r="51" spans="2:13" ht="18" customHeight="1" x14ac:dyDescent="0.2">
      <c r="B51" s="926"/>
      <c r="C51" s="2864" t="s">
        <v>1342</v>
      </c>
      <c r="D51" s="4373" t="s">
        <v>1219</v>
      </c>
      <c r="E51" s="4379" t="s">
        <v>1661</v>
      </c>
      <c r="F51" s="4380">
        <v>870578.15336137614</v>
      </c>
      <c r="G51" s="4369" t="str">
        <f t="shared" si="2"/>
        <v>NA</v>
      </c>
      <c r="H51" s="4370">
        <f t="shared" si="17"/>
        <v>2.3482557162144233E-2</v>
      </c>
      <c r="I51" s="4371">
        <f t="shared" si="18"/>
        <v>4.828275003030425E-4</v>
      </c>
      <c r="J51" s="4376" t="s">
        <v>274</v>
      </c>
      <c r="K51" s="4377">
        <v>20.443401250422486</v>
      </c>
      <c r="L51" s="4381">
        <v>0.42033907360591199</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15405.487930985058</v>
      </c>
      <c r="G59" s="4355" t="str">
        <f t="shared" si="2"/>
        <v>NA</v>
      </c>
      <c r="H59" s="4356">
        <f t="shared" si="3"/>
        <v>0.12843413849624588</v>
      </c>
      <c r="I59" s="4357">
        <f t="shared" si="4"/>
        <v>2.3742477547014336E-3</v>
      </c>
      <c r="J59" s="4358" t="str">
        <f>IF(SUM(J60,J65)=0,"IE",SUM(J60,J65))</f>
        <v>IE</v>
      </c>
      <c r="K59" s="4359">
        <f>IF(SUM(K60,K65)=0,"NO",SUM(K60,K65))</f>
        <v>1.9785905705303795</v>
      </c>
      <c r="L59" s="4360">
        <f>IF(SUM(L60,L65)=0,"NO",SUM(L60,L65))</f>
        <v>3.6576445130221312E-2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15405.487930985058</v>
      </c>
      <c r="G65" s="4365" t="str">
        <f t="shared" si="2"/>
        <v>NA</v>
      </c>
      <c r="H65" s="4366">
        <f t="shared" si="3"/>
        <v>0.12843413849624588</v>
      </c>
      <c r="I65" s="4367">
        <f t="shared" si="4"/>
        <v>2.3742477547014336E-3</v>
      </c>
      <c r="J65" s="4170" t="str">
        <f>IF(SUM(J66,J68)=0,"IE",SUM(J66,J68))</f>
        <v>IE</v>
      </c>
      <c r="K65" s="3057">
        <f>IF(SUM(K66,K68)=0,"NO",SUM(K66,K68))</f>
        <v>1.9785905705303795</v>
      </c>
      <c r="L65" s="3106">
        <f>IF(SUM(L66,L68)=0,"NO",SUM(L66,L68))</f>
        <v>3.6576445130221312E-2</v>
      </c>
    </row>
    <row r="66" spans="2:13" ht="18" customHeight="1" x14ac:dyDescent="0.2">
      <c r="B66" s="926" t="s">
        <v>1700</v>
      </c>
      <c r="C66" s="4361"/>
      <c r="D66" s="4362"/>
      <c r="E66" s="4382" t="s">
        <v>1661</v>
      </c>
      <c r="F66" s="4368">
        <f>F67</f>
        <v>15405.487930985058</v>
      </c>
      <c r="G66" s="4369" t="str">
        <f t="shared" si="2"/>
        <v>NA</v>
      </c>
      <c r="H66" s="4370">
        <f t="shared" si="3"/>
        <v>0.12843413849624588</v>
      </c>
      <c r="I66" s="4371">
        <f t="shared" si="4"/>
        <v>2.3742477547014336E-3</v>
      </c>
      <c r="J66" s="4170" t="str">
        <f>J67</f>
        <v>IE</v>
      </c>
      <c r="K66" s="4170">
        <f>K67</f>
        <v>1.9785905705303795</v>
      </c>
      <c r="L66" s="4372">
        <f>L67</f>
        <v>3.6576445130221312E-2</v>
      </c>
      <c r="M66" s="472"/>
    </row>
    <row r="67" spans="2:13" ht="18" customHeight="1" x14ac:dyDescent="0.2">
      <c r="B67" s="926"/>
      <c r="C67" s="2864" t="s">
        <v>1679</v>
      </c>
      <c r="D67" s="4373" t="s">
        <v>1219</v>
      </c>
      <c r="E67" s="4379" t="s">
        <v>1661</v>
      </c>
      <c r="F67" s="4380">
        <v>15405.487930985058</v>
      </c>
      <c r="G67" s="4369" t="str">
        <f t="shared" si="2"/>
        <v>NA</v>
      </c>
      <c r="H67" s="4370">
        <f t="shared" ref="H67:H68" si="23">IF(SUM($F67)=0,"NA",K67*1000/$F67)</f>
        <v>0.12843413849624588</v>
      </c>
      <c r="I67" s="4371">
        <f t="shared" ref="I67:I68" si="24">IF(SUM($F67)=0,"NA",L67*1000/$F67)</f>
        <v>2.3742477547014336E-3</v>
      </c>
      <c r="J67" s="4376" t="s">
        <v>274</v>
      </c>
      <c r="K67" s="4377">
        <v>1.9785905705303795</v>
      </c>
      <c r="L67" s="4381">
        <v>3.6576445130221312E-2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4297.5193263924457</v>
      </c>
      <c r="D10" s="3463">
        <f>IF(SUM(D11,D16:D17)=0,"NO",SUM(D11,D16:D17))</f>
        <v>-3224.3746604144062</v>
      </c>
      <c r="E10" s="3464"/>
      <c r="F10" s="3465">
        <f>IF(SUM(F11,F16:F17)=0,"NO",SUM(F11,F16:F17))</f>
        <v>1073.1446659780388</v>
      </c>
      <c r="G10" s="3466">
        <f>IF(SUM(G11,G16:G17)=0,"NO",SUM(G11,G16:G17))</f>
        <v>-3934.8637752528084</v>
      </c>
      <c r="H10" s="226"/>
      <c r="I10" s="2"/>
      <c r="J10" s="2"/>
    </row>
    <row r="11" spans="1:10" ht="18" customHeight="1" x14ac:dyDescent="0.2">
      <c r="B11" s="592" t="s">
        <v>1722</v>
      </c>
      <c r="C11" s="3467">
        <f>IF(SUM(C13:C15)=0,"NO",SUM(C13:C15))</f>
        <v>1505.8623638399222</v>
      </c>
      <c r="D11" s="3468">
        <f>IF(SUM(D13:D15)=0,"NO",SUM(D13:D15))</f>
        <v>-760.0238116959207</v>
      </c>
      <c r="E11" s="3469"/>
      <c r="F11" s="3470">
        <f>IF(SUM(F13:F15)=0,"NO",SUM(F13:F15))</f>
        <v>745.83855214400137</v>
      </c>
      <c r="G11" s="3471">
        <f>IF(SUM(G13:G15)=0,"NO",SUM(G13:G15))</f>
        <v>-2734.7413578613382</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1029.2273447260959</v>
      </c>
      <c r="D13" s="3476">
        <f>F13-C13</f>
        <v>-464.90120595620829</v>
      </c>
      <c r="E13" s="3477" t="s">
        <v>205</v>
      </c>
      <c r="F13" s="3478">
        <f>G13/(-44/12)</f>
        <v>564.32613876988762</v>
      </c>
      <c r="G13" s="3479">
        <v>-2069.1958421562545</v>
      </c>
      <c r="H13" s="226"/>
      <c r="I13" s="2"/>
      <c r="J13" s="2"/>
    </row>
    <row r="14" spans="1:10" ht="18" customHeight="1" x14ac:dyDescent="0.2">
      <c r="B14" s="1192" t="s">
        <v>1724</v>
      </c>
      <c r="C14" s="3480">
        <v>476.63501911382616</v>
      </c>
      <c r="D14" s="3481">
        <f>F14-C14</f>
        <v>-295.12260573971241</v>
      </c>
      <c r="E14" s="3202" t="s">
        <v>205</v>
      </c>
      <c r="F14" s="3482">
        <f>G14/(-44/12)</f>
        <v>181.51241337411375</v>
      </c>
      <c r="G14" s="3479">
        <v>-665.54551570508374</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1901.814177332373</v>
      </c>
      <c r="D16" s="3481">
        <f>F16-C16</f>
        <v>-1935.1542352478916</v>
      </c>
      <c r="E16" s="3202" t="s">
        <v>205</v>
      </c>
      <c r="F16" s="3482">
        <f>G16/(-44/12)</f>
        <v>-33.340057915518628</v>
      </c>
      <c r="G16" s="3479">
        <v>122.2468790235683</v>
      </c>
      <c r="H16" s="226"/>
      <c r="I16" s="2"/>
      <c r="J16" s="2"/>
    </row>
    <row r="17" spans="2:10" ht="18" customHeight="1" x14ac:dyDescent="0.2">
      <c r="B17" s="1196" t="s">
        <v>1727</v>
      </c>
      <c r="C17" s="3484">
        <f>C18</f>
        <v>889.84278522014995</v>
      </c>
      <c r="D17" s="3485">
        <f t="shared" ref="D17:F17" si="0">D18</f>
        <v>-529.196613470594</v>
      </c>
      <c r="E17" s="3486"/>
      <c r="F17" s="3193">
        <f t="shared" si="0"/>
        <v>360.646171749556</v>
      </c>
      <c r="G17" s="3479">
        <f>-F17*44/12</f>
        <v>-1322.3692964150387</v>
      </c>
      <c r="H17" s="226"/>
      <c r="I17" s="2"/>
      <c r="J17" s="2"/>
    </row>
    <row r="18" spans="2:10" ht="18" customHeight="1" thickBot="1" x14ac:dyDescent="0.25">
      <c r="B18" s="547" t="s">
        <v>1728</v>
      </c>
      <c r="C18" s="3487">
        <v>889.84278522014995</v>
      </c>
      <c r="D18" s="3488">
        <f>F18-C18</f>
        <v>-529.196613470594</v>
      </c>
      <c r="E18" s="3205" t="s">
        <v>205</v>
      </c>
      <c r="F18" s="3489">
        <f>G18/(-44/12)</f>
        <v>360.646171749556</v>
      </c>
      <c r="G18" s="3490">
        <v>-1322.3692964150387</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30.629801780740696</v>
      </c>
      <c r="D10" s="1882">
        <f t="shared" ref="D10:I10" si="0">IF(SUM(D11,D15,D18,D21)=0,"NO",SUM(D11,D15,D18,D21))</f>
        <v>495.63148589773073</v>
      </c>
      <c r="E10" s="1882">
        <f t="shared" si="0"/>
        <v>1.2812867753564194</v>
      </c>
      <c r="F10" s="1882" t="str">
        <f t="shared" si="0"/>
        <v>NO</v>
      </c>
      <c r="G10" s="1882" t="str">
        <f t="shared" si="0"/>
        <v>NO</v>
      </c>
      <c r="H10" s="1882">
        <f t="shared" si="0"/>
        <v>240.47556686670018</v>
      </c>
      <c r="I10" s="1883" t="str">
        <f t="shared" si="0"/>
        <v>NO</v>
      </c>
      <c r="J10" s="4487">
        <f>IF(SUM(C10:E10)=0,"NO",SUM(C10,IFERROR(28*D10,0),IFERROR(265*E10,0)))</f>
        <v>14247.852402386652</v>
      </c>
    </row>
    <row r="11" spans="1:10" ht="18" customHeight="1" x14ac:dyDescent="0.2">
      <c r="B11" s="1503" t="s">
        <v>1800</v>
      </c>
      <c r="C11" s="2893"/>
      <c r="D11" s="2894">
        <f>IF(SUM(D12:D14)=0,"NO",SUM(D12:D14))</f>
        <v>398.04985516827048</v>
      </c>
      <c r="E11" s="2893"/>
      <c r="F11" s="1886" t="str">
        <f>IF(SUM(F12:F14)=0,"NO",SUM(F12:F14))</f>
        <v>NO</v>
      </c>
      <c r="G11" s="1886" t="str">
        <f t="shared" ref="G11:H11" si="1">IF(SUM(G12:G14)=0,"NO",SUM(G12:G14))</f>
        <v>NO</v>
      </c>
      <c r="H11" s="1886">
        <f t="shared" si="1"/>
        <v>2.9795963965577394</v>
      </c>
      <c r="I11" s="2994"/>
      <c r="J11" s="1886">
        <f t="shared" ref="J11:J18" si="2">IF(SUM(C11:E11)=0,"NO",SUM(C11,IFERROR(28*D11,0),IFERROR(265*E11,0)))</f>
        <v>11145.395944711574</v>
      </c>
    </row>
    <row r="12" spans="1:10" ht="18" customHeight="1" x14ac:dyDescent="0.2">
      <c r="B12" s="1269" t="s">
        <v>1801</v>
      </c>
      <c r="C12" s="1885"/>
      <c r="D12" s="1884">
        <f>IF(SUM(Table5.A!F10:H10)=0,"NO",SUM(Table5.A!F10))</f>
        <v>398.04985516827048</v>
      </c>
      <c r="E12" s="1885"/>
      <c r="F12" s="2916" t="s">
        <v>205</v>
      </c>
      <c r="G12" s="2916" t="s">
        <v>205</v>
      </c>
      <c r="H12" s="2916">
        <v>2.9795963965577394</v>
      </c>
      <c r="I12" s="2940"/>
      <c r="J12" s="1887">
        <f t="shared" si="2"/>
        <v>11145.395944711574</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4.0213965150000002</v>
      </c>
      <c r="E15" s="2892">
        <f t="shared" ref="E15" si="3">IF(SUM(E16:E17)=0,"NO",SUM(E16:E17))</f>
        <v>0.51473875392000001</v>
      </c>
      <c r="F15" s="2892" t="s">
        <v>1805</v>
      </c>
      <c r="G15" s="2892" t="s">
        <v>1805</v>
      </c>
      <c r="H15" s="2892" t="s">
        <v>1805</v>
      </c>
      <c r="I15" s="2997"/>
      <c r="J15" s="2884">
        <f t="shared" si="2"/>
        <v>249.00487220880001</v>
      </c>
    </row>
    <row r="16" spans="1:10" ht="18" customHeight="1" x14ac:dyDescent="0.2">
      <c r="B16" s="1891" t="s">
        <v>1806</v>
      </c>
      <c r="C16" s="2998"/>
      <c r="D16" s="1884">
        <f>Table5.B!F10</f>
        <v>4.0213965150000002</v>
      </c>
      <c r="E16" s="1884">
        <f>Table5.B!G10</f>
        <v>0.51473875392000001</v>
      </c>
      <c r="F16" s="699" t="s">
        <v>205</v>
      </c>
      <c r="G16" s="699" t="s">
        <v>205</v>
      </c>
      <c r="H16" s="699" t="s">
        <v>205</v>
      </c>
      <c r="I16" s="2940"/>
      <c r="J16" s="1887">
        <f t="shared" si="2"/>
        <v>249.00487220880001</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30.629801780740696</v>
      </c>
      <c r="D18" s="2883" t="str">
        <f>IF(SUM(D19:D20)=0,"NO,NE",SUM(D19:D20))</f>
        <v>NO,NE</v>
      </c>
      <c r="E18" s="2883" t="str">
        <f>IF(SUM(E19:E20)=0,"NO,NE",SUM(E19:E20))</f>
        <v>NO,NE</v>
      </c>
      <c r="F18" s="2883" t="s">
        <v>205</v>
      </c>
      <c r="G18" s="2883" t="s">
        <v>205</v>
      </c>
      <c r="H18" s="2883" t="s">
        <v>205</v>
      </c>
      <c r="I18" s="2883" t="s">
        <v>205</v>
      </c>
      <c r="J18" s="2885">
        <f t="shared" si="2"/>
        <v>30.629801780740696</v>
      </c>
    </row>
    <row r="19" spans="2:12" ht="18" customHeight="1" x14ac:dyDescent="0.2">
      <c r="B19" s="1269" t="s">
        <v>1809</v>
      </c>
      <c r="C19" s="1884">
        <f>Table5.C!G10</f>
        <v>30.629801780740696</v>
      </c>
      <c r="D19" s="1884" t="str">
        <f>Table5.C!H10</f>
        <v>NO,NE</v>
      </c>
      <c r="E19" s="1884" t="str">
        <f>Table5.C!I10</f>
        <v>NO,NE</v>
      </c>
      <c r="F19" s="700" t="s">
        <v>205</v>
      </c>
      <c r="G19" s="700" t="s">
        <v>205</v>
      </c>
      <c r="H19" s="700" t="s">
        <v>205</v>
      </c>
      <c r="I19" s="700" t="s">
        <v>205</v>
      </c>
      <c r="J19" s="1887">
        <f>IF(SUM(C19:E19)=0,"NO",SUM(C19,IFERROR(28*D19,0),IFERROR(265*E19,0)))</f>
        <v>30.629801780740696</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93.560234214460223</v>
      </c>
      <c r="E21" s="2883">
        <f t="shared" ref="E21:H21" si="5">IF(SUM(E22:E24)=0,"NO",SUM(E22:E24))</f>
        <v>0.76654802143641942</v>
      </c>
      <c r="F21" s="2883" t="str">
        <f t="shared" si="5"/>
        <v>NO</v>
      </c>
      <c r="G21" s="2883" t="str">
        <f t="shared" si="5"/>
        <v>NO</v>
      </c>
      <c r="H21" s="2883">
        <f t="shared" si="5"/>
        <v>237.49597047014242</v>
      </c>
      <c r="I21" s="3000"/>
      <c r="J21" s="2885">
        <f t="shared" si="4"/>
        <v>2822.8217836855374</v>
      </c>
    </row>
    <row r="22" spans="2:12" ht="18" customHeight="1" x14ac:dyDescent="0.2">
      <c r="B22" s="1269" t="s">
        <v>1812</v>
      </c>
      <c r="C22" s="1894"/>
      <c r="D22" s="1884">
        <f>IF(SUM(Table5.D!H10)=0,"NO",SUM(Table5.D!H10))</f>
        <v>50.640278042504839</v>
      </c>
      <c r="E22" s="1884">
        <f>IF(SUM(Table5.D!I10:J10)=0,"NO",SUM(Table5.D!I10:J10))</f>
        <v>0.76654802143641942</v>
      </c>
      <c r="F22" s="2916" t="s">
        <v>205</v>
      </c>
      <c r="G22" s="2916" t="s">
        <v>205</v>
      </c>
      <c r="H22" s="2916">
        <v>7.4828027476602896</v>
      </c>
      <c r="I22" s="2940"/>
      <c r="J22" s="1887">
        <f t="shared" si="4"/>
        <v>1621.0630108707865</v>
      </c>
    </row>
    <row r="23" spans="2:12" ht="18" customHeight="1" x14ac:dyDescent="0.2">
      <c r="B23" s="1269" t="s">
        <v>1813</v>
      </c>
      <c r="C23" s="1894"/>
      <c r="D23" s="1884">
        <f>IF(SUM(Table5.D!H11)=0,"NO",SUM(Table5.D!H11))</f>
        <v>42.919956171955377</v>
      </c>
      <c r="E23" s="1884" t="str">
        <f>IF(SUM(Table5.D!I11:J11)=0,"IE",SUM(Table5.D!I11:J11))</f>
        <v>IE</v>
      </c>
      <c r="F23" s="2916" t="s">
        <v>205</v>
      </c>
      <c r="G23" s="2916" t="s">
        <v>205</v>
      </c>
      <c r="H23" s="2916">
        <v>230.01316772248214</v>
      </c>
      <c r="I23" s="2940"/>
      <c r="J23" s="1887">
        <f t="shared" si="4"/>
        <v>1201.7587728147505</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287376.68198365142</v>
      </c>
      <c r="D28" s="1903"/>
      <c r="E28" s="1903"/>
      <c r="F28" s="1903"/>
      <c r="G28" s="1903"/>
      <c r="H28" s="1903"/>
      <c r="I28" s="1904"/>
      <c r="J28" s="1907"/>
      <c r="K28"/>
      <c r="L28"/>
    </row>
    <row r="29" spans="2:12" ht="18" customHeight="1" x14ac:dyDescent="0.2">
      <c r="B29" s="4215" t="s">
        <v>1819</v>
      </c>
      <c r="C29" s="1905">
        <v>3934.2786181330325</v>
      </c>
      <c r="D29" s="1906"/>
      <c r="E29" s="1906"/>
      <c r="F29" s="1906"/>
      <c r="G29" s="1906"/>
      <c r="H29" s="1906"/>
      <c r="I29" s="1907"/>
      <c r="J29" s="1907"/>
      <c r="K29"/>
      <c r="L29"/>
    </row>
    <row r="30" spans="2:12" ht="18" customHeight="1" thickBot="1" x14ac:dyDescent="0.25">
      <c r="B30" s="4216" t="s">
        <v>1820</v>
      </c>
      <c r="C30" s="1899">
        <v>1969.1661652322073</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14" sqref="J14"/>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18699.570219516056</v>
      </c>
      <c r="D10" s="3678"/>
      <c r="E10" s="4121">
        <f>IF(SUM(C10)=0,"NA",(F10-G10-H10)/C10)</f>
        <v>3.5851582755940012E-2</v>
      </c>
      <c r="F10" s="3679">
        <f>F11</f>
        <v>398.04985516827048</v>
      </c>
      <c r="G10" s="3679">
        <f>G11</f>
        <v>-13.810186913369597</v>
      </c>
      <c r="H10" s="3680">
        <f>H11</f>
        <v>-258.54914714385109</v>
      </c>
      <c r="I10" s="44"/>
    </row>
    <row r="11" spans="1:13" ht="18" customHeight="1" x14ac:dyDescent="0.2">
      <c r="B11" s="1753" t="s">
        <v>1834</v>
      </c>
      <c r="C11" s="3681">
        <f>IF(SUM(C13:C16)=0,"NO",SUM(C13:C16))</f>
        <v>18699.570219516056</v>
      </c>
      <c r="D11" s="3681">
        <v>1</v>
      </c>
      <c r="E11" s="4121">
        <f>IF(SUM(C11)=0,"NA",(F11-G11-H11)/C11)</f>
        <v>3.5851582755940012E-2</v>
      </c>
      <c r="F11" s="4227">
        <f>IF(SUM(F13:F16)=0,"NO",SUM(F13:F16))</f>
        <v>398.04985516827048</v>
      </c>
      <c r="G11" s="3682">
        <v>-13.810186913369597</v>
      </c>
      <c r="H11" s="3683">
        <v>-258.54914714385109</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11124.68080886875</v>
      </c>
      <c r="D13" s="3688">
        <v>1</v>
      </c>
      <c r="E13" s="4218" t="s">
        <v>274</v>
      </c>
      <c r="F13" s="3688">
        <v>15.373260260232101</v>
      </c>
      <c r="G13" s="3689"/>
      <c r="H13" s="3690"/>
      <c r="I13" s="44"/>
    </row>
    <row r="14" spans="1:13" ht="18" customHeight="1" x14ac:dyDescent="0.2">
      <c r="B14" s="1754" t="s">
        <v>1837</v>
      </c>
      <c r="C14" s="3688">
        <v>1934.9907681471841</v>
      </c>
      <c r="D14" s="3688">
        <v>1</v>
      </c>
      <c r="E14" s="3681" t="s">
        <v>274</v>
      </c>
      <c r="F14" s="3688">
        <v>163.92242206676551</v>
      </c>
      <c r="G14" s="3689"/>
      <c r="H14" s="3690"/>
      <c r="I14" s="44"/>
    </row>
    <row r="15" spans="1:13" ht="18" customHeight="1" x14ac:dyDescent="0.2">
      <c r="B15" s="1754" t="s">
        <v>1838</v>
      </c>
      <c r="C15" s="3688">
        <v>5639.8986425001222</v>
      </c>
      <c r="D15" s="3688">
        <v>1</v>
      </c>
      <c r="E15" s="4121" t="s">
        <v>274</v>
      </c>
      <c r="F15" s="3688">
        <v>218.75417284127286</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5361.8620159761695</v>
      </c>
      <c r="D10" s="1938">
        <f>IF(SUM($C10)=0,"NA",F10*1000/$C10)</f>
        <v>0.75000000056284055</v>
      </c>
      <c r="E10" s="1938">
        <f>IF(SUM($C10)=0,"NA",G10*1000/$C10)</f>
        <v>9.6000000072043581E-2</v>
      </c>
      <c r="F10" s="1934">
        <f>IF(SUM(F11:F12)=0,"NO",SUM(F11:F12))</f>
        <v>4.0213965150000002</v>
      </c>
      <c r="G10" s="1934">
        <f>IF(SUM(G11:G12)=0,"NO",SUM(G11:G12))</f>
        <v>0.51473875392000001</v>
      </c>
      <c r="H10" s="1935"/>
      <c r="I10" s="1936"/>
    </row>
    <row r="11" spans="1:9" ht="18" customHeight="1" x14ac:dyDescent="0.2">
      <c r="B11" s="1525" t="s">
        <v>1851</v>
      </c>
      <c r="C11" s="1937">
        <v>5361.8620159761695</v>
      </c>
      <c r="D11" s="1938">
        <f>IF(SUM($C11)=0,"NA",F11*1000/$C11)</f>
        <v>0.75000000056284055</v>
      </c>
      <c r="E11" s="1938">
        <f>IF(SUM($C11)=0,"NA",G11*1000/$C11)</f>
        <v>9.6000000072043581E-2</v>
      </c>
      <c r="F11" s="1937">
        <v>4.0213965150000002</v>
      </c>
      <c r="G11" s="1937">
        <v>0.51473875392000001</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20.855006276859264</v>
      </c>
      <c r="D10" s="2898">
        <f t="shared" ref="D10:D20" si="0">IF(SUM(G10)=0,"NA",G10*1000/$C10)</f>
        <v>1468.7025922752923</v>
      </c>
      <c r="E10" s="2898" t="str">
        <f t="shared" ref="E10:E20" si="1">IF(SUM(H10)=0,"NA",H10*1000/$C10)</f>
        <v>NA</v>
      </c>
      <c r="F10" s="2898" t="str">
        <f t="shared" ref="F10:F20" si="2">IF(SUM(I10)=0,"NA",I10*1000/$C10)</f>
        <v>NA</v>
      </c>
      <c r="G10" s="2898">
        <f>IF(SUM(G11,G21)=0,"NO",SUM(G11,G21))</f>
        <v>30.629801780740696</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20.855006276859264</v>
      </c>
      <c r="D21" s="116">
        <f>IF(SUM(G21)=0,"NA",G21*1000/$C21)</f>
        <v>1468.7025922752923</v>
      </c>
      <c r="E21" s="116" t="str">
        <f t="shared" ref="E21:F21" si="3">IF(SUM(H21)=0,"NA",H21*1000/$C21)</f>
        <v>NA</v>
      </c>
      <c r="F21" s="116" t="str">
        <f t="shared" si="3"/>
        <v>NA</v>
      </c>
      <c r="G21" s="2900">
        <f>IF(SUM(G22:G23)=0,"NO",SUM(G22:G23))</f>
        <v>30.629801780740696</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20.855006276859264</v>
      </c>
      <c r="D23" s="116">
        <f t="shared" si="4"/>
        <v>1468.7025922752923</v>
      </c>
      <c r="E23" s="151" t="str">
        <f t="shared" si="5"/>
        <v>NA</v>
      </c>
      <c r="F23" s="151" t="str">
        <f t="shared" si="6"/>
        <v>NA</v>
      </c>
      <c r="G23" s="151">
        <f>IF(SUM(G25:G30)=0,"NO",SUM(G25:G30))</f>
        <v>30.629801780740696</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15.240685691017116</v>
      </c>
      <c r="D27" s="116">
        <f t="shared" si="4"/>
        <v>879.99999999901149</v>
      </c>
      <c r="E27" s="116" t="str">
        <f t="shared" si="5"/>
        <v>NA</v>
      </c>
      <c r="F27" s="116" t="str">
        <f t="shared" si="6"/>
        <v>NA</v>
      </c>
      <c r="G27" s="2908">
        <v>13.411803408079997</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I10" sqref="I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22733.589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33.083498013291077</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1342.7629836569547</v>
      </c>
      <c r="D10" s="3399">
        <v>984.84147778001181</v>
      </c>
      <c r="E10" s="3399">
        <v>131.80066612201421</v>
      </c>
      <c r="F10" s="3400">
        <f>(SUM(H10)-SUM(K10:L10))/C10</f>
        <v>7.7351229810680322E-2</v>
      </c>
      <c r="G10" s="3400">
        <f>SUM(I10:J10)/E10/(44/28)</f>
        <v>3.701068444654503E-3</v>
      </c>
      <c r="H10" s="3398">
        <v>50.640278042504839</v>
      </c>
      <c r="I10" s="3190">
        <v>0.76654802143641942</v>
      </c>
      <c r="J10" s="3190" t="s">
        <v>274</v>
      </c>
      <c r="K10" s="3401">
        <v>-14.245450438095238</v>
      </c>
      <c r="L10" s="2921">
        <v>-38.978639649523807</v>
      </c>
      <c r="M10"/>
      <c r="N10" s="1773" t="s">
        <v>1910</v>
      </c>
      <c r="O10" s="3403">
        <v>1</v>
      </c>
    </row>
    <row r="11" spans="1:15" ht="18" customHeight="1" x14ac:dyDescent="0.2">
      <c r="A11"/>
      <c r="B11" s="1752" t="s">
        <v>1813</v>
      </c>
      <c r="C11" s="3399">
        <v>767.1348099023636</v>
      </c>
      <c r="D11" s="3399">
        <v>137.50619435673775</v>
      </c>
      <c r="E11" s="699" t="s">
        <v>274</v>
      </c>
      <c r="F11" s="3134">
        <f>(SUM(H11)-SUM(K11:L11))/C11</f>
        <v>6.5083710996701419E-2</v>
      </c>
      <c r="G11" s="3134" t="s">
        <v>205</v>
      </c>
      <c r="H11" s="699">
        <v>42.919956171955377</v>
      </c>
      <c r="I11" s="699" t="s">
        <v>274</v>
      </c>
      <c r="J11" s="699" t="s">
        <v>274</v>
      </c>
      <c r="K11" s="3125" t="s">
        <v>274</v>
      </c>
      <c r="L11" s="2921">
        <v>-7.0080240912395437</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385961.97760480928</v>
      </c>
      <c r="D10" s="3798">
        <f t="shared" si="0"/>
        <v>4975.1470808047579</v>
      </c>
      <c r="E10" s="3798">
        <f t="shared" si="0"/>
        <v>79.949303117624424</v>
      </c>
      <c r="F10" s="3798">
        <f t="shared" si="0"/>
        <v>7816.4186628708085</v>
      </c>
      <c r="G10" s="3798">
        <f t="shared" si="0"/>
        <v>265.12979067717396</v>
      </c>
      <c r="H10" s="3798" t="str">
        <f>IF(SUM(H11,H22,H31,H42,H51)=0,"NO",SUM(H11,H22,H31,H42,H51))</f>
        <v>NO</v>
      </c>
      <c r="I10" s="3798">
        <f t="shared" ref="I10:N10" si="1">IF(SUM(I11,I22,I31,I42,I51)=0,"NO",SUM(I11,I22,I31,I42,I51))</f>
        <v>5.0188659819423893E-3</v>
      </c>
      <c r="J10" s="3826" t="str">
        <f t="shared" si="1"/>
        <v>NO</v>
      </c>
      <c r="K10" s="3798">
        <f t="shared" si="1"/>
        <v>3367.0979032777564</v>
      </c>
      <c r="L10" s="3798">
        <f t="shared" si="1"/>
        <v>27143.978748337297</v>
      </c>
      <c r="M10" s="3798">
        <f t="shared" si="1"/>
        <v>1827.0218374395422</v>
      </c>
      <c r="N10" s="3799">
        <f t="shared" si="1"/>
        <v>2518.0947185484392</v>
      </c>
      <c r="O10" s="3800">
        <f>IF(SUM(C10:J10)=0,"NO",SUM(C10,F10:H10)+28*SUM(D10)+265*SUM(E10)+23500*SUM(I10)+16100*SUM(J10))</f>
        <v>554652.1529976367</v>
      </c>
    </row>
    <row r="11" spans="1:15" ht="18" customHeight="1" x14ac:dyDescent="0.25">
      <c r="B11" s="1116" t="s">
        <v>1921</v>
      </c>
      <c r="C11" s="2572">
        <f>Table1!C10</f>
        <v>382667.64405213739</v>
      </c>
      <c r="D11" s="3766">
        <f>Table1!D10</f>
        <v>1378.2179010048872</v>
      </c>
      <c r="E11" s="3766">
        <f>Table1!E10</f>
        <v>12.29988883236787</v>
      </c>
      <c r="F11" s="1553"/>
      <c r="G11" s="1553"/>
      <c r="H11" s="3714"/>
      <c r="I11" s="1553"/>
      <c r="J11" s="98"/>
      <c r="K11" s="3766">
        <f>Table1!F10</f>
        <v>2381.2620737725861</v>
      </c>
      <c r="L11" s="3713">
        <f>Table1!G10</f>
        <v>2499.002051886092</v>
      </c>
      <c r="M11" s="3713">
        <f>Table1!H10</f>
        <v>724.40069801984009</v>
      </c>
      <c r="N11" s="960">
        <f>Table1!I10</f>
        <v>726.65726217148313</v>
      </c>
      <c r="O11" s="3715">
        <f t="shared" ref="O11:O58" si="2">IF(SUM(C11:J11)=0,"NO",SUM(C11,F11:H11)+28*SUM(D11)+265*SUM(E11)+23500*SUM(I11)+16100*SUM(J11))</f>
        <v>424517.21582085174</v>
      </c>
    </row>
    <row r="12" spans="1:15" ht="18" customHeight="1" x14ac:dyDescent="0.25">
      <c r="B12" s="1369" t="s">
        <v>1922</v>
      </c>
      <c r="C12" s="3794">
        <f>Table1!C11</f>
        <v>374373.11996466469</v>
      </c>
      <c r="D12" s="617">
        <f>Table1!D11</f>
        <v>79.577858577653984</v>
      </c>
      <c r="E12" s="617">
        <f>Table1!E11</f>
        <v>12.185263684579958</v>
      </c>
      <c r="F12" s="69"/>
      <c r="G12" s="69"/>
      <c r="H12" s="69"/>
      <c r="I12" s="69"/>
      <c r="J12" s="69"/>
      <c r="K12" s="617">
        <f>Table1!F11</f>
        <v>2379.374727234901</v>
      </c>
      <c r="L12" s="617">
        <f>Table1!G11</f>
        <v>2488.2235425917188</v>
      </c>
      <c r="M12" s="617">
        <f>Table1!H11</f>
        <v>505.73222380278196</v>
      </c>
      <c r="N12" s="619">
        <f>Table1!I11</f>
        <v>726.65726217148313</v>
      </c>
      <c r="O12" s="3716">
        <f t="shared" si="2"/>
        <v>379830.39488125272</v>
      </c>
    </row>
    <row r="13" spans="1:15" ht="18" customHeight="1" x14ac:dyDescent="0.25">
      <c r="B13" s="1370" t="s">
        <v>1923</v>
      </c>
      <c r="C13" s="3794">
        <f>Table1!C12</f>
        <v>220698.04942543415</v>
      </c>
      <c r="D13" s="617">
        <f>Table1!D12</f>
        <v>21.831268922385455</v>
      </c>
      <c r="E13" s="617">
        <f>Table1!E12</f>
        <v>4.1187199369974747</v>
      </c>
      <c r="F13" s="69"/>
      <c r="G13" s="69"/>
      <c r="H13" s="69"/>
      <c r="I13" s="69"/>
      <c r="J13" s="69"/>
      <c r="K13" s="617">
        <f>Table1!F12</f>
        <v>1019.7947446028262</v>
      </c>
      <c r="L13" s="617">
        <f>Table1!G12</f>
        <v>208.21220840265329</v>
      </c>
      <c r="M13" s="617">
        <f>Table1!H12</f>
        <v>56.887966180912329</v>
      </c>
      <c r="N13" s="619">
        <f>Table1!I12</f>
        <v>604.22313657440986</v>
      </c>
      <c r="O13" s="3717">
        <f t="shared" si="2"/>
        <v>222400.78573856526</v>
      </c>
    </row>
    <row r="14" spans="1:15" ht="18" customHeight="1" x14ac:dyDescent="0.25">
      <c r="B14" s="1370" t="s">
        <v>1924</v>
      </c>
      <c r="C14" s="3794">
        <f>Table1!C16</f>
        <v>42444.02596621681</v>
      </c>
      <c r="D14" s="3718">
        <f>Table1!D16</f>
        <v>2.385915336233952</v>
      </c>
      <c r="E14" s="3718">
        <f>Table1!E16</f>
        <v>1.3750591461183621</v>
      </c>
      <c r="F14" s="3719"/>
      <c r="G14" s="3719"/>
      <c r="H14" s="3719"/>
      <c r="I14" s="3719"/>
      <c r="J14" s="69"/>
      <c r="K14" s="3718">
        <f>Table1!F16</f>
        <v>694.72460272653473</v>
      </c>
      <c r="L14" s="3718">
        <f>Table1!G16</f>
        <v>222.60197914896074</v>
      </c>
      <c r="M14" s="3718">
        <f>Table1!H16</f>
        <v>96.417554714996029</v>
      </c>
      <c r="N14" s="3720">
        <f>Table1!I16</f>
        <v>88.208465885726298</v>
      </c>
      <c r="O14" s="3721">
        <f t="shared" si="2"/>
        <v>42875.222269352729</v>
      </c>
    </row>
    <row r="15" spans="1:15" ht="18" customHeight="1" x14ac:dyDescent="0.25">
      <c r="B15" s="1370" t="s">
        <v>1925</v>
      </c>
      <c r="C15" s="3794">
        <f>Table1!C24</f>
        <v>89746.900002213864</v>
      </c>
      <c r="D15" s="617">
        <f>Table1!D24</f>
        <v>16.069172104575639</v>
      </c>
      <c r="E15" s="617">
        <f>Table1!E24</f>
        <v>6.0009155630814144</v>
      </c>
      <c r="F15" s="69"/>
      <c r="G15" s="69"/>
      <c r="H15" s="69"/>
      <c r="I15" s="69"/>
      <c r="J15" s="69"/>
      <c r="K15" s="617">
        <f>Table1!F24</f>
        <v>298.86174019069512</v>
      </c>
      <c r="L15" s="617">
        <f>Table1!G24</f>
        <v>1378.1900769294214</v>
      </c>
      <c r="M15" s="617">
        <f>Table1!H24</f>
        <v>236.5529465480929</v>
      </c>
      <c r="N15" s="619">
        <f>Table1!I24</f>
        <v>26.079642384489823</v>
      </c>
      <c r="O15" s="3717">
        <f t="shared" si="2"/>
        <v>91787.07944535857</v>
      </c>
    </row>
    <row r="16" spans="1:15" ht="18" customHeight="1" x14ac:dyDescent="0.25">
      <c r="B16" s="1370" t="s">
        <v>1926</v>
      </c>
      <c r="C16" s="3794">
        <f>Table1!C30</f>
        <v>20619.970448276905</v>
      </c>
      <c r="D16" s="617">
        <f>Table1!D30</f>
        <v>39.259914661009276</v>
      </c>
      <c r="E16" s="617">
        <f>Table1!E30</f>
        <v>0.66614365804568554</v>
      </c>
      <c r="F16" s="69"/>
      <c r="G16" s="69"/>
      <c r="H16" s="69"/>
      <c r="I16" s="69"/>
      <c r="J16" s="69"/>
      <c r="K16" s="617">
        <f>Table1!F30</f>
        <v>358.11984969477379</v>
      </c>
      <c r="L16" s="617">
        <f>Table1!G30</f>
        <v>676.52572885510108</v>
      </c>
      <c r="M16" s="617">
        <f>Table1!H30</f>
        <v>115.44732228723987</v>
      </c>
      <c r="N16" s="619">
        <f>Table1!I30</f>
        <v>7.8492334800230594</v>
      </c>
      <c r="O16" s="3717">
        <f t="shared" si="2"/>
        <v>21895.776128167272</v>
      </c>
    </row>
    <row r="17" spans="2:15" ht="18" customHeight="1" x14ac:dyDescent="0.25">
      <c r="B17" s="1370" t="s">
        <v>1927</v>
      </c>
      <c r="C17" s="3794">
        <f>Table1!C34</f>
        <v>864.17412252301722</v>
      </c>
      <c r="D17" s="617">
        <f>Table1!D34</f>
        <v>3.1587553449673587E-2</v>
      </c>
      <c r="E17" s="617">
        <f>Table1!E34</f>
        <v>2.4425380337021515E-2</v>
      </c>
      <c r="F17" s="69"/>
      <c r="G17" s="69"/>
      <c r="H17" s="69"/>
      <c r="I17" s="69"/>
      <c r="J17" s="69"/>
      <c r="K17" s="617">
        <f>Table1!F34</f>
        <v>7.8737900200714135</v>
      </c>
      <c r="L17" s="617">
        <f>Table1!G34</f>
        <v>2.6935492555823601</v>
      </c>
      <c r="M17" s="617">
        <f>Table1!H34</f>
        <v>0.42643407154080254</v>
      </c>
      <c r="N17" s="619">
        <f>Table1!I34</f>
        <v>0.29678384683404169</v>
      </c>
      <c r="O17" s="3717">
        <f t="shared" si="2"/>
        <v>871.53129980891879</v>
      </c>
    </row>
    <row r="18" spans="2:15" ht="18" customHeight="1" x14ac:dyDescent="0.25">
      <c r="B18" s="1369" t="s">
        <v>201</v>
      </c>
      <c r="C18" s="3711">
        <f>Table1!C37</f>
        <v>8294.5240874727278</v>
      </c>
      <c r="D18" s="3795">
        <f>Table1!D37</f>
        <v>1298.6400424272331</v>
      </c>
      <c r="E18" s="3795">
        <f>Table1!E37</f>
        <v>0.11462514778791104</v>
      </c>
      <c r="F18" s="69"/>
      <c r="G18" s="69"/>
      <c r="H18" s="69"/>
      <c r="I18" s="69"/>
      <c r="J18" s="69"/>
      <c r="K18" s="3795">
        <f>Table1!F37</f>
        <v>1.887346537685</v>
      </c>
      <c r="L18" s="617">
        <f>Table1!G37</f>
        <v>10.778509294373</v>
      </c>
      <c r="M18" s="617">
        <f>Table1!H37</f>
        <v>218.66847421705808</v>
      </c>
      <c r="N18" s="619" t="str">
        <f>Table1!I37</f>
        <v>NO</v>
      </c>
      <c r="O18" s="3717">
        <f t="shared" si="2"/>
        <v>44686.820939599049</v>
      </c>
    </row>
    <row r="19" spans="2:15" ht="18" customHeight="1" x14ac:dyDescent="0.25">
      <c r="B19" s="1370" t="s">
        <v>1928</v>
      </c>
      <c r="C19" s="3712">
        <f>Table1!C38</f>
        <v>1580.216366257682</v>
      </c>
      <c r="D19" s="3722">
        <f>Table1!D38</f>
        <v>1071.3959969149528</v>
      </c>
      <c r="E19" s="3795">
        <f>Table1!E38</f>
        <v>3.5333623858198928E-4</v>
      </c>
      <c r="F19" s="69"/>
      <c r="G19" s="69"/>
      <c r="H19" s="69"/>
      <c r="I19" s="69"/>
      <c r="J19" s="69"/>
      <c r="K19" s="3795" t="str">
        <f>Table1!F38</f>
        <v>NO</v>
      </c>
      <c r="L19" s="617" t="str">
        <f>Table1!G38</f>
        <v>NO</v>
      </c>
      <c r="M19" s="617" t="str">
        <f>Table1!H38</f>
        <v>NO</v>
      </c>
      <c r="N19" s="619" t="str">
        <f>Table1!I38</f>
        <v>NO</v>
      </c>
      <c r="O19" s="3717">
        <f t="shared" si="2"/>
        <v>31579.397913979585</v>
      </c>
    </row>
    <row r="20" spans="2:15" ht="18" customHeight="1" x14ac:dyDescent="0.25">
      <c r="B20" s="1371" t="s">
        <v>1929</v>
      </c>
      <c r="C20" s="3712">
        <f>Table1!C42</f>
        <v>6714.3077212150456</v>
      </c>
      <c r="D20" s="3796">
        <f>Table1!D42</f>
        <v>227.24404551228031</v>
      </c>
      <c r="E20" s="3795">
        <f>Table1!E42</f>
        <v>0.11427181154932906</v>
      </c>
      <c r="F20" s="3719"/>
      <c r="G20" s="3719"/>
      <c r="H20" s="3719"/>
      <c r="I20" s="3719"/>
      <c r="J20" s="69"/>
      <c r="K20" s="3795">
        <f>Table1!F42</f>
        <v>1.887346537685</v>
      </c>
      <c r="L20" s="3718">
        <f>Table1!G42</f>
        <v>10.778509294373</v>
      </c>
      <c r="M20" s="3718">
        <f>Table1!H42</f>
        <v>218.66847421705808</v>
      </c>
      <c r="N20" s="3720" t="str">
        <f>Table1!I42</f>
        <v>NO</v>
      </c>
      <c r="O20" s="3721">
        <f t="shared" si="2"/>
        <v>13107.423025619466</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21453.352539628704</v>
      </c>
      <c r="D22" s="3727">
        <f>'Table2(I)'!D10</f>
        <v>3.0130608782400001</v>
      </c>
      <c r="E22" s="3728">
        <f>'Table2(I)'!E10</f>
        <v>8.1442053829338708</v>
      </c>
      <c r="F22" s="3713">
        <f>'Table2(I)'!F10</f>
        <v>7816.4186628708085</v>
      </c>
      <c r="G22" s="3713">
        <f>'Table2(I)'!G10</f>
        <v>265.12979067717396</v>
      </c>
      <c r="H22" s="3713" t="str">
        <f>'Table2(I)'!H10</f>
        <v>NO</v>
      </c>
      <c r="I22" s="3713">
        <f>'Table2(I)'!I10</f>
        <v>5.0188659819423893E-3</v>
      </c>
      <c r="J22" s="3713" t="str">
        <f>'Table2(I)'!J10</f>
        <v>NO</v>
      </c>
      <c r="K22" s="3713">
        <f>'Table2(I)'!K10</f>
        <v>32.89694912647856</v>
      </c>
      <c r="L22" s="3713">
        <f>'Table2(I)'!L10</f>
        <v>8.791235453705708</v>
      </c>
      <c r="M22" s="3713">
        <f>'Table2(I)'!M10</f>
        <v>229.2808028723602</v>
      </c>
      <c r="N22" s="960">
        <f>'Table2(I)'!N10</f>
        <v>1791.4374563769563</v>
      </c>
      <c r="O22" s="3715">
        <f t="shared" si="2"/>
        <v>31895.424474820527</v>
      </c>
    </row>
    <row r="23" spans="2:15" ht="18" customHeight="1" x14ac:dyDescent="0.25">
      <c r="B23" s="1129" t="s">
        <v>1932</v>
      </c>
      <c r="C23" s="3729">
        <f>'Table2(I)'!C11</f>
        <v>6411.455571665676</v>
      </c>
      <c r="D23" s="3730"/>
      <c r="E23" s="98"/>
      <c r="F23" s="98"/>
      <c r="G23" s="98"/>
      <c r="H23" s="98"/>
      <c r="I23" s="98"/>
      <c r="J23" s="69"/>
      <c r="K23" s="620" t="str">
        <f>'Table2(I)'!K11</f>
        <v>NO</v>
      </c>
      <c r="L23" s="620" t="str">
        <f>'Table2(I)'!L11</f>
        <v>NO</v>
      </c>
      <c r="M23" s="620" t="str">
        <f>'Table2(I)'!M11</f>
        <v>NO</v>
      </c>
      <c r="N23" s="622" t="str">
        <f>'Table2(I)'!N11</f>
        <v>NO</v>
      </c>
      <c r="O23" s="3716">
        <f t="shared" si="2"/>
        <v>6411.455571665676</v>
      </c>
    </row>
    <row r="24" spans="2:15" ht="18" customHeight="1" x14ac:dyDescent="0.25">
      <c r="B24" s="1129" t="s">
        <v>846</v>
      </c>
      <c r="C24" s="3729">
        <f>'Table2(I)'!C16</f>
        <v>3232.4648896797153</v>
      </c>
      <c r="D24" s="3731">
        <f>'Table2(I)'!D16</f>
        <v>0.57776360000000004</v>
      </c>
      <c r="E24" s="3732">
        <f>'Table2(I)'!E16</f>
        <v>8.0798403411564426</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5389.7999608861719</v>
      </c>
    </row>
    <row r="25" spans="2:15" ht="18" customHeight="1" x14ac:dyDescent="0.25">
      <c r="B25" s="1129" t="s">
        <v>637</v>
      </c>
      <c r="C25" s="3729">
        <f>'Table2(I)'!C27</f>
        <v>11398.781007211961</v>
      </c>
      <c r="D25" s="3731">
        <f>'Table2(I)'!D27</f>
        <v>2.4352972782400002</v>
      </c>
      <c r="E25" s="3732">
        <f>'Table2(I)'!E27</f>
        <v>6.4365041777428564E-2</v>
      </c>
      <c r="F25" s="617" t="str">
        <f>'Table2(I)'!F27</f>
        <v>NO</v>
      </c>
      <c r="G25" s="617">
        <f>'Table2(I)'!G27</f>
        <v>265.12979067717396</v>
      </c>
      <c r="H25" s="617" t="str">
        <f>'Table2(I)'!H27</f>
        <v>NO</v>
      </c>
      <c r="I25" s="617" t="str">
        <f>'Table2(I)'!I27</f>
        <v>NO</v>
      </c>
      <c r="J25" s="617" t="str">
        <f>'Table2(I)'!J27</f>
        <v>NO</v>
      </c>
      <c r="K25" s="617">
        <f>'Table2(I)'!K27</f>
        <v>32.89694912647856</v>
      </c>
      <c r="L25" s="617">
        <f>'Table2(I)'!L27</f>
        <v>8.791235453705708</v>
      </c>
      <c r="M25" s="617">
        <f>'Table2(I)'!M27</f>
        <v>8.0269704660142868E-2</v>
      </c>
      <c r="N25" s="619">
        <f>'Table2(I)'!N27</f>
        <v>1791.4374563769563</v>
      </c>
      <c r="O25" s="3717">
        <f t="shared" si="2"/>
        <v>11749.155857750875</v>
      </c>
    </row>
    <row r="26" spans="2:15" ht="18" customHeight="1" x14ac:dyDescent="0.25">
      <c r="B26" s="1129" t="s">
        <v>1933</v>
      </c>
      <c r="C26" s="3729">
        <f>'Table2(I)'!C35</f>
        <v>192.64508823</v>
      </c>
      <c r="D26" s="3733" t="str">
        <f>'Table2(I)'!D35</f>
        <v>NO</v>
      </c>
      <c r="E26" s="602" t="str">
        <f>'Table2(I)'!E35</f>
        <v>NO</v>
      </c>
      <c r="F26" s="69"/>
      <c r="G26" s="69"/>
      <c r="H26" s="69"/>
      <c r="I26" s="69"/>
      <c r="J26" s="69"/>
      <c r="K26" s="602" t="str">
        <f>'Table2(I)'!K35</f>
        <v>NO</v>
      </c>
      <c r="L26" s="3732" t="str">
        <f>'Table2(I)'!L35</f>
        <v>NO</v>
      </c>
      <c r="M26" s="3732">
        <f>'Table2(I)'!M35</f>
        <v>185.13279564421933</v>
      </c>
      <c r="N26" s="3734" t="str">
        <f>'Table2(I)'!N35</f>
        <v>NO</v>
      </c>
      <c r="O26" s="3717">
        <f t="shared" si="2"/>
        <v>192.64508823</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7816.4186628708085</v>
      </c>
      <c r="G28" s="3718" t="str">
        <f>'Table2(I)'!G45</f>
        <v>NO</v>
      </c>
      <c r="H28" s="3718" t="str">
        <f>'Table2(I)'!H45</f>
        <v>NO</v>
      </c>
      <c r="I28" s="3718" t="str">
        <f>'Table2(I)'!I45</f>
        <v>NO</v>
      </c>
      <c r="J28" s="3718" t="str">
        <f>'Table2(I)'!J45</f>
        <v>NO</v>
      </c>
      <c r="K28" s="3719"/>
      <c r="L28" s="3719"/>
      <c r="M28" s="3719"/>
      <c r="N28" s="3738"/>
      <c r="O28" s="3721">
        <f t="shared" si="2"/>
        <v>7816.4186628708085</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5.0188659819423893E-3</v>
      </c>
      <c r="J29" s="602" t="str">
        <f>'Table2(I)'!J52</f>
        <v>NO</v>
      </c>
      <c r="K29" s="3741" t="str">
        <f>'Table2(I)'!K52</f>
        <v>NO</v>
      </c>
      <c r="L29" s="3741" t="str">
        <f>'Table2(I)'!L52</f>
        <v>NO</v>
      </c>
      <c r="M29" s="3741" t="str">
        <f>'Table2(I)'!M52</f>
        <v>NO</v>
      </c>
      <c r="N29" s="3742" t="str">
        <f>'Table2(I)'!N52</f>
        <v>NO</v>
      </c>
      <c r="O29" s="3721">
        <f t="shared" si="2"/>
        <v>117.94335057564615</v>
      </c>
    </row>
    <row r="30" spans="2:15" ht="18" customHeight="1" thickBot="1" x14ac:dyDescent="0.3">
      <c r="B30" s="1374" t="s">
        <v>1936</v>
      </c>
      <c r="C30" s="3743">
        <f>'Table2(I)'!C57</f>
        <v>218.00598284134924</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41.225176842780726</v>
      </c>
      <c r="N30" s="3746" t="str">
        <f>'Table2(I)'!N57</f>
        <v>NA</v>
      </c>
      <c r="O30" s="3747">
        <f t="shared" si="2"/>
        <v>218.00598284134924</v>
      </c>
    </row>
    <row r="31" spans="2:15" ht="18" customHeight="1" x14ac:dyDescent="0.25">
      <c r="B31" s="1130" t="s">
        <v>1937</v>
      </c>
      <c r="C31" s="3789">
        <f>Table3!C10</f>
        <v>2045.0737274324219</v>
      </c>
      <c r="D31" s="3748">
        <f>Table3!D10</f>
        <v>2397.1864633585074</v>
      </c>
      <c r="E31" s="3749">
        <f>Table3!E10</f>
        <v>40.636963670468305</v>
      </c>
      <c r="F31" s="3750"/>
      <c r="G31" s="3750"/>
      <c r="H31" s="3750"/>
      <c r="I31" s="3750"/>
      <c r="J31" s="3750"/>
      <c r="K31" s="3751">
        <f>Table3!F10</f>
        <v>24.52548966721486</v>
      </c>
      <c r="L31" s="3751">
        <f>Table3!G10</f>
        <v>396.62812592741602</v>
      </c>
      <c r="M31" s="3751">
        <f>Table3!H10</f>
        <v>23.136640679099266</v>
      </c>
      <c r="N31" s="3752" t="str">
        <f>Table3!I10</f>
        <v>NO</v>
      </c>
      <c r="O31" s="3716">
        <f t="shared" si="2"/>
        <v>79935.090074144726</v>
      </c>
    </row>
    <row r="32" spans="2:15" ht="18" customHeight="1" x14ac:dyDescent="0.25">
      <c r="B32" s="1131" t="s">
        <v>1938</v>
      </c>
      <c r="C32" s="3735"/>
      <c r="D32" s="3753">
        <f>Table3!D11</f>
        <v>2124.3232264032076</v>
      </c>
      <c r="E32" s="98"/>
      <c r="F32" s="3754"/>
      <c r="G32" s="3754"/>
      <c r="H32" s="3730"/>
      <c r="I32" s="3754"/>
      <c r="J32" s="3730"/>
      <c r="K32" s="98"/>
      <c r="L32" s="98"/>
      <c r="M32" s="98"/>
      <c r="N32" s="3755"/>
      <c r="O32" s="3716">
        <f t="shared" si="2"/>
        <v>59481.05033928981</v>
      </c>
    </row>
    <row r="33" spans="2:15" ht="18" customHeight="1" x14ac:dyDescent="0.25">
      <c r="B33" s="1131" t="s">
        <v>1939</v>
      </c>
      <c r="C33" s="3735"/>
      <c r="D33" s="3722">
        <f>Table3!D21</f>
        <v>246.30831150844341</v>
      </c>
      <c r="E33" s="3722">
        <f>Table3!E21</f>
        <v>1.8459116884230848</v>
      </c>
      <c r="F33" s="3754"/>
      <c r="G33" s="3754"/>
      <c r="H33" s="3754"/>
      <c r="I33" s="3754"/>
      <c r="J33" s="3754"/>
      <c r="K33" s="69"/>
      <c r="L33" s="69"/>
      <c r="M33" s="3756" t="str">
        <f>Table3!H21</f>
        <v>NE</v>
      </c>
      <c r="N33" s="3757"/>
      <c r="O33" s="3717">
        <f t="shared" si="2"/>
        <v>7385.7993196685329</v>
      </c>
    </row>
    <row r="34" spans="2:15" ht="18" customHeight="1" x14ac:dyDescent="0.25">
      <c r="B34" s="1131" t="s">
        <v>1940</v>
      </c>
      <c r="C34" s="3735"/>
      <c r="D34" s="3722">
        <f>Table3!D32</f>
        <v>16.384973500000001</v>
      </c>
      <c r="E34" s="69"/>
      <c r="F34" s="3754"/>
      <c r="G34" s="3754"/>
      <c r="H34" s="3754"/>
      <c r="I34" s="3754"/>
      <c r="J34" s="3754"/>
      <c r="K34" s="69"/>
      <c r="L34" s="69"/>
      <c r="M34" s="3756" t="str">
        <f>Table3!H32</f>
        <v>NE</v>
      </c>
      <c r="N34" s="3757"/>
      <c r="O34" s="3717">
        <f t="shared" si="2"/>
        <v>458.77925800000003</v>
      </c>
    </row>
    <row r="35" spans="2:15" ht="18" customHeight="1" x14ac:dyDescent="0.25">
      <c r="B35" s="1131" t="s">
        <v>1941</v>
      </c>
      <c r="C35" s="3758"/>
      <c r="D35" s="3722" t="str">
        <f>Table3!D33</f>
        <v>NE</v>
      </c>
      <c r="E35" s="3722">
        <f>Table3!E33</f>
        <v>38.366552823415994</v>
      </c>
      <c r="F35" s="3754"/>
      <c r="G35" s="3754"/>
      <c r="H35" s="3754"/>
      <c r="I35" s="3754"/>
      <c r="J35" s="3754"/>
      <c r="K35" s="3756" t="str">
        <f>Table3!F33</f>
        <v>NO</v>
      </c>
      <c r="L35" s="3756" t="str">
        <f>Table3!G33</f>
        <v>NO</v>
      </c>
      <c r="M35" s="3756" t="str">
        <f>Table3!H33</f>
        <v>NO</v>
      </c>
      <c r="N35" s="3757"/>
      <c r="O35" s="3717">
        <f t="shared" si="2"/>
        <v>10167.136498205238</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10.169951946856818</v>
      </c>
      <c r="E37" s="3722">
        <f>Table3!E44</f>
        <v>0.42449915862922616</v>
      </c>
      <c r="F37" s="3754"/>
      <c r="G37" s="3754"/>
      <c r="H37" s="3754"/>
      <c r="I37" s="3754"/>
      <c r="J37" s="3754"/>
      <c r="K37" s="3756">
        <f>Table3!F44</f>
        <v>24.52548966721486</v>
      </c>
      <c r="L37" s="3756">
        <f>Table3!G44</f>
        <v>396.62812592741602</v>
      </c>
      <c r="M37" s="3756">
        <f>Table3!H44</f>
        <v>23.136640679099266</v>
      </c>
      <c r="N37" s="3756" t="str">
        <f>Table3!I44</f>
        <v>NO</v>
      </c>
      <c r="O37" s="3717">
        <f t="shared" si="2"/>
        <v>397.25093154873588</v>
      </c>
    </row>
    <row r="38" spans="2:15" ht="18" customHeight="1" x14ac:dyDescent="0.25">
      <c r="B38" s="1132" t="s">
        <v>955</v>
      </c>
      <c r="C38" s="3739">
        <f>Table3!C45</f>
        <v>924.61635380044606</v>
      </c>
      <c r="D38" s="3759"/>
      <c r="E38" s="3759"/>
      <c r="F38" s="3736"/>
      <c r="G38" s="3736"/>
      <c r="H38" s="3736"/>
      <c r="I38" s="3736"/>
      <c r="J38" s="3736"/>
      <c r="K38" s="3760"/>
      <c r="L38" s="3760"/>
      <c r="M38" s="3760"/>
      <c r="N38" s="3738"/>
      <c r="O38" s="3721">
        <f t="shared" si="2"/>
        <v>924.61635380044606</v>
      </c>
    </row>
    <row r="39" spans="2:15" ht="18" customHeight="1" x14ac:dyDescent="0.25">
      <c r="B39" s="1132" t="s">
        <v>956</v>
      </c>
      <c r="C39" s="3761">
        <f>Table3!C46</f>
        <v>1120.457373631976</v>
      </c>
      <c r="D39" s="3759"/>
      <c r="E39" s="3759"/>
      <c r="F39" s="3736"/>
      <c r="G39" s="3736"/>
      <c r="H39" s="3736"/>
      <c r="I39" s="3736"/>
      <c r="J39" s="3736"/>
      <c r="K39" s="3760"/>
      <c r="L39" s="3760"/>
      <c r="M39" s="3760"/>
      <c r="N39" s="3738"/>
      <c r="O39" s="3721">
        <f t="shared" si="2"/>
        <v>1120.457373631976</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-20234.722516169961</v>
      </c>
      <c r="D42" s="3765">
        <f>Table4!D10</f>
        <v>701.09816966539324</v>
      </c>
      <c r="E42" s="3766">
        <f>Table4!E10</f>
        <v>17.586958456497953</v>
      </c>
      <c r="F42" s="3750"/>
      <c r="G42" s="3750"/>
      <c r="H42" s="3750"/>
      <c r="I42" s="3750"/>
      <c r="J42" s="3750"/>
      <c r="K42" s="3767">
        <f>Table4!F10</f>
        <v>928.41339071147706</v>
      </c>
      <c r="L42" s="3767">
        <f>Table4!G10</f>
        <v>24239.557335070083</v>
      </c>
      <c r="M42" s="3767">
        <f>Table4!H10</f>
        <v>609.72812900154247</v>
      </c>
      <c r="N42" s="3768" t="str">
        <f>N50</f>
        <v>NO</v>
      </c>
      <c r="O42" s="3715">
        <f t="shared" si="2"/>
        <v>4056.5702254330072</v>
      </c>
    </row>
    <row r="43" spans="2:15" ht="18" customHeight="1" x14ac:dyDescent="0.25">
      <c r="B43" s="1131" t="s">
        <v>1947</v>
      </c>
      <c r="C43" s="3769">
        <f>Table4!C11</f>
        <v>-37190.547511791498</v>
      </c>
      <c r="D43" s="3770">
        <f>Table4!D11</f>
        <v>308.155424174362</v>
      </c>
      <c r="E43" s="3771">
        <f>Table4!E11</f>
        <v>7.1441135216735709</v>
      </c>
      <c r="F43" s="3736"/>
      <c r="G43" s="3736"/>
      <c r="H43" s="3736"/>
      <c r="I43" s="3736"/>
      <c r="J43" s="3736"/>
      <c r="K43" s="3756">
        <f>Table4!F11</f>
        <v>320.38131846985453</v>
      </c>
      <c r="L43" s="3756">
        <f>Table4!G11</f>
        <v>8582.2045101679159</v>
      </c>
      <c r="M43" s="3756">
        <f>Table4!H11</f>
        <v>284.52441064707631</v>
      </c>
      <c r="N43" s="3772"/>
      <c r="O43" s="3773">
        <f t="shared" si="2"/>
        <v>-26669.005551665865</v>
      </c>
    </row>
    <row r="44" spans="2:15" ht="18" customHeight="1" x14ac:dyDescent="0.25">
      <c r="B44" s="1131" t="s">
        <v>1948</v>
      </c>
      <c r="C44" s="3769">
        <f>Table4!C14</f>
        <v>-969.91863339067083</v>
      </c>
      <c r="D44" s="3774">
        <f>Table4!D14</f>
        <v>1.3155028975949434</v>
      </c>
      <c r="E44" s="3774">
        <f>Table4!E14</f>
        <v>9.1184510713735636E-2</v>
      </c>
      <c r="F44" s="3754"/>
      <c r="G44" s="3754"/>
      <c r="H44" s="3754"/>
      <c r="I44" s="3754"/>
      <c r="J44" s="3754"/>
      <c r="K44" s="3756">
        <f>Table4!F14</f>
        <v>0.99054236039143051</v>
      </c>
      <c r="L44" s="3756">
        <f>Table4!G14</f>
        <v>38.795154896665693</v>
      </c>
      <c r="M44" s="3756">
        <f>Table4!H14</f>
        <v>4.6895242182782688</v>
      </c>
      <c r="N44" s="3775"/>
      <c r="O44" s="3717">
        <f t="shared" si="2"/>
        <v>-908.92065691887251</v>
      </c>
    </row>
    <row r="45" spans="2:15" ht="18" customHeight="1" x14ac:dyDescent="0.25">
      <c r="B45" s="1131" t="s">
        <v>1949</v>
      </c>
      <c r="C45" s="3769">
        <f>Table4!C17</f>
        <v>17109.88813970903</v>
      </c>
      <c r="D45" s="3774">
        <f>Table4!D17</f>
        <v>295.13144140299278</v>
      </c>
      <c r="E45" s="3774">
        <f>Table4!E17</f>
        <v>9.7104511389349639</v>
      </c>
      <c r="F45" s="3754"/>
      <c r="G45" s="3754"/>
      <c r="H45" s="3754"/>
      <c r="I45" s="3754"/>
      <c r="J45" s="3754"/>
      <c r="K45" s="3756">
        <f>Table4!F17</f>
        <v>574.75859541891771</v>
      </c>
      <c r="L45" s="3756">
        <f>Table4!G17</f>
        <v>14821.822229498157</v>
      </c>
      <c r="M45" s="3756">
        <f>Table4!H17</f>
        <v>312.98708789874246</v>
      </c>
      <c r="N45" s="3775"/>
      <c r="O45" s="3717">
        <f t="shared" si="2"/>
        <v>27946.838050810591</v>
      </c>
    </row>
    <row r="46" spans="2:15" ht="18" customHeight="1" x14ac:dyDescent="0.25">
      <c r="B46" s="1131" t="s">
        <v>1950</v>
      </c>
      <c r="C46" s="3769">
        <f>Table4!C20</f>
        <v>323.13623179214591</v>
      </c>
      <c r="D46" s="3774">
        <f>Table4!D20</f>
        <v>94.517210619913016</v>
      </c>
      <c r="E46" s="3774">
        <f>Table4!E20</f>
        <v>0.42033907360591199</v>
      </c>
      <c r="F46" s="3754"/>
      <c r="G46" s="3754"/>
      <c r="H46" s="3754"/>
      <c r="I46" s="3754"/>
      <c r="J46" s="3754"/>
      <c r="K46" s="3756">
        <f>Table4!F20</f>
        <v>30.793102872003235</v>
      </c>
      <c r="L46" s="3756">
        <f>Table4!G20</f>
        <v>738.3853389597615</v>
      </c>
      <c r="M46" s="3756">
        <f>Table4!H20</f>
        <v>0.47379725916584697</v>
      </c>
      <c r="N46" s="3775"/>
      <c r="O46" s="3717">
        <f t="shared" si="2"/>
        <v>3081.0079836552768</v>
      </c>
    </row>
    <row r="47" spans="2:15" ht="18" customHeight="1" x14ac:dyDescent="0.25">
      <c r="B47" s="1131" t="s">
        <v>1951</v>
      </c>
      <c r="C47" s="3769">
        <f>Table4!C23</f>
        <v>4426.1221010674635</v>
      </c>
      <c r="D47" s="3774">
        <f>Table4!D23</f>
        <v>1.9785905705303795</v>
      </c>
      <c r="E47" s="3776">
        <f>Table4!E23</f>
        <v>6.2237409078646763E-2</v>
      </c>
      <c r="F47" s="3754"/>
      <c r="G47" s="3754"/>
      <c r="H47" s="3754"/>
      <c r="I47" s="3754"/>
      <c r="J47" s="3754"/>
      <c r="K47" s="3756">
        <f>Table4!F23</f>
        <v>1.4898315903100774</v>
      </c>
      <c r="L47" s="3756">
        <f>Table4!G23</f>
        <v>58.35010154758573</v>
      </c>
      <c r="M47" s="3756">
        <f>Table4!H23</f>
        <v>7.0533089782795928</v>
      </c>
      <c r="N47" s="1842"/>
      <c r="O47" s="3717">
        <f t="shared" si="2"/>
        <v>4498.0155504481554</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-3934.8637752528084</v>
      </c>
      <c r="D49" s="3736"/>
      <c r="E49" s="3736"/>
      <c r="F49" s="3736"/>
      <c r="G49" s="3736"/>
      <c r="H49" s="3736"/>
      <c r="I49" s="3736"/>
      <c r="J49" s="3736"/>
      <c r="K49" s="3736"/>
      <c r="L49" s="3736"/>
      <c r="M49" s="3736"/>
      <c r="N49" s="3781"/>
      <c r="O49" s="3721">
        <f t="shared" si="2"/>
        <v>-3934.8637752528084</v>
      </c>
    </row>
    <row r="50" spans="2:15" ht="18" customHeight="1" thickBot="1" x14ac:dyDescent="0.3">
      <c r="B50" s="1375" t="s">
        <v>1954</v>
      </c>
      <c r="C50" s="3782">
        <f>Table4!C30</f>
        <v>1.4609316963755554</v>
      </c>
      <c r="D50" s="3783" t="str">
        <f>Table4!D30</f>
        <v>NO</v>
      </c>
      <c r="E50" s="3783">
        <f>Table4!E30</f>
        <v>0.15863280249112216</v>
      </c>
      <c r="F50" s="3762"/>
      <c r="G50" s="3762"/>
      <c r="H50" s="3762"/>
      <c r="I50" s="3762"/>
      <c r="J50" s="3762"/>
      <c r="K50" s="3784" t="str">
        <f>Table4!F30</f>
        <v>NO</v>
      </c>
      <c r="L50" s="3784" t="str">
        <f>Table4!G30</f>
        <v>NO</v>
      </c>
      <c r="M50" s="3784" t="str">
        <f>Table4!H30</f>
        <v>NO</v>
      </c>
      <c r="N50" s="3785" t="s">
        <v>199</v>
      </c>
      <c r="O50" s="3747">
        <f t="shared" si="2"/>
        <v>43.498624356522924</v>
      </c>
    </row>
    <row r="51" spans="2:15" ht="18" customHeight="1" x14ac:dyDescent="0.25">
      <c r="B51" s="1376" t="s">
        <v>1955</v>
      </c>
      <c r="C51" s="3786">
        <f>Table5!C10</f>
        <v>30.629801780740696</v>
      </c>
      <c r="D51" s="3748">
        <f>Table5!D10</f>
        <v>495.63148589773073</v>
      </c>
      <c r="E51" s="3749">
        <f>Table5!E10</f>
        <v>1.2812867753564194</v>
      </c>
      <c r="F51" s="3750"/>
      <c r="G51" s="3750"/>
      <c r="H51" s="3750"/>
      <c r="I51" s="3750"/>
      <c r="J51" s="3750"/>
      <c r="K51" s="3751" t="str">
        <f>Table5!F10</f>
        <v>NO</v>
      </c>
      <c r="L51" s="3751" t="str">
        <f>Table5!G10</f>
        <v>NO</v>
      </c>
      <c r="M51" s="3751">
        <f>Table5!H10</f>
        <v>240.47556686670018</v>
      </c>
      <c r="N51" s="3752" t="str">
        <f>Table5!I10</f>
        <v>NO</v>
      </c>
      <c r="O51" s="3787">
        <f t="shared" si="2"/>
        <v>14247.852402386652</v>
      </c>
    </row>
    <row r="52" spans="2:15" ht="18" customHeight="1" x14ac:dyDescent="0.25">
      <c r="B52" s="1131" t="s">
        <v>1956</v>
      </c>
      <c r="C52" s="3758"/>
      <c r="D52" s="3753">
        <f>Table5!D11</f>
        <v>398.04985516827048</v>
      </c>
      <c r="E52" s="3788"/>
      <c r="F52" s="3750"/>
      <c r="G52" s="3750"/>
      <c r="H52" s="3750"/>
      <c r="I52" s="3750"/>
      <c r="J52" s="3750"/>
      <c r="K52" s="3756" t="str">
        <f>Table5!F11</f>
        <v>NO</v>
      </c>
      <c r="L52" s="3756" t="str">
        <f>Table5!G11</f>
        <v>NO</v>
      </c>
      <c r="M52" s="3756">
        <f>Table5!H11</f>
        <v>2.9795963965577394</v>
      </c>
      <c r="N52" s="3755"/>
      <c r="O52" s="3787">
        <f t="shared" si="2"/>
        <v>11145.395944711574</v>
      </c>
    </row>
    <row r="53" spans="2:15" ht="18" customHeight="1" x14ac:dyDescent="0.25">
      <c r="B53" s="1131" t="s">
        <v>1957</v>
      </c>
      <c r="C53" s="3758"/>
      <c r="D53" s="3753">
        <f>Table5!D15</f>
        <v>4.0213965150000002</v>
      </c>
      <c r="E53" s="3753">
        <f>Table5!E15</f>
        <v>0.51473875392000001</v>
      </c>
      <c r="F53" s="3754"/>
      <c r="G53" s="3754"/>
      <c r="H53" s="3754"/>
      <c r="I53" s="3754"/>
      <c r="J53" s="3754"/>
      <c r="K53" s="3756" t="str">
        <f>Table5!F15</f>
        <v>NA,NE</v>
      </c>
      <c r="L53" s="3756" t="str">
        <f>Table5!G15</f>
        <v>NA,NE</v>
      </c>
      <c r="M53" s="3756" t="str">
        <f>Table5!H15</f>
        <v>NA,NE</v>
      </c>
      <c r="N53" s="3755"/>
      <c r="O53" s="3716">
        <f t="shared" si="2"/>
        <v>249.00487220880001</v>
      </c>
    </row>
    <row r="54" spans="2:15" ht="18" customHeight="1" x14ac:dyDescent="0.25">
      <c r="B54" s="1131" t="s">
        <v>1958</v>
      </c>
      <c r="C54" s="3817">
        <f>Table5!C18</f>
        <v>30.629801780740696</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30.629801780740696</v>
      </c>
    </row>
    <row r="55" spans="2:15" ht="18" customHeight="1" x14ac:dyDescent="0.25">
      <c r="B55" s="1131" t="s">
        <v>1959</v>
      </c>
      <c r="C55" s="3735"/>
      <c r="D55" s="3722">
        <f>Table5!D21</f>
        <v>93.560234214460223</v>
      </c>
      <c r="E55" s="3722">
        <f>Table5!E21</f>
        <v>0.76654802143641942</v>
      </c>
      <c r="F55" s="3754"/>
      <c r="G55" s="3754"/>
      <c r="H55" s="3754"/>
      <c r="I55" s="3754"/>
      <c r="J55" s="3754"/>
      <c r="K55" s="3756" t="str">
        <f>Table5!F21</f>
        <v>NO</v>
      </c>
      <c r="L55" s="3756" t="str">
        <f>Table5!G21</f>
        <v>NO</v>
      </c>
      <c r="M55" s="3756">
        <f>Table5!H21</f>
        <v>237.49597047014242</v>
      </c>
      <c r="N55" s="3755"/>
      <c r="O55" s="3791">
        <f t="shared" si="2"/>
        <v>2822.8217836855374</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12910.479500000001</v>
      </c>
      <c r="D61" s="3802">
        <f>Table1!D52</f>
        <v>0.25329020953488374</v>
      </c>
      <c r="E61" s="3802">
        <f>Table1!E52</f>
        <v>0.1199910280188005</v>
      </c>
      <c r="F61" s="615"/>
      <c r="G61" s="615"/>
      <c r="H61" s="615"/>
      <c r="I61" s="615"/>
      <c r="J61" s="615"/>
      <c r="K61" s="3802">
        <f>Table1!F52</f>
        <v>119.07784030521665</v>
      </c>
      <c r="L61" s="3802">
        <f>Table1!G52</f>
        <v>18.208737808470012</v>
      </c>
      <c r="M61" s="3802">
        <f>Table1!H52</f>
        <v>10.018073061122644</v>
      </c>
      <c r="N61" s="3803">
        <f>Table1!I52</f>
        <v>41.777424159244276</v>
      </c>
      <c r="O61" s="3787">
        <f t="shared" ref="O61:O67" si="4">IF(SUM(C61:J61)=0,"NO",SUM(C61,F61:H61)+28*SUM(D61)+265*SUM(E61)+23500*SUM(I61)+16100*SUM(J61))</f>
        <v>12949.36924829196</v>
      </c>
    </row>
    <row r="62" spans="2:15" ht="18" customHeight="1" x14ac:dyDescent="0.25">
      <c r="B62" s="1370" t="s">
        <v>218</v>
      </c>
      <c r="C62" s="3804">
        <f>Table1!C53</f>
        <v>10472.016000000001</v>
      </c>
      <c r="D62" s="620">
        <f>Table1!D53</f>
        <v>2.0785209534883727E-2</v>
      </c>
      <c r="E62" s="620">
        <f>Table1!E53</f>
        <v>5.3561028018800499E-2</v>
      </c>
      <c r="F62" s="615"/>
      <c r="G62" s="615"/>
      <c r="H62" s="615"/>
      <c r="I62" s="615"/>
      <c r="J62" s="2161"/>
      <c r="K62" s="620">
        <f>Table1!F53</f>
        <v>53.347140305216648</v>
      </c>
      <c r="L62" s="620">
        <f>Table1!G53</f>
        <v>16.549142808470013</v>
      </c>
      <c r="M62" s="620">
        <f>Table1!H53</f>
        <v>7.9538330611226442</v>
      </c>
      <c r="N62" s="622">
        <f>Table1!I53</f>
        <v>1.2337720000000003</v>
      </c>
      <c r="O62" s="3716">
        <f t="shared" si="4"/>
        <v>10486.791658291961</v>
      </c>
    </row>
    <row r="63" spans="2:15" ht="18" customHeight="1" x14ac:dyDescent="0.25">
      <c r="B63" s="1379" t="s">
        <v>1963</v>
      </c>
      <c r="C63" s="3804">
        <f>Table1!C54</f>
        <v>2438.4634999999998</v>
      </c>
      <c r="D63" s="617">
        <f>Table1!D54</f>
        <v>0.23250500000000002</v>
      </c>
      <c r="E63" s="617">
        <f>Table1!E54</f>
        <v>6.6430000000000003E-2</v>
      </c>
      <c r="F63" s="615"/>
      <c r="G63" s="615"/>
      <c r="H63" s="615"/>
      <c r="I63" s="615"/>
      <c r="J63" s="615"/>
      <c r="K63" s="617">
        <f>Table1!F54</f>
        <v>65.730700000000013</v>
      </c>
      <c r="L63" s="617">
        <f>Table1!G54</f>
        <v>1.6595950000000002</v>
      </c>
      <c r="M63" s="617">
        <f>Table1!H54</f>
        <v>2.0642400000000003</v>
      </c>
      <c r="N63" s="619">
        <f>Table1!I54</f>
        <v>40.543652159244274</v>
      </c>
      <c r="O63" s="3717">
        <f t="shared" si="4"/>
        <v>2462.5775899999999</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16529.063075565657</v>
      </c>
      <c r="D65" s="3806"/>
      <c r="E65" s="3806"/>
      <c r="F65" s="3807"/>
      <c r="G65" s="3807"/>
      <c r="H65" s="3807"/>
      <c r="I65" s="3807"/>
      <c r="J65" s="3806"/>
      <c r="K65" s="3806"/>
      <c r="L65" s="3806"/>
      <c r="M65" s="3806"/>
      <c r="N65" s="3808"/>
      <c r="O65" s="3773">
        <f t="shared" si="4"/>
        <v>16529.063075565657</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287376.68198365142</v>
      </c>
      <c r="D67" s="3807"/>
      <c r="E67" s="3807"/>
      <c r="F67" s="3811"/>
      <c r="G67" s="3807"/>
      <c r="H67" s="3807"/>
      <c r="I67" s="3807"/>
      <c r="J67" s="3807"/>
      <c r="K67" s="3807"/>
      <c r="L67" s="3807"/>
      <c r="M67" s="3807"/>
      <c r="N67" s="3812"/>
      <c r="O67" s="3721">
        <f t="shared" si="4"/>
        <v>287376.68198365142</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385961.97760480928</v>
      </c>
      <c r="D10" s="3798">
        <f>IFERROR(Summary1!D10*28,Summary1!D10)</f>
        <v>139304.11826253321</v>
      </c>
      <c r="E10" s="3798">
        <f>IFERROR(Summary1!E10*265,Summary1!E10)</f>
        <v>21186.565326170472</v>
      </c>
      <c r="F10" s="3798">
        <f>Summary1!F10</f>
        <v>7816.4186628708085</v>
      </c>
      <c r="G10" s="3798">
        <f>Summary1!G10</f>
        <v>265.12979067717396</v>
      </c>
      <c r="H10" s="3798" t="str">
        <f>Summary1!H10</f>
        <v>NO</v>
      </c>
      <c r="I10" s="3827">
        <f>IFERROR(Summary1!I10*23500,Summary1!I10)</f>
        <v>117.94335057564615</v>
      </c>
      <c r="J10" s="4181" t="str">
        <f>IFERROR(Summary1!J10*16100,Summary1!J10)</f>
        <v>NO</v>
      </c>
      <c r="K10" s="3799">
        <f>IF(SUM(C10:J10)=0,"NO",SUM(C10:J10))</f>
        <v>554652.1529976367</v>
      </c>
    </row>
    <row r="11" spans="2:12" ht="18" customHeight="1" x14ac:dyDescent="0.2">
      <c r="B11" s="1549" t="s">
        <v>1921</v>
      </c>
      <c r="C11" s="3767">
        <f>Summary1!C11</f>
        <v>382667.64405213739</v>
      </c>
      <c r="D11" s="3767">
        <f>IFERROR(Summary1!D11*28,Summary1!D11)</f>
        <v>38590.101228136838</v>
      </c>
      <c r="E11" s="3767">
        <f>IFERROR(Summary1!E11*265,Summary1!E11)</f>
        <v>3259.4705405774857</v>
      </c>
      <c r="F11" s="1550"/>
      <c r="G11" s="1550"/>
      <c r="H11" s="1551"/>
      <c r="I11" s="1551"/>
      <c r="J11" s="613"/>
      <c r="K11" s="3828">
        <f t="shared" ref="K11:K55" si="0">IF(SUM(C11:J11)=0,"NO",SUM(C11:J11))</f>
        <v>424517.21582085174</v>
      </c>
      <c r="L11" s="19"/>
    </row>
    <row r="12" spans="2:12" ht="18" customHeight="1" x14ac:dyDescent="0.2">
      <c r="B12" s="606" t="s">
        <v>242</v>
      </c>
      <c r="C12" s="3756">
        <f>Summary1!C12</f>
        <v>374373.11996466469</v>
      </c>
      <c r="D12" s="3756">
        <f>IFERROR(Summary1!D12*28,Summary1!D12)</f>
        <v>2228.1800401743117</v>
      </c>
      <c r="E12" s="3756">
        <f>IFERROR(Summary1!E12*265,Summary1!E12)</f>
        <v>3229.0948764136888</v>
      </c>
      <c r="F12" s="615"/>
      <c r="G12" s="615"/>
      <c r="H12" s="615"/>
      <c r="I12" s="69"/>
      <c r="J12" s="69"/>
      <c r="K12" s="3829">
        <f t="shared" si="0"/>
        <v>379830.39488125272</v>
      </c>
      <c r="L12" s="19"/>
    </row>
    <row r="13" spans="2:12" ht="18" customHeight="1" x14ac:dyDescent="0.2">
      <c r="B13" s="1391" t="s">
        <v>1923</v>
      </c>
      <c r="C13" s="3756">
        <f>Summary1!C13</f>
        <v>220698.04942543415</v>
      </c>
      <c r="D13" s="3756">
        <f>IFERROR(Summary1!D13*28,Summary1!D13)</f>
        <v>611.27552982679276</v>
      </c>
      <c r="E13" s="3756">
        <f>IFERROR(Summary1!E13*265,Summary1!E13)</f>
        <v>1091.4607833043308</v>
      </c>
      <c r="F13" s="615"/>
      <c r="G13" s="615"/>
      <c r="H13" s="615"/>
      <c r="I13" s="69"/>
      <c r="J13" s="69"/>
      <c r="K13" s="3829">
        <f t="shared" si="0"/>
        <v>222400.78573856526</v>
      </c>
      <c r="L13" s="19"/>
    </row>
    <row r="14" spans="2:12" ht="18" customHeight="1" x14ac:dyDescent="0.2">
      <c r="B14" s="1391" t="s">
        <v>1976</v>
      </c>
      <c r="C14" s="3756">
        <f>Summary1!C14</f>
        <v>42444.02596621681</v>
      </c>
      <c r="D14" s="3756">
        <f>IFERROR(Summary1!D14*28,Summary1!D14)</f>
        <v>66.805629414550651</v>
      </c>
      <c r="E14" s="3756">
        <f>IFERROR(Summary1!E14*265,Summary1!E14)</f>
        <v>364.39067372136594</v>
      </c>
      <c r="F14" s="615"/>
      <c r="G14" s="615"/>
      <c r="H14" s="615"/>
      <c r="I14" s="69"/>
      <c r="J14" s="69"/>
      <c r="K14" s="3829">
        <f t="shared" si="0"/>
        <v>42875.222269352729</v>
      </c>
      <c r="L14" s="19"/>
    </row>
    <row r="15" spans="2:12" ht="18" customHeight="1" x14ac:dyDescent="0.2">
      <c r="B15" s="1391" t="s">
        <v>1925</v>
      </c>
      <c r="C15" s="3756">
        <f>Summary1!C15</f>
        <v>89746.900002213864</v>
      </c>
      <c r="D15" s="3756">
        <f>IFERROR(Summary1!D15*28,Summary1!D15)</f>
        <v>449.93681892811787</v>
      </c>
      <c r="E15" s="3756">
        <f>IFERROR(Summary1!E15*265,Summary1!E15)</f>
        <v>1590.2426242165748</v>
      </c>
      <c r="F15" s="615"/>
      <c r="G15" s="615"/>
      <c r="H15" s="615"/>
      <c r="I15" s="69"/>
      <c r="J15" s="69"/>
      <c r="K15" s="3829">
        <f t="shared" si="0"/>
        <v>91787.07944535857</v>
      </c>
      <c r="L15" s="19"/>
    </row>
    <row r="16" spans="2:12" ht="18" customHeight="1" x14ac:dyDescent="0.2">
      <c r="B16" s="1391" t="s">
        <v>1926</v>
      </c>
      <c r="C16" s="3756">
        <f>Summary1!C16</f>
        <v>20619.970448276905</v>
      </c>
      <c r="D16" s="3756">
        <f>IFERROR(Summary1!D16*28,Summary1!D16)</f>
        <v>1099.2776105082598</v>
      </c>
      <c r="E16" s="3756">
        <f>IFERROR(Summary1!E16*265,Summary1!E16)</f>
        <v>176.52806938210668</v>
      </c>
      <c r="F16" s="615"/>
      <c r="G16" s="615"/>
      <c r="H16" s="615"/>
      <c r="I16" s="69"/>
      <c r="J16" s="69"/>
      <c r="K16" s="3829">
        <f t="shared" si="0"/>
        <v>21895.776128167272</v>
      </c>
      <c r="L16" s="19"/>
    </row>
    <row r="17" spans="2:12" ht="18" customHeight="1" x14ac:dyDescent="0.2">
      <c r="B17" s="1391" t="s">
        <v>1927</v>
      </c>
      <c r="C17" s="3756">
        <f>Summary1!C17</f>
        <v>864.17412252301722</v>
      </c>
      <c r="D17" s="3756">
        <f>IFERROR(Summary1!D17*28,Summary1!D17)</f>
        <v>0.88445149659086042</v>
      </c>
      <c r="E17" s="3756">
        <f>IFERROR(Summary1!E17*265,Summary1!E17)</f>
        <v>6.4727257893107017</v>
      </c>
      <c r="F17" s="615"/>
      <c r="G17" s="615"/>
      <c r="H17" s="615"/>
      <c r="I17" s="69"/>
      <c r="J17" s="69"/>
      <c r="K17" s="3829">
        <f t="shared" si="0"/>
        <v>871.53129980891879</v>
      </c>
      <c r="L17" s="19"/>
    </row>
    <row r="18" spans="2:12" ht="18" customHeight="1" x14ac:dyDescent="0.2">
      <c r="B18" s="606" t="s">
        <v>201</v>
      </c>
      <c r="C18" s="3756">
        <f>Summary1!C18</f>
        <v>8294.5240874727278</v>
      </c>
      <c r="D18" s="3756">
        <f>IFERROR(Summary1!D18*28,Summary1!D18)</f>
        <v>36361.921187962529</v>
      </c>
      <c r="E18" s="3756">
        <f>IFERROR(Summary1!E18*265,Summary1!E18)</f>
        <v>30.375664163796426</v>
      </c>
      <c r="F18" s="615"/>
      <c r="G18" s="615"/>
      <c r="H18" s="615"/>
      <c r="I18" s="69"/>
      <c r="J18" s="69"/>
      <c r="K18" s="3829">
        <f t="shared" si="0"/>
        <v>44686.820939599049</v>
      </c>
      <c r="L18" s="19"/>
    </row>
    <row r="19" spans="2:12" ht="18" customHeight="1" x14ac:dyDescent="0.2">
      <c r="B19" s="1391" t="s">
        <v>1928</v>
      </c>
      <c r="C19" s="3756">
        <f>Summary1!C19</f>
        <v>1580.216366257682</v>
      </c>
      <c r="D19" s="3756">
        <f>IFERROR(Summary1!D19*28,Summary1!D19)</f>
        <v>29999.087913618678</v>
      </c>
      <c r="E19" s="3756">
        <f>IFERROR(Summary1!E19*265,Summary1!E19)</f>
        <v>9.3634103224227161E-2</v>
      </c>
      <c r="F19" s="615"/>
      <c r="G19" s="615"/>
      <c r="H19" s="615"/>
      <c r="I19" s="69"/>
      <c r="J19" s="69"/>
      <c r="K19" s="3829">
        <f t="shared" si="0"/>
        <v>31579.397913979585</v>
      </c>
      <c r="L19" s="19"/>
    </row>
    <row r="20" spans="2:12" ht="18" customHeight="1" x14ac:dyDescent="0.2">
      <c r="B20" s="1392" t="s">
        <v>1929</v>
      </c>
      <c r="C20" s="3756">
        <f>Summary1!C20</f>
        <v>6714.3077212150456</v>
      </c>
      <c r="D20" s="3756">
        <f>IFERROR(Summary1!D20*28,Summary1!D20)</f>
        <v>6362.8332743438486</v>
      </c>
      <c r="E20" s="3756">
        <f>IFERROR(Summary1!E20*265,Summary1!E20)</f>
        <v>30.2820300605722</v>
      </c>
      <c r="F20" s="615"/>
      <c r="G20" s="615"/>
      <c r="H20" s="615"/>
      <c r="I20" s="69"/>
      <c r="J20" s="69"/>
      <c r="K20" s="3829">
        <f t="shared" si="0"/>
        <v>13107.423025619466</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21453.352539628704</v>
      </c>
      <c r="D22" s="3767">
        <f>IFERROR(Summary1!D22*28,Summary1!D22)</f>
        <v>84.36570459072</v>
      </c>
      <c r="E22" s="3767">
        <f>IFERROR(Summary1!E22*265,Summary1!E22)</f>
        <v>2158.2144264774756</v>
      </c>
      <c r="F22" s="3767">
        <f>Summary1!F22</f>
        <v>7816.4186628708085</v>
      </c>
      <c r="G22" s="3767">
        <f>Summary1!G22</f>
        <v>265.12979067717396</v>
      </c>
      <c r="H22" s="3767" t="str">
        <f>Summary1!H22</f>
        <v>NO</v>
      </c>
      <c r="I22" s="3767">
        <f>IFERROR(Summary1!I22*23500,Summary1!I22)</f>
        <v>117.94335057564615</v>
      </c>
      <c r="J22" s="3831" t="str">
        <f>IFERROR(Summary1!J22*16100,Summary1!J22)</f>
        <v>NO</v>
      </c>
      <c r="K22" s="3828">
        <f t="shared" si="0"/>
        <v>31895.424474820527</v>
      </c>
      <c r="L22" s="19"/>
    </row>
    <row r="23" spans="2:12" ht="18" customHeight="1" x14ac:dyDescent="0.2">
      <c r="B23" s="1393" t="s">
        <v>1932</v>
      </c>
      <c r="C23" s="3756">
        <f>Summary1!C23</f>
        <v>6411.455571665676</v>
      </c>
      <c r="D23" s="615"/>
      <c r="E23" s="615"/>
      <c r="F23" s="615"/>
      <c r="G23" s="615"/>
      <c r="H23" s="615"/>
      <c r="I23" s="69"/>
      <c r="J23" s="69"/>
      <c r="K23" s="3829">
        <f t="shared" si="0"/>
        <v>6411.455571665676</v>
      </c>
      <c r="L23" s="19"/>
    </row>
    <row r="24" spans="2:12" ht="18" customHeight="1" x14ac:dyDescent="0.2">
      <c r="B24" s="1393" t="s">
        <v>846</v>
      </c>
      <c r="C24" s="3756">
        <f>Summary1!C24</f>
        <v>3232.4648896797153</v>
      </c>
      <c r="D24" s="3756">
        <f>IFERROR(Summary1!D24*28,Summary1!D24)</f>
        <v>16.177380800000002</v>
      </c>
      <c r="E24" s="3756">
        <f>IFERROR(Summary1!E24*265,Summary1!E24)</f>
        <v>2141.1576904064573</v>
      </c>
      <c r="F24" s="1949" t="str">
        <f>Summary1!F24</f>
        <v>NO</v>
      </c>
      <c r="G24" s="1949" t="str">
        <f>Summary1!G24</f>
        <v>NO</v>
      </c>
      <c r="H24" s="1949" t="str">
        <f>Summary1!H24</f>
        <v>NO</v>
      </c>
      <c r="I24" s="602" t="str">
        <f>IFERROR(Summary1!I24*23500,Summary1!I24)</f>
        <v>NO</v>
      </c>
      <c r="J24" s="602" t="str">
        <f>IFERROR(Summary1!J24*16100,Summary1!J24)</f>
        <v>NO</v>
      </c>
      <c r="K24" s="3829">
        <f t="shared" si="0"/>
        <v>5389.7999608861719</v>
      </c>
      <c r="L24" s="19"/>
    </row>
    <row r="25" spans="2:12" ht="18" customHeight="1" x14ac:dyDescent="0.2">
      <c r="B25" s="1393" t="s">
        <v>637</v>
      </c>
      <c r="C25" s="3756">
        <f>Summary1!C25</f>
        <v>11398.781007211961</v>
      </c>
      <c r="D25" s="3756">
        <f>IFERROR(Summary1!D25*28,Summary1!D25)</f>
        <v>68.188323790720005</v>
      </c>
      <c r="E25" s="3756">
        <f>IFERROR(Summary1!E25*265,Summary1!E25)</f>
        <v>17.05673607101857</v>
      </c>
      <c r="F25" s="1949" t="str">
        <f>Summary1!F25</f>
        <v>NO</v>
      </c>
      <c r="G25" s="3756">
        <f>Summary1!G25</f>
        <v>265.12979067717396</v>
      </c>
      <c r="H25" s="3756" t="str">
        <f>Summary1!H25</f>
        <v>NO</v>
      </c>
      <c r="I25" s="3756" t="str">
        <f>IFERROR(Summary1!I25*23500,Summary1!I25)</f>
        <v>NO</v>
      </c>
      <c r="J25" s="3756" t="str">
        <f>IFERROR(Summary1!J25*16100,Summary1!J25)</f>
        <v>NO</v>
      </c>
      <c r="K25" s="3829">
        <f t="shared" si="0"/>
        <v>11749.155857750875</v>
      </c>
      <c r="L25" s="19"/>
    </row>
    <row r="26" spans="2:12" ht="18" customHeight="1" x14ac:dyDescent="0.2">
      <c r="B26" s="1394" t="s">
        <v>1978</v>
      </c>
      <c r="C26" s="3756">
        <f>Summary1!C26</f>
        <v>192.64508823</v>
      </c>
      <c r="D26" s="3756" t="str">
        <f>IFERROR(Summary1!D26*28,Summary1!D26)</f>
        <v>NO</v>
      </c>
      <c r="E26" s="3756" t="str">
        <f>IFERROR(Summary1!E26*265,Summary1!E26)</f>
        <v>NO</v>
      </c>
      <c r="F26" s="615"/>
      <c r="G26" s="615"/>
      <c r="H26" s="615"/>
      <c r="I26" s="69"/>
      <c r="J26" s="69"/>
      <c r="K26" s="3829">
        <f t="shared" si="0"/>
        <v>192.64508823</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7816.4186628708085</v>
      </c>
      <c r="G28" s="3756" t="str">
        <f>Summary1!G28</f>
        <v>NO</v>
      </c>
      <c r="H28" s="3756" t="str">
        <f>Summary1!H28</f>
        <v>NO</v>
      </c>
      <c r="I28" s="3756" t="str">
        <f>IFERROR(Summary1!I28*23500,Summary1!I28)</f>
        <v>NO</v>
      </c>
      <c r="J28" s="3756" t="str">
        <f>IFERROR(Summary1!J28*16100,Summary1!J28)</f>
        <v>NO</v>
      </c>
      <c r="K28" s="3829">
        <f t="shared" si="0"/>
        <v>7816.4186628708085</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117.94335057564615</v>
      </c>
      <c r="J29" s="3756" t="str">
        <f>IFERROR(Summary1!J29*16100,Summary1!J29)</f>
        <v>NO</v>
      </c>
      <c r="K29" s="3829">
        <f t="shared" si="0"/>
        <v>117.94335057564615</v>
      </c>
      <c r="L29" s="19"/>
    </row>
    <row r="30" spans="2:12" ht="18" customHeight="1" thickBot="1" x14ac:dyDescent="0.25">
      <c r="B30" s="1406" t="s">
        <v>1982</v>
      </c>
      <c r="C30" s="3784">
        <f>Summary1!C30</f>
        <v>218.00598284134924</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218.00598284134924</v>
      </c>
      <c r="L30" s="19"/>
    </row>
    <row r="31" spans="2:12" ht="18" customHeight="1" x14ac:dyDescent="0.2">
      <c r="B31" s="780" t="s">
        <v>1937</v>
      </c>
      <c r="C31" s="3767">
        <f>Summary1!C31</f>
        <v>2045.0737274324219</v>
      </c>
      <c r="D31" s="3767">
        <f>IFERROR(Summary1!D31*28,Summary1!D31)</f>
        <v>67121.22097403821</v>
      </c>
      <c r="E31" s="3767">
        <f>IFERROR(Summary1!E31*265,Summary1!E31)</f>
        <v>10768.795372674102</v>
      </c>
      <c r="F31" s="1550"/>
      <c r="G31" s="1550"/>
      <c r="H31" s="1550"/>
      <c r="I31" s="1553"/>
      <c r="J31" s="613"/>
      <c r="K31" s="3828">
        <f t="shared" si="0"/>
        <v>79935.090074144726</v>
      </c>
      <c r="L31" s="19"/>
    </row>
    <row r="32" spans="2:12" ht="18" customHeight="1" x14ac:dyDescent="0.2">
      <c r="B32" s="606" t="s">
        <v>1938</v>
      </c>
      <c r="C32" s="615"/>
      <c r="D32" s="3756">
        <f>IFERROR(Summary1!D32*28,Summary1!D32)</f>
        <v>59481.05033928981</v>
      </c>
      <c r="E32" s="615"/>
      <c r="F32" s="615"/>
      <c r="G32" s="615"/>
      <c r="H32" s="615"/>
      <c r="I32" s="69"/>
      <c r="J32" s="69"/>
      <c r="K32" s="3829">
        <f t="shared" si="0"/>
        <v>59481.05033928981</v>
      </c>
      <c r="L32" s="19"/>
    </row>
    <row r="33" spans="2:12" ht="18" customHeight="1" x14ac:dyDescent="0.2">
      <c r="B33" s="606" t="s">
        <v>1939</v>
      </c>
      <c r="C33" s="615"/>
      <c r="D33" s="3756">
        <f>IFERROR(Summary1!D33*28,Summary1!D33)</f>
        <v>6896.6327222364152</v>
      </c>
      <c r="E33" s="3756">
        <f>IFERROR(Summary1!E33*265,Summary1!E33)</f>
        <v>489.1665974321175</v>
      </c>
      <c r="F33" s="615"/>
      <c r="G33" s="615"/>
      <c r="H33" s="615"/>
      <c r="I33" s="69"/>
      <c r="J33" s="69"/>
      <c r="K33" s="3829">
        <f t="shared" si="0"/>
        <v>7385.7993196685329</v>
      </c>
      <c r="L33" s="19"/>
    </row>
    <row r="34" spans="2:12" ht="18" customHeight="1" x14ac:dyDescent="0.2">
      <c r="B34" s="606" t="s">
        <v>1940</v>
      </c>
      <c r="C34" s="615"/>
      <c r="D34" s="3756">
        <f>IFERROR(Summary1!D34*28,Summary1!D34)</f>
        <v>458.77925800000003</v>
      </c>
      <c r="E34" s="615"/>
      <c r="F34" s="615"/>
      <c r="G34" s="615"/>
      <c r="H34" s="615"/>
      <c r="I34" s="69"/>
      <c r="J34" s="69"/>
      <c r="K34" s="3829">
        <f t="shared" si="0"/>
        <v>458.77925800000003</v>
      </c>
      <c r="L34" s="19"/>
    </row>
    <row r="35" spans="2:12" ht="18" customHeight="1" x14ac:dyDescent="0.2">
      <c r="B35" s="606" t="s">
        <v>1941</v>
      </c>
      <c r="C35" s="1950"/>
      <c r="D35" s="3756" t="str">
        <f>IFERROR(Summary1!D35*28,Summary1!D35)</f>
        <v>NE</v>
      </c>
      <c r="E35" s="3756">
        <f>IFERROR(Summary1!E35*265,Summary1!E35)</f>
        <v>10167.136498205238</v>
      </c>
      <c r="F35" s="615"/>
      <c r="G35" s="615"/>
      <c r="H35" s="615"/>
      <c r="I35" s="69"/>
      <c r="J35" s="69"/>
      <c r="K35" s="3829">
        <f t="shared" si="0"/>
        <v>10167.136498205238</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284.75865451199093</v>
      </c>
      <c r="E37" s="3756">
        <f>IFERROR(Summary1!E37*265,Summary1!E37)</f>
        <v>112.49227703674494</v>
      </c>
      <c r="F37" s="615"/>
      <c r="G37" s="615"/>
      <c r="H37" s="615"/>
      <c r="I37" s="69"/>
      <c r="J37" s="69"/>
      <c r="K37" s="3829">
        <f t="shared" si="0"/>
        <v>397.25093154873588</v>
      </c>
      <c r="L37" s="19"/>
    </row>
    <row r="38" spans="2:12" ht="18" customHeight="1" x14ac:dyDescent="0.2">
      <c r="B38" s="606" t="s">
        <v>955</v>
      </c>
      <c r="C38" s="1949">
        <f>Summary1!C38</f>
        <v>924.61635380044606</v>
      </c>
      <c r="D38" s="3832"/>
      <c r="E38" s="3832"/>
      <c r="F38" s="615"/>
      <c r="G38" s="615"/>
      <c r="H38" s="615"/>
      <c r="I38" s="69"/>
      <c r="J38" s="69"/>
      <c r="K38" s="3829">
        <f t="shared" si="0"/>
        <v>924.61635380044606</v>
      </c>
      <c r="L38" s="19"/>
    </row>
    <row r="39" spans="2:12" ht="18" customHeight="1" x14ac:dyDescent="0.2">
      <c r="B39" s="606" t="s">
        <v>956</v>
      </c>
      <c r="C39" s="1949">
        <f>Summary1!C39</f>
        <v>1120.457373631976</v>
      </c>
      <c r="D39" s="3832"/>
      <c r="E39" s="3832"/>
      <c r="F39" s="615"/>
      <c r="G39" s="615"/>
      <c r="H39" s="615"/>
      <c r="I39" s="69"/>
      <c r="J39" s="69"/>
      <c r="K39" s="3829">
        <f t="shared" si="0"/>
        <v>1120.457373631976</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-20234.722516169961</v>
      </c>
      <c r="D42" s="1952">
        <f>IFERROR(Summary1!D42*28,Summary1!D42)</f>
        <v>19630.74875063101</v>
      </c>
      <c r="E42" s="1952">
        <f>IFERROR(Summary1!E42*265,Summary1!E42)</f>
        <v>4660.543990971958</v>
      </c>
      <c r="F42" s="1550"/>
      <c r="G42" s="1550"/>
      <c r="H42" s="1550"/>
      <c r="I42" s="1553"/>
      <c r="J42" s="613"/>
      <c r="K42" s="3828">
        <f t="shared" si="0"/>
        <v>4056.5702254330072</v>
      </c>
      <c r="L42" s="19"/>
    </row>
    <row r="43" spans="2:12" ht="18" customHeight="1" x14ac:dyDescent="0.2">
      <c r="B43" s="606" t="s">
        <v>1252</v>
      </c>
      <c r="C43" s="1949">
        <f>Summary1!C43</f>
        <v>-37190.547511791498</v>
      </c>
      <c r="D43" s="1949">
        <f>IFERROR(Summary1!D43*28,Summary1!D43)</f>
        <v>8628.3518768821359</v>
      </c>
      <c r="E43" s="1949">
        <f>IFERROR(Summary1!E43*265,Summary1!E43)</f>
        <v>1893.1900832434962</v>
      </c>
      <c r="F43" s="627"/>
      <c r="G43" s="627"/>
      <c r="H43" s="627"/>
      <c r="I43" s="614"/>
      <c r="J43" s="69"/>
      <c r="K43" s="3829">
        <f t="shared" si="0"/>
        <v>-26669.005551665865</v>
      </c>
      <c r="L43" s="19"/>
    </row>
    <row r="44" spans="2:12" ht="18" customHeight="1" x14ac:dyDescent="0.2">
      <c r="B44" s="606" t="s">
        <v>1255</v>
      </c>
      <c r="C44" s="1949">
        <f>Summary1!C44</f>
        <v>-969.91863339067083</v>
      </c>
      <c r="D44" s="1949">
        <f>IFERROR(Summary1!D44*28,Summary1!D44)</f>
        <v>36.834081132658419</v>
      </c>
      <c r="E44" s="1949">
        <f>IFERROR(Summary1!E44*265,Summary1!E44)</f>
        <v>24.163895339139945</v>
      </c>
      <c r="F44" s="627"/>
      <c r="G44" s="627"/>
      <c r="H44" s="627"/>
      <c r="I44" s="614"/>
      <c r="J44" s="69"/>
      <c r="K44" s="3829">
        <f t="shared" si="0"/>
        <v>-908.92065691887251</v>
      </c>
      <c r="L44" s="19"/>
    </row>
    <row r="45" spans="2:12" ht="18" customHeight="1" x14ac:dyDescent="0.2">
      <c r="B45" s="606" t="s">
        <v>1258</v>
      </c>
      <c r="C45" s="1949">
        <f>Summary1!C45</f>
        <v>17109.88813970903</v>
      </c>
      <c r="D45" s="1949">
        <f>IFERROR(Summary1!D45*28,Summary1!D45)</f>
        <v>8263.6803592837969</v>
      </c>
      <c r="E45" s="1949">
        <f>IFERROR(Summary1!E45*265,Summary1!E45)</f>
        <v>2573.2695518177657</v>
      </c>
      <c r="F45" s="627"/>
      <c r="G45" s="627"/>
      <c r="H45" s="627"/>
      <c r="I45" s="614"/>
      <c r="J45" s="69"/>
      <c r="K45" s="3829">
        <f t="shared" si="0"/>
        <v>27946.838050810591</v>
      </c>
      <c r="L45" s="19"/>
    </row>
    <row r="46" spans="2:12" ht="18" customHeight="1" x14ac:dyDescent="0.2">
      <c r="B46" s="606" t="s">
        <v>1984</v>
      </c>
      <c r="C46" s="1949">
        <f>Summary1!C46</f>
        <v>323.13623179214591</v>
      </c>
      <c r="D46" s="1949">
        <f>IFERROR(Summary1!D46*28,Summary1!D46)</f>
        <v>2646.4818973575643</v>
      </c>
      <c r="E46" s="1949">
        <f>IFERROR(Summary1!E46*265,Summary1!E46)</f>
        <v>111.38985450556667</v>
      </c>
      <c r="F46" s="627"/>
      <c r="G46" s="627"/>
      <c r="H46" s="627"/>
      <c r="I46" s="614"/>
      <c r="J46" s="69"/>
      <c r="K46" s="3829">
        <f t="shared" si="0"/>
        <v>3081.0079836552768</v>
      </c>
      <c r="L46" s="19"/>
    </row>
    <row r="47" spans="2:12" ht="18" customHeight="1" x14ac:dyDescent="0.2">
      <c r="B47" s="606" t="s">
        <v>1985</v>
      </c>
      <c r="C47" s="1949">
        <f>Summary1!C47</f>
        <v>4426.1221010674635</v>
      </c>
      <c r="D47" s="1949">
        <f>IFERROR(Summary1!D47*28,Summary1!D47)</f>
        <v>55.400535974850627</v>
      </c>
      <c r="E47" s="1949">
        <f>IFERROR(Summary1!E47*265,Summary1!E47)</f>
        <v>16.492913405841392</v>
      </c>
      <c r="F47" s="627"/>
      <c r="G47" s="627"/>
      <c r="H47" s="627"/>
      <c r="I47" s="614"/>
      <c r="J47" s="69"/>
      <c r="K47" s="3829">
        <f t="shared" si="0"/>
        <v>4498.0155504481554</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-3934.8637752528084</v>
      </c>
      <c r="D49" s="3833"/>
      <c r="E49" s="3833"/>
      <c r="F49" s="627"/>
      <c r="G49" s="627"/>
      <c r="H49" s="627"/>
      <c r="I49" s="614"/>
      <c r="J49" s="69"/>
      <c r="K49" s="3829">
        <f t="shared" si="0"/>
        <v>-3934.8637752528084</v>
      </c>
      <c r="L49" s="19"/>
    </row>
    <row r="50" spans="2:12" ht="18" customHeight="1" thickBot="1" x14ac:dyDescent="0.25">
      <c r="B50" s="1554" t="s">
        <v>1988</v>
      </c>
      <c r="C50" s="1951">
        <f>Summary1!C50</f>
        <v>1.4609316963755554</v>
      </c>
      <c r="D50" s="1951" t="str">
        <f>IFERROR(Summary1!D50*28,Summary1!D50)</f>
        <v>NO</v>
      </c>
      <c r="E50" s="1951">
        <f>IFERROR(Summary1!E50*265,Summary1!E50)</f>
        <v>42.037692660147371</v>
      </c>
      <c r="F50" s="1953"/>
      <c r="G50" s="1953"/>
      <c r="H50" s="1953"/>
      <c r="I50" s="1555"/>
      <c r="J50" s="87"/>
      <c r="K50" s="3830">
        <f t="shared" si="0"/>
        <v>43.498624356522924</v>
      </c>
      <c r="L50" s="19"/>
    </row>
    <row r="51" spans="2:12" ht="18" customHeight="1" x14ac:dyDescent="0.2">
      <c r="B51" s="1549" t="s">
        <v>1955</v>
      </c>
      <c r="C51" s="1952">
        <f>Summary1!C51</f>
        <v>30.629801780740696</v>
      </c>
      <c r="D51" s="1952">
        <f>IFERROR(Summary1!D51*28,Summary1!D51)</f>
        <v>13877.68160513646</v>
      </c>
      <c r="E51" s="1952">
        <f>IFERROR(Summary1!E51*265,Summary1!E51)</f>
        <v>339.54099546945116</v>
      </c>
      <c r="F51" s="1550"/>
      <c r="G51" s="1550"/>
      <c r="H51" s="1550"/>
      <c r="I51" s="1553"/>
      <c r="J51" s="613"/>
      <c r="K51" s="3828">
        <f t="shared" si="0"/>
        <v>14247.852402386652</v>
      </c>
      <c r="L51" s="19"/>
    </row>
    <row r="52" spans="2:12" ht="18" customHeight="1" x14ac:dyDescent="0.2">
      <c r="B52" s="606" t="s">
        <v>1989</v>
      </c>
      <c r="C52" s="615"/>
      <c r="D52" s="1949">
        <f>IFERROR(Summary1!D52*28,Summary1!D52)</f>
        <v>11145.395944711574</v>
      </c>
      <c r="E52" s="627"/>
      <c r="F52" s="615"/>
      <c r="G52" s="615"/>
      <c r="H52" s="615"/>
      <c r="I52" s="69"/>
      <c r="J52" s="69"/>
      <c r="K52" s="3829">
        <f t="shared" si="0"/>
        <v>11145.395944711574</v>
      </c>
      <c r="L52" s="19"/>
    </row>
    <row r="53" spans="2:12" ht="18" customHeight="1" x14ac:dyDescent="0.2">
      <c r="B53" s="1395" t="s">
        <v>1990</v>
      </c>
      <c r="C53" s="615"/>
      <c r="D53" s="1949">
        <f>IFERROR(Summary1!D53*28,Summary1!D53)</f>
        <v>112.59910242000001</v>
      </c>
      <c r="E53" s="1949">
        <f>IFERROR(Summary1!E53*265,Summary1!E53)</f>
        <v>136.4057697888</v>
      </c>
      <c r="F53" s="615"/>
      <c r="G53" s="615"/>
      <c r="H53" s="615"/>
      <c r="I53" s="69"/>
      <c r="J53" s="69"/>
      <c r="K53" s="3829">
        <f t="shared" si="0"/>
        <v>249.00487220880001</v>
      </c>
      <c r="L53" s="19"/>
    </row>
    <row r="54" spans="2:12" ht="18" customHeight="1" x14ac:dyDescent="0.2">
      <c r="B54" s="1396" t="s">
        <v>1991</v>
      </c>
      <c r="C54" s="1949">
        <f>Summary1!C54</f>
        <v>30.629801780740696</v>
      </c>
      <c r="D54" s="1949" t="str">
        <f>IFERROR(Summary1!D54*28,Summary1!D54)</f>
        <v>NO,NE</v>
      </c>
      <c r="E54" s="1949" t="str">
        <f>IFERROR(Summary1!E54*265,Summary1!E54)</f>
        <v>NO,NE</v>
      </c>
      <c r="F54" s="615"/>
      <c r="G54" s="615"/>
      <c r="H54" s="615"/>
      <c r="I54" s="69"/>
      <c r="J54" s="69"/>
      <c r="K54" s="3829">
        <f t="shared" si="0"/>
        <v>30.629801780740696</v>
      </c>
      <c r="L54" s="19"/>
    </row>
    <row r="55" spans="2:12" ht="18" customHeight="1" x14ac:dyDescent="0.2">
      <c r="B55" s="606" t="s">
        <v>1992</v>
      </c>
      <c r="C55" s="615"/>
      <c r="D55" s="1949">
        <f>IFERROR(Summary1!D55*28,Summary1!D55)</f>
        <v>2619.6865580048861</v>
      </c>
      <c r="E55" s="1949">
        <f>IFERROR(Summary1!E55*265,Summary1!E55)</f>
        <v>203.13522568065116</v>
      </c>
      <c r="F55" s="615"/>
      <c r="G55" s="615"/>
      <c r="H55" s="615"/>
      <c r="I55" s="69"/>
      <c r="J55" s="69"/>
      <c r="K55" s="3829">
        <f t="shared" si="0"/>
        <v>2822.8217836855374</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12910.479500000001</v>
      </c>
      <c r="D60" s="617">
        <f>IFERROR(Summary1!D61*28,Summary1!D61)</f>
        <v>7.0921258669767449</v>
      </c>
      <c r="E60" s="617">
        <f>IFERROR(Summary1!E61*265,Summary1!E61)</f>
        <v>31.797622424982134</v>
      </c>
      <c r="F60" s="1957"/>
      <c r="G60" s="1957"/>
      <c r="H60" s="1958"/>
      <c r="I60" s="618"/>
      <c r="J60" s="618"/>
      <c r="K60" s="619">
        <f t="shared" ref="K60:K66" si="2">IF(SUM(C60:J60)=0,"NO",SUM(C60:J60))</f>
        <v>12949.36924829196</v>
      </c>
    </row>
    <row r="61" spans="2:12" ht="18" customHeight="1" x14ac:dyDescent="0.2">
      <c r="B61" s="1385" t="s">
        <v>218</v>
      </c>
      <c r="C61" s="617">
        <f>Summary1!C62</f>
        <v>10472.016000000001</v>
      </c>
      <c r="D61" s="617">
        <f>IFERROR(Summary1!D62*28,Summary1!D62)</f>
        <v>0.58198586697674437</v>
      </c>
      <c r="E61" s="617">
        <f>IFERROR(Summary1!E62*265,Summary1!E62)</f>
        <v>14.193672424982132</v>
      </c>
      <c r="F61" s="615"/>
      <c r="G61" s="615"/>
      <c r="H61" s="615"/>
      <c r="I61" s="621"/>
      <c r="J61" s="621"/>
      <c r="K61" s="622">
        <f t="shared" si="2"/>
        <v>10486.791658291961</v>
      </c>
    </row>
    <row r="62" spans="2:12" ht="18" customHeight="1" x14ac:dyDescent="0.2">
      <c r="B62" s="1386" t="s">
        <v>1963</v>
      </c>
      <c r="C62" s="617">
        <f>Summary1!C63</f>
        <v>2438.4634999999998</v>
      </c>
      <c r="D62" s="617">
        <f>IFERROR(Summary1!D63*28,Summary1!D63)</f>
        <v>6.5101400000000007</v>
      </c>
      <c r="E62" s="617">
        <f>IFERROR(Summary1!E63*265,Summary1!E63)</f>
        <v>17.603950000000001</v>
      </c>
      <c r="F62" s="615"/>
      <c r="G62" s="615"/>
      <c r="H62" s="615"/>
      <c r="I62" s="623"/>
      <c r="J62" s="623"/>
      <c r="K62" s="619">
        <f t="shared" si="2"/>
        <v>2462.5775899999999</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16529.063075565657</v>
      </c>
      <c r="D64" s="627"/>
      <c r="E64" s="627"/>
      <c r="F64" s="627"/>
      <c r="G64" s="627"/>
      <c r="H64" s="627"/>
      <c r="I64" s="614"/>
      <c r="J64" s="614"/>
      <c r="K64" s="628">
        <f t="shared" si="2"/>
        <v>16529.063075565657</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287376.68198365142</v>
      </c>
      <c r="D66" s="631"/>
      <c r="E66" s="631"/>
      <c r="F66" s="631"/>
      <c r="G66" s="631"/>
      <c r="H66" s="631"/>
      <c r="I66" s="630"/>
      <c r="J66" s="630"/>
      <c r="K66" s="632">
        <f t="shared" si="2"/>
        <v>287376.68198365142</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550595.58277220372</v>
      </c>
      <c r="N71" s="1122"/>
    </row>
    <row r="72" spans="2:14" s="636" customFormat="1" ht="18" customHeight="1" x14ac:dyDescent="0.25">
      <c r="B72" s="640"/>
      <c r="C72" s="641"/>
      <c r="D72" s="641"/>
      <c r="E72" s="641"/>
      <c r="F72" s="641"/>
      <c r="G72" s="641"/>
      <c r="H72" s="641"/>
      <c r="I72" s="641"/>
      <c r="J72" s="2573" t="s">
        <v>1999</v>
      </c>
      <c r="K72" s="628">
        <f>K10</f>
        <v>554652.1529976367</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786243.89252554555</v>
      </c>
      <c r="D10" s="3055" t="s">
        <v>97</v>
      </c>
      <c r="E10" s="615"/>
      <c r="F10" s="615"/>
      <c r="G10" s="615"/>
      <c r="H10" s="4219">
        <f>IF(SUM(H11:H15)=0,"NO",SUM(H11:H15))</f>
        <v>42444.02596621681</v>
      </c>
      <c r="I10" s="4219">
        <f t="shared" ref="I10:K10" si="0">IF(SUM(I11:I16)=0,"NO",SUM(I11:I16))</f>
        <v>2.3859153362339516</v>
      </c>
      <c r="J10" s="4226">
        <f t="shared" si="0"/>
        <v>1.3750591461183621</v>
      </c>
      <c r="K10" s="3044" t="str">
        <f t="shared" si="0"/>
        <v>NO</v>
      </c>
    </row>
    <row r="11" spans="2:11" ht="18" customHeight="1" x14ac:dyDescent="0.2">
      <c r="B11" s="282" t="s">
        <v>243</v>
      </c>
      <c r="C11" s="1938">
        <f>IF(SUM(C18,C25,C32,C39,C46,C53,C68,C75,C82,C89,C96,C103,C120,C110:C113)=0,"NO",SUM(C18,C25,C32,C39,C46,C53,C68,C75,C82,C89,C96,C103,C120,C110:C113))</f>
        <v>243000.01000368455</v>
      </c>
      <c r="D11" s="3056" t="s">
        <v>97</v>
      </c>
      <c r="E11" s="1938">
        <f>IFERROR(H11*1000/$C11,"NA")</f>
        <v>69.233647912495513</v>
      </c>
      <c r="F11" s="1938">
        <f t="shared" ref="F11:G16" si="1">IFERROR(I11*1000000/$C11,"NA")</f>
        <v>4.1764371469337487</v>
      </c>
      <c r="G11" s="1938">
        <f t="shared" si="1"/>
        <v>2.1088879743296642</v>
      </c>
      <c r="H11" s="1938">
        <f>IF(SUM(H18,H25,H32,H39,H46,H53,H68,H75,H82,H89,H96,H103,H120,H110:H113)=0,"NO",SUM(H18,H25,H32,H39,H46,H53,H68,H75,H82,H89,H96,H103,H120,H110:H113))</f>
        <v>16823.777135327982</v>
      </c>
      <c r="I11" s="1938">
        <f>IF(SUM(I18,I25,I32,I39,I46,I53,I68,I75,I82,I89,I96,I103,I120,I110:I113)=0,"NO",SUM(I18,I25,I32,I39,I46,I53,I68,I75,I82,I89,I96,I103,I120,I110:I113))</f>
        <v>1.0148742684846608</v>
      </c>
      <c r="J11" s="1938">
        <f>IF(SUM(J18,J25,J32,J39,J46,J53,J68,J75,J82,J89,J96,J103,J120,J110:J113)=0,"NO",SUM(J18,J25,J32,J39,J46,J53,J68,J75,J82,J89,J96,J103,J120,J110:J113))</f>
        <v>0.51245979885875848</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106630.03811664114</v>
      </c>
      <c r="D12" s="3056" t="s">
        <v>97</v>
      </c>
      <c r="E12" s="1938">
        <f t="shared" ref="E12:E16" si="2">IFERROR(H12*1000/$C12,"NA")</f>
        <v>80.843916845805893</v>
      </c>
      <c r="F12" s="1938">
        <f t="shared" si="1"/>
        <v>0.94788370164474067</v>
      </c>
      <c r="G12" s="1938">
        <f t="shared" si="1"/>
        <v>0.70354091131694174</v>
      </c>
      <c r="H12" s="1938">
        <f>IF(SUM(H19,H26,H33,H40,H47,H54,H69,H76,H83,H90,H97,H104,H121)=0,"NO",SUM(H19,H26,H33,H40,H47,H54,H69,H76,H83,H90,H97,H104,H121))</f>
        <v>8620.3899347668503</v>
      </c>
      <c r="I12" s="1938">
        <f>IF(SUM(I19,I26,I33,I40,I47,I54,I69,I76,I83,I90,I97,I104,I121)=0,"NO",SUM(I19,I26,I33,I40,I47,I54,I69,I76,I83,I90,I97,I104,I121))</f>
        <v>0.10107287523652159</v>
      </c>
      <c r="J12" s="1938">
        <f>IF(SUM(J19,J26,J33,J40,J47,J54,J69,J76,J83,J90,J97,J104,J121)=0,"NO",SUM(J19,J26,J33,J40,J47,J54,J69,J76,J83,J90,J97,J104,J121))</f>
        <v>7.5018594190341945E-2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330657.36767649045</v>
      </c>
      <c r="D13" s="3056" t="s">
        <v>97</v>
      </c>
      <c r="E13" s="1938">
        <f t="shared" si="2"/>
        <v>51.412309411337077</v>
      </c>
      <c r="F13" s="1938">
        <f t="shared" si="1"/>
        <v>0.97196866033661855</v>
      </c>
      <c r="G13" s="1938">
        <f t="shared" si="1"/>
        <v>0.54592025617706796</v>
      </c>
      <c r="H13" s="1938">
        <f t="shared" ref="H13:K14" si="3">IF(SUM(H20,H27,H34,H41,H48,H55,H70,H77,H84,H91,H98,H105,H122,H115)=0,"NO",SUM(H20,H27,H34,H41,H48,H55,H70,H77,H84,H91,H98,H105,H122,H115))</f>
        <v>16999.858896121976</v>
      </c>
      <c r="I13" s="1938">
        <f t="shared" si="3"/>
        <v>0.3213885986909511</v>
      </c>
      <c r="J13" s="1938">
        <f t="shared" si="3"/>
        <v>0.18051255486878462</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105956.47672872945</v>
      </c>
      <c r="D16" s="3071" t="s">
        <v>97</v>
      </c>
      <c r="E16" s="1938">
        <f t="shared" si="2"/>
        <v>93.934981393060454</v>
      </c>
      <c r="F16" s="1938">
        <f t="shared" si="1"/>
        <v>8.9525399778097459</v>
      </c>
      <c r="G16" s="1938">
        <f t="shared" si="1"/>
        <v>5.7294109519581093</v>
      </c>
      <c r="H16" s="1938">
        <f>IF(SUM(H23,H30,H37,H44,H51,H58,H73,H80,H87,H94,H101,H108,H125,H117)=0,"NO",SUM(H23,H30,H37,H44,H51,H58,H73,H80,H87,H94,H101,H108,H125,H117))</f>
        <v>9953.0196699874432</v>
      </c>
      <c r="I16" s="1938">
        <f>IF(SUM(I23,I30,I37,I44,I51,I58,I73,I80,I87,I94,I101,I108,I125,I117)=0,"NO",SUM(I23,I30,I37,I44,I51,I58,I73,I80,I87,I94,I101,I108,I125,I117))</f>
        <v>0.94857959382181845</v>
      </c>
      <c r="J16" s="1938">
        <f>IF(SUM(J23,J30,J37,J44,J51,J58,J73,J80,J87,J94,J101,J108,J125,J117)=0,"NO",SUM(J23,J30,J37,J44,J51,J58,J73,J80,J87,J94,J101,J108,J125,J117))</f>
        <v>0.60706819820047708</v>
      </c>
      <c r="K16" s="3044" t="str">
        <f>IF(SUM(K23,K30,K37,K44,K51,K58,K73,K80,K87,K94,K101,K108,K125,K117)=0,"NO",SUM(K23,K30,K37,K44,K51,K58,K73,K80,K87,K94,K101,K108,K125,K117))</f>
        <v>NO</v>
      </c>
    </row>
    <row r="17" spans="2:11" ht="18" customHeight="1" x14ac:dyDescent="0.2">
      <c r="B17" s="1240" t="s">
        <v>264</v>
      </c>
      <c r="C17" s="1938">
        <f>IF(SUM(C18:C23)=0,"NO",SUM(C18:C23))</f>
        <v>34611.181602209064</v>
      </c>
      <c r="D17" s="3055" t="s">
        <v>97</v>
      </c>
      <c r="E17" s="615"/>
      <c r="F17" s="615"/>
      <c r="G17" s="615"/>
      <c r="H17" s="1938">
        <f>IF(SUM(H18:H22)=0,"NO",SUM(H18:H22))</f>
        <v>1575.0340391795262</v>
      </c>
      <c r="I17" s="1938">
        <f t="shared" ref="I17:K17" si="4">IF(SUM(I18:I23)=0,"NO",SUM(I18:I23))</f>
        <v>3.5697515767126521E-2</v>
      </c>
      <c r="J17" s="1938">
        <f t="shared" si="4"/>
        <v>2.0253369973627488E-2</v>
      </c>
      <c r="K17" s="3044" t="str">
        <f t="shared" si="4"/>
        <v>NO</v>
      </c>
    </row>
    <row r="18" spans="2:11" ht="18" customHeight="1" x14ac:dyDescent="0.2">
      <c r="B18" s="282" t="s">
        <v>243</v>
      </c>
      <c r="C18" s="699">
        <v>841.00710709999998</v>
      </c>
      <c r="D18" s="3056" t="s">
        <v>97</v>
      </c>
      <c r="E18" s="1938">
        <f>IFERROR(H18*1000/$C18,"NA")</f>
        <v>71.925085679903177</v>
      </c>
      <c r="F18" s="1938">
        <f t="shared" ref="F18:G23" si="5">IFERROR(I18*1000000/$C18,"NA")</f>
        <v>4.1047986845353837</v>
      </c>
      <c r="G18" s="1938">
        <f t="shared" si="5"/>
        <v>1.3891223884051291</v>
      </c>
      <c r="H18" s="699">
        <v>60.489508235575009</v>
      </c>
      <c r="I18" s="699">
        <v>3.4521648669089888E-3</v>
      </c>
      <c r="J18" s="699">
        <v>1.1682618012804403E-3</v>
      </c>
      <c r="K18" s="3072" t="s">
        <v>199</v>
      </c>
    </row>
    <row r="19" spans="2:11" ht="18" customHeight="1" x14ac:dyDescent="0.2">
      <c r="B19" s="282" t="s">
        <v>245</v>
      </c>
      <c r="C19" s="699">
        <v>19806.72784690906</v>
      </c>
      <c r="D19" s="3056" t="s">
        <v>97</v>
      </c>
      <c r="E19" s="1938">
        <f t="shared" ref="E19:E23" si="6">IFERROR(H19*1000/$C19,"NA")</f>
        <v>40.221532718052238</v>
      </c>
      <c r="F19" s="1938">
        <f t="shared" si="5"/>
        <v>0.95499860260473779</v>
      </c>
      <c r="G19" s="1938">
        <f t="shared" si="5"/>
        <v>0.57074684062351877</v>
      </c>
      <c r="H19" s="699">
        <v>796.65695213200911</v>
      </c>
      <c r="I19" s="699">
        <v>1.8915397415970498E-2</v>
      </c>
      <c r="J19" s="699">
        <v>1.1304627341713216E-2</v>
      </c>
      <c r="K19" s="3072" t="s">
        <v>199</v>
      </c>
    </row>
    <row r="20" spans="2:11" ht="18" customHeight="1" x14ac:dyDescent="0.2">
      <c r="B20" s="282" t="s">
        <v>246</v>
      </c>
      <c r="C20" s="699">
        <v>13963.446648200004</v>
      </c>
      <c r="D20" s="3056" t="s">
        <v>97</v>
      </c>
      <c r="E20" s="1938">
        <f t="shared" si="6"/>
        <v>51.411918339264986</v>
      </c>
      <c r="F20" s="1938">
        <f t="shared" si="5"/>
        <v>0.95463203463203461</v>
      </c>
      <c r="G20" s="1938">
        <f t="shared" si="5"/>
        <v>0.55720346320346303</v>
      </c>
      <c r="H20" s="699">
        <v>717.88757881194203</v>
      </c>
      <c r="I20" s="699">
        <v>1.3329953484247035E-2</v>
      </c>
      <c r="J20" s="699">
        <v>7.780480830633831E-3</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210074.03247568087</v>
      </c>
      <c r="D24" s="3056" t="s">
        <v>97</v>
      </c>
      <c r="E24" s="615"/>
      <c r="F24" s="615"/>
      <c r="G24" s="615"/>
      <c r="H24" s="1938">
        <f>IF(SUM(H25:H29)=0,"NO",SUM(H25:H29))</f>
        <v>12959.953606288549</v>
      </c>
      <c r="I24" s="1938">
        <f t="shared" ref="I24:K24" si="7">IF(SUM(I25:I30)=0,"NO",SUM(I25:I30))</f>
        <v>0.24913616945157427</v>
      </c>
      <c r="J24" s="1938">
        <f t="shared" si="7"/>
        <v>0.14760089226093279</v>
      </c>
      <c r="K24" s="3044" t="str">
        <f t="shared" si="7"/>
        <v>NO</v>
      </c>
    </row>
    <row r="25" spans="2:11" ht="18" customHeight="1" x14ac:dyDescent="0.2">
      <c r="B25" s="282" t="s">
        <v>243</v>
      </c>
      <c r="C25" s="699">
        <v>34775.553679599994</v>
      </c>
      <c r="D25" s="3056" t="s">
        <v>97</v>
      </c>
      <c r="E25" s="1938">
        <f>IFERROR(H25*1000/$C25,"NA")</f>
        <v>72.74991240693717</v>
      </c>
      <c r="F25" s="1938">
        <f t="shared" ref="F25:G30" si="8">IFERROR(I25*1000000/$C25,"NA")</f>
        <v>1.8826952038407518</v>
      </c>
      <c r="G25" s="1938">
        <f t="shared" si="8"/>
        <v>0.90105844329656148</v>
      </c>
      <c r="H25" s="699">
        <v>2529.9184840936414</v>
      </c>
      <c r="I25" s="699">
        <v>6.5471768123489524E-2</v>
      </c>
      <c r="J25" s="699">
        <v>3.1334806263316382E-2</v>
      </c>
      <c r="K25" s="3072" t="s">
        <v>199</v>
      </c>
    </row>
    <row r="26" spans="2:11" ht="18" customHeight="1" x14ac:dyDescent="0.2">
      <c r="B26" s="282" t="s">
        <v>245</v>
      </c>
      <c r="C26" s="699">
        <v>38834.252357900004</v>
      </c>
      <c r="D26" s="3056" t="s">
        <v>97</v>
      </c>
      <c r="E26" s="1938">
        <f t="shared" ref="E26:E30" si="9">IFERROR(H26*1000/$C26,"NA")</f>
        <v>91.082361823744364</v>
      </c>
      <c r="F26" s="1938">
        <f t="shared" si="8"/>
        <v>0.95238095238095211</v>
      </c>
      <c r="G26" s="1938">
        <f t="shared" si="8"/>
        <v>0.706095238095238</v>
      </c>
      <c r="H26" s="699">
        <v>3537.1154244168456</v>
      </c>
      <c r="I26" s="699">
        <v>3.6985002245619042E-2</v>
      </c>
      <c r="J26" s="699">
        <v>2.7420680664901959E-2</v>
      </c>
      <c r="K26" s="3072" t="s">
        <v>199</v>
      </c>
    </row>
    <row r="27" spans="2:11" ht="18" customHeight="1" x14ac:dyDescent="0.2">
      <c r="B27" s="282" t="s">
        <v>246</v>
      </c>
      <c r="C27" s="699">
        <v>134072.40811930003</v>
      </c>
      <c r="D27" s="3056" t="s">
        <v>97</v>
      </c>
      <c r="E27" s="1938">
        <f t="shared" si="9"/>
        <v>51.411918339265</v>
      </c>
      <c r="F27" s="1938">
        <f t="shared" si="8"/>
        <v>0.95727272727272739</v>
      </c>
      <c r="G27" s="1938">
        <f t="shared" si="8"/>
        <v>0.57027272727272738</v>
      </c>
      <c r="H27" s="699">
        <v>6892.919697778063</v>
      </c>
      <c r="I27" s="699">
        <v>0.12834385977238449</v>
      </c>
      <c r="J27" s="699">
        <v>7.6457837830215383E-2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2391.8183188808389</v>
      </c>
      <c r="D30" s="3056" t="s">
        <v>97</v>
      </c>
      <c r="E30" s="1938">
        <f t="shared" si="9"/>
        <v>88.472476968864456</v>
      </c>
      <c r="F30" s="1938">
        <f t="shared" si="8"/>
        <v>7.6659414995452702</v>
      </c>
      <c r="G30" s="1938">
        <f t="shared" si="8"/>
        <v>5.1791423306329403</v>
      </c>
      <c r="H30" s="699">
        <v>211.61009113089312</v>
      </c>
      <c r="I30" s="699">
        <v>1.8335539310081226E-2</v>
      </c>
      <c r="J30" s="699">
        <v>1.2387567502499069E-2</v>
      </c>
      <c r="K30" s="3072" t="s">
        <v>199</v>
      </c>
    </row>
    <row r="31" spans="2:11" ht="18" customHeight="1" x14ac:dyDescent="0.2">
      <c r="B31" s="1240" t="s">
        <v>266</v>
      </c>
      <c r="C31" s="1938">
        <f>IF(SUM(C32:C37)=0,"NO",SUM(C32:C37))</f>
        <v>142054.64213941107</v>
      </c>
      <c r="D31" s="3056" t="s">
        <v>97</v>
      </c>
      <c r="E31" s="615"/>
      <c r="F31" s="615"/>
      <c r="G31" s="615"/>
      <c r="H31" s="1938">
        <f>IF(SUM(H32:H36)=0,"NO",SUM(H32:H36))</f>
        <v>8675.2219090522522</v>
      </c>
      <c r="I31" s="1938">
        <f t="shared" ref="I31:K31" si="10">IF(SUM(I32:I37)=0,"NO",SUM(I32:I37))</f>
        <v>0.28337435066403105</v>
      </c>
      <c r="J31" s="1938">
        <f t="shared" si="10"/>
        <v>0.10919027769740486</v>
      </c>
      <c r="K31" s="3044" t="str">
        <f t="shared" si="10"/>
        <v>NO</v>
      </c>
    </row>
    <row r="32" spans="2:11" ht="18" customHeight="1" x14ac:dyDescent="0.2">
      <c r="B32" s="282" t="s">
        <v>243</v>
      </c>
      <c r="C32" s="699">
        <v>81588.221428267134</v>
      </c>
      <c r="D32" s="3056" t="s">
        <v>97</v>
      </c>
      <c r="E32" s="1938">
        <f>IFERROR(H32*1000/$C32,"NA")</f>
        <v>67.936313520481363</v>
      </c>
      <c r="F32" s="1938">
        <f t="shared" ref="F32:G37" si="11">IFERROR(I32*1000000/$C32,"NA")</f>
        <v>2.5685287987970886</v>
      </c>
      <c r="G32" s="1938">
        <f t="shared" si="11"/>
        <v>0.79874926951843228</v>
      </c>
      <c r="H32" s="699">
        <v>5542.8029905292124</v>
      </c>
      <c r="I32" s="699">
        <v>0.20956169638113789</v>
      </c>
      <c r="J32" s="699">
        <v>6.5168532267136481E-2</v>
      </c>
      <c r="K32" s="3072" t="s">
        <v>199</v>
      </c>
    </row>
    <row r="33" spans="2:11" ht="18" customHeight="1" x14ac:dyDescent="0.2">
      <c r="B33" s="282" t="s">
        <v>245</v>
      </c>
      <c r="C33" s="699">
        <v>4436.741846853025</v>
      </c>
      <c r="D33" s="3056" t="s">
        <v>97</v>
      </c>
      <c r="E33" s="1938">
        <f t="shared" ref="E33:E37" si="12">IFERROR(H33*1000/$C33,"NA")</f>
        <v>82.579680736607116</v>
      </c>
      <c r="F33" s="1938">
        <f t="shared" si="11"/>
        <v>0.83043977914796629</v>
      </c>
      <c r="G33" s="1938">
        <f t="shared" si="11"/>
        <v>0.61348676611783659</v>
      </c>
      <c r="H33" s="699">
        <v>366.38472522386741</v>
      </c>
      <c r="I33" s="699">
        <v>3.6844469194371662E-3</v>
      </c>
      <c r="J33" s="699">
        <v>2.7218824077255401E-3</v>
      </c>
      <c r="K33" s="3072" t="s">
        <v>199</v>
      </c>
    </row>
    <row r="34" spans="2:11" ht="18" customHeight="1" x14ac:dyDescent="0.2">
      <c r="B34" s="282" t="s">
        <v>246</v>
      </c>
      <c r="C34" s="699">
        <v>53801.373090490888</v>
      </c>
      <c r="D34" s="3056" t="s">
        <v>97</v>
      </c>
      <c r="E34" s="1938">
        <f t="shared" si="12"/>
        <v>51.411962825685833</v>
      </c>
      <c r="F34" s="1938">
        <f t="shared" si="11"/>
        <v>0.95048553530974311</v>
      </c>
      <c r="G34" s="1938">
        <f t="shared" si="11"/>
        <v>0.54067873574328584</v>
      </c>
      <c r="H34" s="699">
        <v>2766.0341932991714</v>
      </c>
      <c r="I34" s="699">
        <v>5.1137426902314438E-2</v>
      </c>
      <c r="J34" s="699">
        <v>2.9089258383819452E-2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2228.3057737999998</v>
      </c>
      <c r="D37" s="3056" t="s">
        <v>97</v>
      </c>
      <c r="E37" s="1938">
        <f t="shared" si="12"/>
        <v>92.68995408729397</v>
      </c>
      <c r="F37" s="1938">
        <f t="shared" si="11"/>
        <v>8.5225199720934057</v>
      </c>
      <c r="G37" s="1938">
        <f t="shared" si="11"/>
        <v>5.4797706770288803</v>
      </c>
      <c r="H37" s="699">
        <v>206.54155986597402</v>
      </c>
      <c r="I37" s="699">
        <v>1.8990780461141547E-2</v>
      </c>
      <c r="J37" s="699">
        <v>1.2210604638723387E-2</v>
      </c>
      <c r="K37" s="3072" t="s">
        <v>199</v>
      </c>
    </row>
    <row r="38" spans="2:11" ht="18" customHeight="1" x14ac:dyDescent="0.2">
      <c r="B38" s="1240" t="s">
        <v>267</v>
      </c>
      <c r="C38" s="1938">
        <f>IF(SUM(C39:C44)=0,"NO",SUM(C39:C44))</f>
        <v>40500.281423086839</v>
      </c>
      <c r="D38" s="3056" t="s">
        <v>97</v>
      </c>
      <c r="E38" s="615"/>
      <c r="F38" s="615"/>
      <c r="G38" s="615"/>
      <c r="H38" s="1938">
        <f>IF(SUM(H39:H43)=0,"NO",SUM(H39:H43))</f>
        <v>1018.4119734563906</v>
      </c>
      <c r="I38" s="1938">
        <f t="shared" ref="I38:K38" si="13">IF(SUM(I39:I44)=0,"NO",SUM(I39:I44))</f>
        <v>0.22019045329210227</v>
      </c>
      <c r="J38" s="1938">
        <f t="shared" si="13"/>
        <v>0.14582759607214799</v>
      </c>
      <c r="K38" s="3044" t="str">
        <f t="shared" si="13"/>
        <v>NO</v>
      </c>
    </row>
    <row r="39" spans="2:11" ht="18" customHeight="1" x14ac:dyDescent="0.2">
      <c r="B39" s="282" t="s">
        <v>243</v>
      </c>
      <c r="C39" s="699">
        <v>531.85461769999995</v>
      </c>
      <c r="D39" s="3056" t="s">
        <v>97</v>
      </c>
      <c r="E39" s="1938">
        <f>IFERROR(H39*1000/$C39,"NA")</f>
        <v>67.191992833364097</v>
      </c>
      <c r="F39" s="1938">
        <f t="shared" ref="F39:G44" si="14">IFERROR(I39*1000000/$C39,"NA")</f>
        <v>0.91356884484186374</v>
      </c>
      <c r="G39" s="1938">
        <f t="shared" si="14"/>
        <v>1.1910934091304708</v>
      </c>
      <c r="H39" s="699">
        <v>35.736371660890001</v>
      </c>
      <c r="I39" s="699">
        <v>4.8588580871600001E-4</v>
      </c>
      <c r="J39" s="699">
        <v>6.3348852975807614E-4</v>
      </c>
      <c r="K39" s="3072" t="s">
        <v>199</v>
      </c>
    </row>
    <row r="40" spans="2:11" ht="18" customHeight="1" x14ac:dyDescent="0.2">
      <c r="B40" s="282" t="s">
        <v>245</v>
      </c>
      <c r="C40" s="699">
        <v>2728.5688005000006</v>
      </c>
      <c r="D40" s="3056" t="s">
        <v>97</v>
      </c>
      <c r="E40" s="1938">
        <f t="shared" ref="E40:E44" si="15">IFERROR(H40*1000/$C40,"NA")</f>
        <v>90.11924670037871</v>
      </c>
      <c r="F40" s="1938">
        <f t="shared" si="14"/>
        <v>0.95123286346363178</v>
      </c>
      <c r="G40" s="1938">
        <f t="shared" si="14"/>
        <v>0.66590127405511956</v>
      </c>
      <c r="H40" s="699">
        <v>245.89656487121599</v>
      </c>
      <c r="I40" s="699">
        <v>2.5955043132571427E-3</v>
      </c>
      <c r="J40" s="699">
        <v>1.8169574406E-3</v>
      </c>
      <c r="K40" s="3072" t="s">
        <v>199</v>
      </c>
    </row>
    <row r="41" spans="2:11" ht="18" customHeight="1" x14ac:dyDescent="0.2">
      <c r="B41" s="282" t="s">
        <v>246</v>
      </c>
      <c r="C41" s="699">
        <v>14330.89954088684</v>
      </c>
      <c r="D41" s="3056" t="s">
        <v>97</v>
      </c>
      <c r="E41" s="1938">
        <f t="shared" si="15"/>
        <v>51.411918339265007</v>
      </c>
      <c r="F41" s="1938">
        <f t="shared" si="14"/>
        <v>0.91363636363636369</v>
      </c>
      <c r="G41" s="1938">
        <f t="shared" si="14"/>
        <v>0.86863636363636343</v>
      </c>
      <c r="H41" s="699">
        <v>736.77903692428458</v>
      </c>
      <c r="I41" s="699">
        <v>1.3093230944173886E-2</v>
      </c>
      <c r="J41" s="699">
        <v>1.2448340464833976E-2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22908.958463999999</v>
      </c>
      <c r="D44" s="3055" t="s">
        <v>97</v>
      </c>
      <c r="E44" s="1938">
        <f t="shared" si="15"/>
        <v>93.270436168968615</v>
      </c>
      <c r="F44" s="1938">
        <f t="shared" si="14"/>
        <v>8.9055044796800082</v>
      </c>
      <c r="G44" s="1938">
        <f t="shared" si="14"/>
        <v>5.7151794937645199</v>
      </c>
      <c r="H44" s="699">
        <v>2136.7285481140652</v>
      </c>
      <c r="I44" s="699">
        <v>0.20401583222595523</v>
      </c>
      <c r="J44" s="699">
        <v>0.13092880963695594</v>
      </c>
      <c r="K44" s="3072" t="s">
        <v>199</v>
      </c>
    </row>
    <row r="45" spans="2:11" ht="18" customHeight="1" x14ac:dyDescent="0.2">
      <c r="B45" s="1240" t="s">
        <v>268</v>
      </c>
      <c r="C45" s="1938">
        <f>IF(SUM(C46:C51)=0,"NO",SUM(C46:C51))</f>
        <v>124615.49336720002</v>
      </c>
      <c r="D45" s="3055" t="s">
        <v>97</v>
      </c>
      <c r="E45" s="615"/>
      <c r="F45" s="615"/>
      <c r="G45" s="615"/>
      <c r="H45" s="1938">
        <f>IF(SUM(H46:H50)=0,"NO",SUM(H46:H50))</f>
        <v>3007.2926173576298</v>
      </c>
      <c r="I45" s="1938">
        <f t="shared" ref="I45:K45" si="16">IF(SUM(I46:I51)=0,"NO",SUM(I46:I51))</f>
        <v>0.74664462765669037</v>
      </c>
      <c r="J45" s="1938">
        <f t="shared" si="16"/>
        <v>0.48564825840132197</v>
      </c>
      <c r="K45" s="3044" t="str">
        <f t="shared" si="16"/>
        <v>NO</v>
      </c>
    </row>
    <row r="46" spans="2:11" ht="18" customHeight="1" x14ac:dyDescent="0.2">
      <c r="B46" s="282" t="s">
        <v>243</v>
      </c>
      <c r="C46" s="699">
        <v>4033.4801598256568</v>
      </c>
      <c r="D46" s="3055" t="s">
        <v>97</v>
      </c>
      <c r="E46" s="1938">
        <f>IFERROR(H46*1000/$C46,"NA")</f>
        <v>66.838170146660445</v>
      </c>
      <c r="F46" s="1938">
        <f t="shared" ref="F46:G51" si="17">IFERROR(I46*1000000/$C46,"NA")</f>
        <v>4.4106477858584707</v>
      </c>
      <c r="G46" s="1938">
        <f t="shared" si="17"/>
        <v>2.7721458239804564</v>
      </c>
      <c r="H46" s="699">
        <v>269.59043320560642</v>
      </c>
      <c r="I46" s="699">
        <v>1.7790260336239101E-2</v>
      </c>
      <c r="J46" s="699">
        <v>1.1181395181168719E-2</v>
      </c>
      <c r="K46" s="3072" t="s">
        <v>199</v>
      </c>
    </row>
    <row r="47" spans="2:11" ht="18" customHeight="1" x14ac:dyDescent="0.2">
      <c r="B47" s="282" t="s">
        <v>245</v>
      </c>
      <c r="C47" s="699">
        <v>10617.547186000002</v>
      </c>
      <c r="D47" s="3055" t="s">
        <v>97</v>
      </c>
      <c r="E47" s="1938">
        <f t="shared" ref="E47:E51" si="18">IFERROR(H47*1000/$C47,"NA")</f>
        <v>90.937372615882794</v>
      </c>
      <c r="F47" s="1938">
        <f t="shared" si="17"/>
        <v>0.95238095238095222</v>
      </c>
      <c r="G47" s="1938">
        <f t="shared" si="17"/>
        <v>0.67523809523809519</v>
      </c>
      <c r="H47" s="699">
        <v>965.53184471999998</v>
      </c>
      <c r="I47" s="699">
        <v>1.011194970095238E-2</v>
      </c>
      <c r="J47" s="699">
        <v>7.1693723379752383E-3</v>
      </c>
      <c r="K47" s="3072" t="s">
        <v>199</v>
      </c>
    </row>
    <row r="48" spans="2:11" ht="18" customHeight="1" x14ac:dyDescent="0.2">
      <c r="B48" s="282" t="s">
        <v>246</v>
      </c>
      <c r="C48" s="699">
        <v>34470.029453823299</v>
      </c>
      <c r="D48" s="3055" t="s">
        <v>97</v>
      </c>
      <c r="E48" s="1938">
        <f t="shared" si="18"/>
        <v>51.411918339265014</v>
      </c>
      <c r="F48" s="1938">
        <f t="shared" si="17"/>
        <v>0.9140909090909094</v>
      </c>
      <c r="G48" s="1938">
        <f t="shared" si="17"/>
        <v>0.86459090909090897</v>
      </c>
      <c r="H48" s="699">
        <v>1772.1703394320232</v>
      </c>
      <c r="I48" s="699">
        <v>3.1508740559835761E-2</v>
      </c>
      <c r="J48" s="699">
        <v>2.9802474101871496E-2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75494.436567551063</v>
      </c>
      <c r="D51" s="3055" t="s">
        <v>97</v>
      </c>
      <c r="E51" s="1938">
        <f t="shared" si="18"/>
        <v>94.62204977578125</v>
      </c>
      <c r="F51" s="1938">
        <f t="shared" si="17"/>
        <v>9.1031035968423808</v>
      </c>
      <c r="G51" s="1938">
        <f t="shared" si="17"/>
        <v>5.7950630095615567</v>
      </c>
      <c r="H51" s="699">
        <v>7143.4383346893765</v>
      </c>
      <c r="I51" s="699">
        <v>0.6872336770596631</v>
      </c>
      <c r="J51" s="699">
        <v>0.4374950167803065</v>
      </c>
      <c r="K51" s="3072" t="s">
        <v>199</v>
      </c>
    </row>
    <row r="52" spans="2:11" ht="18" customHeight="1" x14ac:dyDescent="0.2">
      <c r="B52" s="1240" t="s">
        <v>269</v>
      </c>
      <c r="C52" s="3073">
        <f>IF(SUM(C53:C58)=0,"NO",SUM(C53:C58))</f>
        <v>95511.397050173327</v>
      </c>
      <c r="D52" s="3055" t="s">
        <v>97</v>
      </c>
      <c r="E52" s="615"/>
      <c r="F52" s="615"/>
      <c r="G52" s="615"/>
      <c r="H52" s="1938">
        <f>IF(SUM(H53:H57)=0,"NO",SUM(H53:H57))</f>
        <v>5815.4284071256279</v>
      </c>
      <c r="I52" s="1938">
        <f t="shared" ref="I52:K52" si="19">IF(SUM(I53:I58)=0,"NO",SUM(I53:I58))</f>
        <v>0.35741329002102512</v>
      </c>
      <c r="J52" s="1938">
        <f t="shared" si="19"/>
        <v>5.6273985694687521E-2</v>
      </c>
      <c r="K52" s="3044" t="str">
        <f t="shared" si="19"/>
        <v>NO</v>
      </c>
    </row>
    <row r="53" spans="2:11" ht="18" customHeight="1" x14ac:dyDescent="0.2">
      <c r="B53" s="282" t="s">
        <v>243</v>
      </c>
      <c r="C53" s="2173">
        <v>8938.0956840400595</v>
      </c>
      <c r="D53" s="3055" t="s">
        <v>97</v>
      </c>
      <c r="E53" s="1938">
        <f>IFERROR(H53*1000/$C53,"NA")</f>
        <v>63.826054557826353</v>
      </c>
      <c r="F53" s="1938">
        <f t="shared" ref="F53:G58" si="20">IFERROR(I53*1000000/$C53,"NA")</f>
        <v>28.536694021700438</v>
      </c>
      <c r="G53" s="1938">
        <f t="shared" si="20"/>
        <v>1.6848088227201625</v>
      </c>
      <c r="H53" s="699">
        <v>570.48338277261314</v>
      </c>
      <c r="I53" s="699">
        <v>0.25506370167213244</v>
      </c>
      <c r="J53" s="699">
        <v>1.5058982466787699E-2</v>
      </c>
      <c r="K53" s="3072" t="s">
        <v>199</v>
      </c>
    </row>
    <row r="54" spans="2:11" ht="18" customHeight="1" x14ac:dyDescent="0.2">
      <c r="B54" s="282" t="s">
        <v>245</v>
      </c>
      <c r="C54" s="699">
        <v>24751.408720616102</v>
      </c>
      <c r="D54" s="3055" t="s">
        <v>97</v>
      </c>
      <c r="E54" s="1938">
        <f t="shared" ref="E54:E58" si="21">IFERROR(H54*1000/$C54,"NA")</f>
        <v>89.564824319087606</v>
      </c>
      <c r="F54" s="1938">
        <f t="shared" si="20"/>
        <v>0.95289501220569706</v>
      </c>
      <c r="G54" s="1938">
        <f t="shared" si="20"/>
        <v>0.82820175566366572</v>
      </c>
      <c r="H54" s="699">
        <v>2216.8555737119141</v>
      </c>
      <c r="I54" s="699">
        <v>2.3585493914939679E-2</v>
      </c>
      <c r="J54" s="699">
        <v>2.0499160157563222E-2</v>
      </c>
      <c r="K54" s="3072" t="s">
        <v>199</v>
      </c>
    </row>
    <row r="55" spans="2:11" ht="18" customHeight="1" x14ac:dyDescent="0.2">
      <c r="B55" s="282" t="s">
        <v>246</v>
      </c>
      <c r="C55" s="699">
        <v>58898.589052034018</v>
      </c>
      <c r="D55" s="3055" t="s">
        <v>97</v>
      </c>
      <c r="E55" s="1938">
        <f t="shared" si="21"/>
        <v>51.411918339265</v>
      </c>
      <c r="F55" s="1938">
        <f t="shared" si="20"/>
        <v>0.99843703249913163</v>
      </c>
      <c r="G55" s="1938">
        <f t="shared" si="20"/>
        <v>0.11391041075772654</v>
      </c>
      <c r="H55" s="699">
        <v>3028.0894506411005</v>
      </c>
      <c r="I55" s="699">
        <v>5.8806532471498689E-2</v>
      </c>
      <c r="J55" s="699">
        <v>6.7091624719677299E-3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2923.3035934831505</v>
      </c>
      <c r="D58" s="3055" t="s">
        <v>97</v>
      </c>
      <c r="E58" s="3074">
        <f t="shared" si="21"/>
        <v>86.885267815463237</v>
      </c>
      <c r="F58" s="3074">
        <f t="shared" si="20"/>
        <v>6.8270575820264527</v>
      </c>
      <c r="G58" s="3074">
        <f t="shared" si="20"/>
        <v>4.7913876032559948</v>
      </c>
      <c r="H58" s="2215">
        <v>253.99201562568959</v>
      </c>
      <c r="I58" s="699">
        <v>1.9957561962454316E-2</v>
      </c>
      <c r="J58" s="699">
        <v>1.4006680598368869E-2</v>
      </c>
      <c r="K58" s="3072" t="s">
        <v>199</v>
      </c>
    </row>
    <row r="59" spans="2:11" ht="18" customHeight="1" x14ac:dyDescent="0.2">
      <c r="B59" s="1240" t="s">
        <v>270</v>
      </c>
      <c r="C59" s="3073">
        <f>IF(SUM(C60:C65)=0,"NO",SUM(C60:C65))</f>
        <v>138876.86446778435</v>
      </c>
      <c r="D59" s="4224" t="s">
        <v>97</v>
      </c>
      <c r="E59" s="4225"/>
      <c r="F59" s="4225"/>
      <c r="G59" s="4225"/>
      <c r="H59" s="1938">
        <f>IF(SUM(H60:H64)=0,"NO",SUM(H60:H64))</f>
        <v>9392.6834137568403</v>
      </c>
      <c r="I59" s="1938">
        <f t="shared" ref="I59:K59" si="22">IF(SUM(I60:I65)=0,"NO",SUM(I60:I65))</f>
        <v>0.49345892938140229</v>
      </c>
      <c r="J59" s="1938">
        <f t="shared" si="22"/>
        <v>0.41026476601823952</v>
      </c>
      <c r="K59" s="3044" t="str">
        <f t="shared" si="22"/>
        <v>NO</v>
      </c>
    </row>
    <row r="60" spans="2:11" ht="18" customHeight="1" x14ac:dyDescent="0.2">
      <c r="B60" s="282" t="s">
        <v>243</v>
      </c>
      <c r="C60" s="4223">
        <f>IF(SUM(C68,C75,C82,C89,C96,C103,C110,C111,C111,C112,C113,C120)=0,"NO",SUM(C68,C75,C82,C89,C96,C103,C110,C111,C111,C112,C113,C120))</f>
        <v>112291.79732715167</v>
      </c>
      <c r="D60" s="4224" t="s">
        <v>97</v>
      </c>
      <c r="E60" s="3074">
        <f t="shared" ref="E60:E65" si="23">IFERROR(H60*1000/$C60,"NA")</f>
        <v>69.593293106377899</v>
      </c>
      <c r="F60" s="3074">
        <f t="shared" ref="F60:F65" si="24">IFERROR(I60*1000000/$C60,"NA")</f>
        <v>4.1236208014997517</v>
      </c>
      <c r="G60" s="3074">
        <f t="shared" ref="G60:G65" si="25">IFERROR(J60*1000000/$C60,"NA")</f>
        <v>3.4545206469459075</v>
      </c>
      <c r="H60" s="3074">
        <f>IF(SUM(H68,H75,H82,H89,H96,H103,H110,H111,H111,H112,H113,H120)=0,"NO",SUM(H68,H75,H82,H89,H96,H103,H110,H111,H111,H112,H113,H120))</f>
        <v>7814.7559648304486</v>
      </c>
      <c r="I60" s="3074">
        <f>IF(SUM(I68,I75,I82,I89,I96,I103,I110,I111,I111,I112,I113,I120)=0,"NO",SUM(I68,I75,I82,I89,I96,I103,I110,I111,I111,I112,I113,I120))</f>
        <v>0.46304879129603688</v>
      </c>
      <c r="J60" s="3074">
        <f>IF(SUM(J68,J75,J82,J89,J96,J103,J110,J111,J111,J112,J113,J120)=0,"NO",SUM(J68,J75,J82,J89,J96,J103,J110,J111,J111,J112,J113,J120))</f>
        <v>0.38791433234931066</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5454.7913578629559</v>
      </c>
      <c r="D61" s="4224" t="s">
        <v>97</v>
      </c>
      <c r="E61" s="3074">
        <f t="shared" si="23"/>
        <v>90.186556628213935</v>
      </c>
      <c r="F61" s="3074">
        <f t="shared" si="24"/>
        <v>0.95238853065517959</v>
      </c>
      <c r="G61" s="3074">
        <f t="shared" si="25"/>
        <v>0.74905043507723168</v>
      </c>
      <c r="H61" s="3074">
        <f>IF(SUM(H69,H76,H83,H90,H97,H104,H121)=0,"NO",SUM(H69,H76,H83,H90,H97,H104,H121))</f>
        <v>491.94884969099945</v>
      </c>
      <c r="I61" s="3074">
        <f>IF(SUM(I69,I76,I83,I90,I97,I104,I121)=0,"NO",SUM(I69,I76,I83,I90,I97,I104,I121))</f>
        <v>5.1950807263456723E-3</v>
      </c>
      <c r="J61" s="3074">
        <f>IF(SUM(J69,J76,J83,J90,J97,J104,J121)=0,"NO",SUM(J69,J76,J83,J90,J97,J104,J121))</f>
        <v>4.0859138398627705E-3</v>
      </c>
      <c r="K61" s="3044" t="str">
        <f>IF(SUM(K69,K76,K83,K90,K97,K104,K121)=0,"NO",SUM(K69,K76,K83,K90,K97,K104,K121))</f>
        <v>NO</v>
      </c>
    </row>
    <row r="62" spans="2:11" ht="18" customHeight="1" x14ac:dyDescent="0.2">
      <c r="B62" s="282" t="s">
        <v>246</v>
      </c>
      <c r="C62" s="4223">
        <f>IF(SUM(C70,C77,C84,C91,C98,C105,C115,C122)=0,"NO",SUM(C70,C77,C84,C91,C98,C105,C115,C122))</f>
        <v>21120.621771755323</v>
      </c>
      <c r="D62" s="4224" t="s">
        <v>97</v>
      </c>
      <c r="E62" s="3074">
        <f t="shared" si="23"/>
        <v>51.417927510433145</v>
      </c>
      <c r="F62" s="3074">
        <f t="shared" si="24"/>
        <v>1.1916720458559222</v>
      </c>
      <c r="G62" s="3074">
        <f t="shared" si="25"/>
        <v>0.86290076979717989</v>
      </c>
      <c r="H62" s="3074">
        <f t="shared" ref="H62:K63" si="26">IF(SUM(H70,H77,H84,H91,H98,H105,H115,H122)=0,"NO",SUM(H70,H77,H84,H91,H98,H105,H115,H122))</f>
        <v>1085.9785992353911</v>
      </c>
      <c r="I62" s="3074">
        <f t="shared" si="26"/>
        <v>2.5168854556496797E-2</v>
      </c>
      <c r="J62" s="3074">
        <f t="shared" si="26"/>
        <v>1.8225000785442747E-2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f>IF(SUM(C73,C80,C87,C94,C101,C108,C117,C125)=0,"NO",SUM(C73,C80,C87,C94,C101,C108,C117,C125))</f>
        <v>9.6540110144</v>
      </c>
      <c r="D65" s="4224" t="s">
        <v>97</v>
      </c>
      <c r="E65" s="3074">
        <f t="shared" si="23"/>
        <v>73.453465133280844</v>
      </c>
      <c r="F65" s="3074">
        <f t="shared" si="24"/>
        <v>4.7858659425621557</v>
      </c>
      <c r="G65" s="3074">
        <f t="shared" si="25"/>
        <v>4.0935362062872098</v>
      </c>
      <c r="H65" s="1938">
        <f>IF(SUM(H73,H80,H87,H94,H101,H108,H117,H125)=0,"NO",SUM(H73,H80,H87,H94,H101,H108,H117,H125))</f>
        <v>0.70912056144253965</v>
      </c>
      <c r="I65" s="1938">
        <f>IF(SUM(I73,I80,I87,I94,I101,I108,I117,I125)=0,"NO",SUM(I73,I80,I87,I94,I101,I108,I117,I125))</f>
        <v>4.6202802522936894E-5</v>
      </c>
      <c r="J65" s="1938">
        <f>IF(SUM(J73,J80,J87,J94,J101,J108,J117,J125)=0,"NO",SUM(J73,J80,J87,J94,J101,J108,J117,J125))</f>
        <v>3.9519043623341917E-5</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6699.1151576827069</v>
      </c>
      <c r="D67" s="3055" t="s">
        <v>97</v>
      </c>
      <c r="E67" s="615"/>
      <c r="F67" s="615"/>
      <c r="G67" s="615"/>
      <c r="H67" s="1938">
        <f>IF(SUM(H68:H72)=0,"NO",SUM(H68:H72))</f>
        <v>371.8859519434817</v>
      </c>
      <c r="I67" s="1938">
        <f t="shared" ref="I67:K67" si="27">IF(SUM(I68:I73)=0,"NO",SUM(I68:I73))</f>
        <v>4.6606609485180341E-2</v>
      </c>
      <c r="J67" s="1938">
        <f t="shared" si="27"/>
        <v>9.2650918620942012E-3</v>
      </c>
      <c r="K67" s="3044" t="str">
        <f t="shared" si="27"/>
        <v>NO</v>
      </c>
    </row>
    <row r="68" spans="2:11" ht="18" customHeight="1" x14ac:dyDescent="0.2">
      <c r="B68" s="158" t="s">
        <v>243</v>
      </c>
      <c r="C68" s="699">
        <v>1899.0075630929841</v>
      </c>
      <c r="D68" s="3055" t="s">
        <v>97</v>
      </c>
      <c r="E68" s="1938">
        <f>IFERROR(H68*1000/$C68,"NA")</f>
        <v>65.811372881417924</v>
      </c>
      <c r="F68" s="1938">
        <f t="shared" ref="F68:G73" si="28">IFERROR(I68*1000000/$C68,"NA")</f>
        <v>22.191859706747472</v>
      </c>
      <c r="G68" s="1938">
        <f t="shared" si="28"/>
        <v>2.8238983835106395</v>
      </c>
      <c r="H68" s="699">
        <v>124.97629483934517</v>
      </c>
      <c r="I68" s="699">
        <v>4.2142509422211899E-2</v>
      </c>
      <c r="J68" s="699">
        <v>5.3626043876927572E-3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4800.1075945897228</v>
      </c>
      <c r="D70" s="3055" t="s">
        <v>97</v>
      </c>
      <c r="E70" s="1938">
        <f t="shared" si="29"/>
        <v>51.43835887812854</v>
      </c>
      <c r="F70" s="1938">
        <f t="shared" si="28"/>
        <v>0.92999999999999983</v>
      </c>
      <c r="G70" s="1938">
        <f t="shared" si="28"/>
        <v>0.81299999999999994</v>
      </c>
      <c r="H70" s="699">
        <v>246.9096571041365</v>
      </c>
      <c r="I70" s="699">
        <v>4.4641000629684416E-3</v>
      </c>
      <c r="J70" s="699">
        <v>3.9024874744014444E-3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97150.946859817632</v>
      </c>
      <c r="D81" s="3056" t="s">
        <v>97</v>
      </c>
      <c r="E81" s="615"/>
      <c r="F81" s="615"/>
      <c r="G81" s="615"/>
      <c r="H81" s="1938">
        <f>IF(SUM(H82:H86)=0,"NO",SUM(H82:H86))</f>
        <v>6770.4250526948163</v>
      </c>
      <c r="I81" s="1938">
        <f t="shared" ref="I81:K81" si="33">IF(SUM(I82:I87)=0,"NO",SUM(I82:I87))</f>
        <v>0.31837347818550582</v>
      </c>
      <c r="J81" s="1938">
        <f t="shared" si="33"/>
        <v>0.31051726528199131</v>
      </c>
      <c r="K81" s="3044" t="str">
        <f t="shared" si="33"/>
        <v>NO</v>
      </c>
    </row>
    <row r="82" spans="2:11" ht="18" customHeight="1" x14ac:dyDescent="0.2">
      <c r="B82" s="158" t="s">
        <v>243</v>
      </c>
      <c r="C82" s="699">
        <v>86828.142640203238</v>
      </c>
      <c r="D82" s="3056" t="s">
        <v>97</v>
      </c>
      <c r="E82" s="1938">
        <f>IFERROR(H82*1000/$C82,"NA")</f>
        <v>69.708299432196995</v>
      </c>
      <c r="F82" s="1938">
        <f t="shared" ref="F82:G87" si="34">IFERROR(I82*1000000/$C82,"NA")</f>
        <v>3.4887378812065886</v>
      </c>
      <c r="G82" s="1938">
        <f t="shared" si="34"/>
        <v>3.4776986265592802</v>
      </c>
      <c r="H82" s="699">
        <v>6052.6421663047986</v>
      </c>
      <c r="I82" s="699">
        <v>0.30292063038368611</v>
      </c>
      <c r="J82" s="699">
        <v>0.30196211240652809</v>
      </c>
      <c r="K82" s="3072" t="s">
        <v>199</v>
      </c>
    </row>
    <row r="83" spans="2:11" ht="18" customHeight="1" x14ac:dyDescent="0.2">
      <c r="B83" s="158" t="s">
        <v>245</v>
      </c>
      <c r="C83" s="699">
        <v>4854.5036172000009</v>
      </c>
      <c r="D83" s="3056" t="s">
        <v>97</v>
      </c>
      <c r="E83" s="1938">
        <f t="shared" ref="E83:E87" si="35">IFERROR(H83*1000/$C83,"NA")</f>
        <v>90.049040656022996</v>
      </c>
      <c r="F83" s="1938">
        <f t="shared" si="34"/>
        <v>0.95238095238095255</v>
      </c>
      <c r="G83" s="1938">
        <f t="shared" si="34"/>
        <v>0.75923809523809516</v>
      </c>
      <c r="H83" s="699">
        <v>437.14339359005356</v>
      </c>
      <c r="I83" s="699">
        <v>4.6233367782857158E-3</v>
      </c>
      <c r="J83" s="699">
        <v>3.6857240796493718E-3</v>
      </c>
      <c r="K83" s="3072" t="s">
        <v>199</v>
      </c>
    </row>
    <row r="84" spans="2:11" ht="18" customHeight="1" x14ac:dyDescent="0.2">
      <c r="B84" s="158" t="s">
        <v>246</v>
      </c>
      <c r="C84" s="699">
        <v>5458.6465914000019</v>
      </c>
      <c r="D84" s="3056" t="s">
        <v>97</v>
      </c>
      <c r="E84" s="1938">
        <f t="shared" si="35"/>
        <v>51.411918339265</v>
      </c>
      <c r="F84" s="1938">
        <f t="shared" si="34"/>
        <v>1.9754545454545456</v>
      </c>
      <c r="G84" s="1938">
        <f t="shared" si="34"/>
        <v>0.88481818181818184</v>
      </c>
      <c r="H84" s="699">
        <v>280.63949279996416</v>
      </c>
      <c r="I84" s="699">
        <v>1.0783308221011095E-2</v>
      </c>
      <c r="J84" s="699">
        <v>4.8299097521905653E-3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9.6540110144</v>
      </c>
      <c r="D87" s="3055" t="s">
        <v>97</v>
      </c>
      <c r="E87" s="1938">
        <f t="shared" si="35"/>
        <v>73.453465133280844</v>
      </c>
      <c r="F87" s="1938">
        <f t="shared" si="34"/>
        <v>4.7858659425621557</v>
      </c>
      <c r="G87" s="1938">
        <f t="shared" si="34"/>
        <v>4.0935362062872098</v>
      </c>
      <c r="H87" s="699">
        <v>0.70912056144253965</v>
      </c>
      <c r="I87" s="699">
        <v>4.6202802522936894E-5</v>
      </c>
      <c r="J87" s="699">
        <v>3.9519043623341917E-5</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24809.729717372295</v>
      </c>
      <c r="D95" s="3056" t="s">
        <v>97</v>
      </c>
      <c r="E95" s="615"/>
      <c r="F95" s="615"/>
      <c r="G95" s="615"/>
      <c r="H95" s="1938">
        <f>IF(SUM(H96:H100)=0,"NO",SUM(H96:H100))</f>
        <v>1679.0049758783632</v>
      </c>
      <c r="I95" s="1938">
        <f t="shared" ref="I95:K95" si="41">IF(SUM(I96:I101)=0,"NO",SUM(I96:I101))</f>
        <v>8.3325391279892164E-2</v>
      </c>
      <c r="J95" s="1938">
        <f t="shared" si="41"/>
        <v>8.0874828472769153E-2</v>
      </c>
      <c r="K95" s="3044" t="str">
        <f t="shared" si="41"/>
        <v>NO</v>
      </c>
    </row>
    <row r="96" spans="2:11" ht="18" customHeight="1" x14ac:dyDescent="0.2">
      <c r="B96" s="158" t="s">
        <v>243</v>
      </c>
      <c r="C96" s="699">
        <v>21871.1588012092</v>
      </c>
      <c r="D96" s="3056" t="s">
        <v>97</v>
      </c>
      <c r="E96" s="1938">
        <f>IFERROR(H96*1000/$C96,"NA")</f>
        <v>69.860377394268284</v>
      </c>
      <c r="F96" s="1938">
        <f t="shared" ref="F96:G101" si="42">IFERROR(I96*1000000/$C96,"NA")</f>
        <v>3.6876858655440885</v>
      </c>
      <c r="G96" s="1938">
        <f t="shared" si="42"/>
        <v>3.5756404623079545</v>
      </c>
      <c r="H96" s="699">
        <v>1527.9274079024472</v>
      </c>
      <c r="I96" s="699">
        <v>8.0653963174289356E-2</v>
      </c>
      <c r="J96" s="699">
        <v>7.8203400367166345E-2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2938.5709161630944</v>
      </c>
      <c r="D98" s="3056" t="s">
        <v>97</v>
      </c>
      <c r="E98" s="1938">
        <f t="shared" si="43"/>
        <v>51.411918339265</v>
      </c>
      <c r="F98" s="1938">
        <f t="shared" si="42"/>
        <v>0.90909090909090906</v>
      </c>
      <c r="G98" s="1938">
        <f t="shared" si="42"/>
        <v>0.90909090909090906</v>
      </c>
      <c r="H98" s="699">
        <v>151.07756797591614</v>
      </c>
      <c r="I98" s="699">
        <v>2.6714281056028129E-3</v>
      </c>
      <c r="J98" s="699">
        <v>2.6714281056028129E-3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6596.9630566534252</v>
      </c>
      <c r="D102" s="3055" t="s">
        <v>97</v>
      </c>
      <c r="E102" s="615"/>
      <c r="F102" s="615"/>
      <c r="G102" s="615"/>
      <c r="H102" s="1938">
        <f>IF(SUM(H103:H107)=0,"NO",SUM(H103:H107))</f>
        <v>376.31645525007036</v>
      </c>
      <c r="I102" s="1938">
        <f t="shared" ref="I102:K102" si="47">IF(SUM(I103:I108)=0,"NO",SUM(I103:I108))</f>
        <v>5.9684768378441607E-3</v>
      </c>
      <c r="J102" s="1938">
        <f t="shared" si="47"/>
        <v>5.6480843245691609E-3</v>
      </c>
      <c r="K102" s="3044" t="str">
        <f t="shared" si="47"/>
        <v>NO</v>
      </c>
    </row>
    <row r="103" spans="2:11" ht="18" customHeight="1" x14ac:dyDescent="0.2">
      <c r="B103" s="158" t="s">
        <v>243</v>
      </c>
      <c r="C103" s="699">
        <v>804.44639171650283</v>
      </c>
      <c r="D103" s="3055" t="s">
        <v>97</v>
      </c>
      <c r="E103" s="1938">
        <f>IFERROR(H103*1000/$C103,"NA")</f>
        <v>67.834161670372325</v>
      </c>
      <c r="F103" s="1938">
        <f t="shared" ref="F103:G108" si="48">IFERROR(I103*1000000/$C103,"NA")</f>
        <v>0.79409297878502216</v>
      </c>
      <c r="G103" s="1938">
        <f t="shared" si="48"/>
        <v>1.0737313941259994</v>
      </c>
      <c r="H103" s="699">
        <v>54.568946590844916</v>
      </c>
      <c r="I103" s="699">
        <v>6.3880523147102051E-4</v>
      </c>
      <c r="J103" s="699">
        <v>8.6375934567739033E-4</v>
      </c>
      <c r="K103" s="3072" t="s">
        <v>199</v>
      </c>
    </row>
    <row r="104" spans="2:11" ht="18" customHeight="1" x14ac:dyDescent="0.2">
      <c r="B104" s="158" t="s">
        <v>245</v>
      </c>
      <c r="C104" s="699">
        <v>600.26603826295457</v>
      </c>
      <c r="D104" s="3055" t="s">
        <v>97</v>
      </c>
      <c r="E104" s="1938">
        <f t="shared" ref="E104:E108" si="49">IFERROR(H104*1000/$C104,"NA")</f>
        <v>91.299423839231608</v>
      </c>
      <c r="F104" s="1938">
        <f t="shared" si="48"/>
        <v>0.95238095238095233</v>
      </c>
      <c r="G104" s="1938">
        <f t="shared" si="48"/>
        <v>0.66666666666666652</v>
      </c>
      <c r="H104" s="699">
        <v>54.803943443665908</v>
      </c>
      <c r="I104" s="699">
        <v>5.7168194120281381E-4</v>
      </c>
      <c r="J104" s="699">
        <v>4.0017735884196964E-4</v>
      </c>
      <c r="K104" s="3072" t="s">
        <v>199</v>
      </c>
    </row>
    <row r="105" spans="2:11" ht="18" customHeight="1" x14ac:dyDescent="0.2">
      <c r="B105" s="158" t="s">
        <v>246</v>
      </c>
      <c r="C105" s="699">
        <v>5192.2506266739674</v>
      </c>
      <c r="D105" s="3055" t="s">
        <v>97</v>
      </c>
      <c r="E105" s="1938">
        <f t="shared" si="49"/>
        <v>51.411918339265007</v>
      </c>
      <c r="F105" s="1938">
        <f t="shared" si="48"/>
        <v>0.91636363636363638</v>
      </c>
      <c r="G105" s="1938">
        <f t="shared" si="48"/>
        <v>0.84436363636363643</v>
      </c>
      <c r="H105" s="699">
        <v>266.94356521555954</v>
      </c>
      <c r="I105" s="699">
        <v>4.7579896651703266E-3</v>
      </c>
      <c r="J105" s="699">
        <v>4.3841476200498011E-3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3620.1096762582883</v>
      </c>
      <c r="D118" s="3055" t="s">
        <v>97</v>
      </c>
      <c r="E118" s="615"/>
      <c r="F118" s="615"/>
      <c r="G118" s="615"/>
      <c r="H118" s="1938">
        <f>H119</f>
        <v>195.05097799010716</v>
      </c>
      <c r="I118" s="1938">
        <f>I119</f>
        <v>3.9184973592979767E-2</v>
      </c>
      <c r="J118" s="1938">
        <f>J119</f>
        <v>3.9594960768156596E-3</v>
      </c>
      <c r="K118" s="3044" t="str">
        <f>K119</f>
        <v>NO</v>
      </c>
    </row>
    <row r="119" spans="2:11" ht="18" customHeight="1" x14ac:dyDescent="0.2">
      <c r="B119" s="3069" t="s">
        <v>286</v>
      </c>
      <c r="C119" s="3077">
        <f>IF(SUM(C120:C125)=0,"NO",SUM(C120:C125))</f>
        <v>3620.1096762582883</v>
      </c>
      <c r="D119" s="3055" t="s">
        <v>97</v>
      </c>
      <c r="E119" s="615"/>
      <c r="F119" s="615"/>
      <c r="G119" s="615"/>
      <c r="H119" s="3077">
        <f>IF(SUM(H120:H124)=0,"NO",SUM(H120:H124))</f>
        <v>195.05097799010716</v>
      </c>
      <c r="I119" s="3077">
        <f t="shared" ref="I119" si="56">IF(SUM(I120:I125)=0,"NO",SUM(I120:I125))</f>
        <v>3.9184973592979767E-2</v>
      </c>
      <c r="J119" s="3077">
        <f t="shared" ref="J119" si="57">IF(SUM(J120:J125)=0,"NO",SUM(J120:J125))</f>
        <v>3.9594960768156596E-3</v>
      </c>
      <c r="K119" s="3078" t="str">
        <f t="shared" ref="K119" si="58">IF(SUM(K120:K125)=0,"NO",SUM(K120:K125))</f>
        <v>NO</v>
      </c>
    </row>
    <row r="120" spans="2:11" ht="18" customHeight="1" x14ac:dyDescent="0.2">
      <c r="B120" s="158" t="s">
        <v>243</v>
      </c>
      <c r="C120" s="699">
        <v>889.0419309297522</v>
      </c>
      <c r="D120" s="3055" t="s">
        <v>97</v>
      </c>
      <c r="E120" s="1938">
        <f>IFERROR(H120*1000/$C120,"NA")</f>
        <v>61.460711010412268</v>
      </c>
      <c r="F120" s="1938">
        <f t="shared" ref="F120:G125" si="59">IFERROR(I120*1000000/$C120,"NA")</f>
        <v>41.272387508208304</v>
      </c>
      <c r="G120" s="1938">
        <f t="shared" si="59"/>
        <v>1.7124679829824632</v>
      </c>
      <c r="H120" s="699">
        <v>54.641149193012403</v>
      </c>
      <c r="I120" s="699">
        <v>3.66928830843785E-2</v>
      </c>
      <c r="J120" s="699">
        <v>1.5224558422461071E-3</v>
      </c>
      <c r="K120" s="3072" t="s">
        <v>199</v>
      </c>
    </row>
    <row r="121" spans="2:11" ht="18" customHeight="1" x14ac:dyDescent="0.2">
      <c r="B121" s="158" t="s">
        <v>245</v>
      </c>
      <c r="C121" s="699">
        <v>2.17024E-2</v>
      </c>
      <c r="D121" s="3055" t="s">
        <v>97</v>
      </c>
      <c r="E121" s="1938">
        <f t="shared" ref="E121:E125" si="60">IFERROR(H121*1000/$C121,"NA")</f>
        <v>69.7</v>
      </c>
      <c r="F121" s="1938">
        <f t="shared" si="59"/>
        <v>2.8571428571428572</v>
      </c>
      <c r="G121" s="1938">
        <f t="shared" si="59"/>
        <v>0.5714285714285714</v>
      </c>
      <c r="H121" s="699">
        <v>1.5126572800000001E-3</v>
      </c>
      <c r="I121" s="699">
        <v>6.200685714285714E-8</v>
      </c>
      <c r="J121" s="699">
        <v>1.2401371428571428E-8</v>
      </c>
      <c r="K121" s="3072" t="s">
        <v>199</v>
      </c>
    </row>
    <row r="122" spans="2:11" ht="18" customHeight="1" x14ac:dyDescent="0.2">
      <c r="B122" s="158" t="s">
        <v>246</v>
      </c>
      <c r="C122" s="699">
        <v>2731.0460429285363</v>
      </c>
      <c r="D122" s="3055" t="s">
        <v>97</v>
      </c>
      <c r="E122" s="1938">
        <f t="shared" si="60"/>
        <v>51.411918339265014</v>
      </c>
      <c r="F122" s="1938">
        <f t="shared" si="59"/>
        <v>0.91248132128592352</v>
      </c>
      <c r="G122" s="1938">
        <f t="shared" si="59"/>
        <v>0.89234227284753764</v>
      </c>
      <c r="H122" s="699">
        <v>140.40831613981476</v>
      </c>
      <c r="I122" s="699">
        <v>2.492028501744124E-3</v>
      </c>
      <c r="J122" s="699">
        <v>2.4370278331981238E-3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4975.1470808047579</v>
      </c>
      <c r="D10" s="695">
        <f t="shared" ref="D10:F10" si="0">SUM(D11:D16)</f>
        <v>27143.978748337297</v>
      </c>
      <c r="E10" s="695">
        <f t="shared" si="0"/>
        <v>1827.0218374395422</v>
      </c>
      <c r="F10" s="695">
        <f t="shared" si="0"/>
        <v>3367.0979032777564</v>
      </c>
      <c r="G10" s="696" t="s">
        <v>199</v>
      </c>
      <c r="H10" s="697" t="s">
        <v>2035</v>
      </c>
      <c r="I10" s="698" t="s">
        <v>2036</v>
      </c>
    </row>
    <row r="11" spans="2:9" ht="18" customHeight="1" x14ac:dyDescent="0.2">
      <c r="B11" s="1561" t="s">
        <v>1921</v>
      </c>
      <c r="C11" s="3696">
        <f>Table1!D10</f>
        <v>1378.2179010048872</v>
      </c>
      <c r="D11" s="3697">
        <f>Table1!G10</f>
        <v>2499.002051886092</v>
      </c>
      <c r="E11" s="3697">
        <f>Table1!H10</f>
        <v>724.40069801984009</v>
      </c>
      <c r="F11" s="3697">
        <f>Table1!F10</f>
        <v>2381.2620737725861</v>
      </c>
      <c r="G11" s="3698" t="s">
        <v>199</v>
      </c>
      <c r="H11" s="3699" t="s">
        <v>221</v>
      </c>
      <c r="I11" s="3700" t="s">
        <v>221</v>
      </c>
    </row>
    <row r="12" spans="2:9" ht="18" customHeight="1" x14ac:dyDescent="0.2">
      <c r="B12" s="2419" t="s">
        <v>2037</v>
      </c>
      <c r="C12" s="3149">
        <f>'Table2(I)'!D10</f>
        <v>3.0130608782400001</v>
      </c>
      <c r="D12" s="699">
        <f>'Table2(I)'!L10</f>
        <v>8.791235453705708</v>
      </c>
      <c r="E12" s="699">
        <f>'Table2(I)'!M10</f>
        <v>229.2808028723602</v>
      </c>
      <c r="F12" s="699">
        <f>'Table2(I)'!K10</f>
        <v>32.89694912647856</v>
      </c>
      <c r="G12" s="3125" t="s">
        <v>199</v>
      </c>
      <c r="H12" s="3701" t="s">
        <v>199</v>
      </c>
      <c r="I12" s="2921" t="s">
        <v>199</v>
      </c>
    </row>
    <row r="13" spans="2:9" ht="18" customHeight="1" x14ac:dyDescent="0.2">
      <c r="B13" s="2419" t="s">
        <v>2038</v>
      </c>
      <c r="C13" s="3149">
        <f>Table3!D10</f>
        <v>2397.1864633585074</v>
      </c>
      <c r="D13" s="699">
        <f>Table3!G10</f>
        <v>396.62812592741602</v>
      </c>
      <c r="E13" s="699">
        <f>Table3!H10</f>
        <v>23.136640679099266</v>
      </c>
      <c r="F13" s="699">
        <f>Table3!F10</f>
        <v>24.52548966721486</v>
      </c>
      <c r="G13" s="3702"/>
      <c r="H13" s="3701" t="s">
        <v>221</v>
      </c>
      <c r="I13" s="2921" t="s">
        <v>274</v>
      </c>
    </row>
    <row r="14" spans="2:9" ht="18" customHeight="1" x14ac:dyDescent="0.2">
      <c r="B14" s="2419" t="s">
        <v>2039</v>
      </c>
      <c r="C14" s="3149">
        <f>Table4!D10</f>
        <v>701.09816966539324</v>
      </c>
      <c r="D14" s="699">
        <f>Table4!G10</f>
        <v>24239.557335070083</v>
      </c>
      <c r="E14" s="3125">
        <f>Table4!H10</f>
        <v>609.72812900154247</v>
      </c>
      <c r="F14" s="3125">
        <f>Table4!F10</f>
        <v>928.41339071147706</v>
      </c>
      <c r="G14" s="3702"/>
      <c r="H14" s="3703" t="s">
        <v>221</v>
      </c>
      <c r="I14" s="2921" t="s">
        <v>221</v>
      </c>
    </row>
    <row r="15" spans="2:9" ht="18" customHeight="1" x14ac:dyDescent="0.2">
      <c r="B15" s="2419" t="s">
        <v>2040</v>
      </c>
      <c r="C15" s="3149">
        <f>Table5!D10</f>
        <v>495.63148589773073</v>
      </c>
      <c r="D15" s="699" t="str">
        <f>Table5!G10</f>
        <v>NO</v>
      </c>
      <c r="E15" s="3125">
        <f>Table5!H10</f>
        <v>240.47556686670018</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2012</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409527.10068648931</v>
      </c>
      <c r="D10" s="3840">
        <f>SUM(D11,D22,D30,D41,D50,D56)</f>
        <v>385961.97760480928</v>
      </c>
      <c r="E10" s="3842">
        <f>IF(D10="NO",IF(C10="NO","NA",-C10),IF(C10="NO",D10,D10-C10))</f>
        <v>-23565.123081680038</v>
      </c>
      <c r="F10" s="3840">
        <f>IF(E10="NA","NA",E10/C10*100)</f>
        <v>-5.7542279966766241</v>
      </c>
      <c r="G10" s="3843">
        <f>IF(E10="NA","NA",E10/Table8s2!$G$35*100)</f>
        <v>-4.2799331885358702</v>
      </c>
      <c r="H10" s="3844">
        <f>IF(E10="NA","NA",E10/Table8s2!$G$34*100)</f>
        <v>-4.2486309580376673</v>
      </c>
      <c r="I10" s="4488">
        <f>SUM(I11,I22,I30,I41,I50,I56)</f>
        <v>138400.25247650445</v>
      </c>
      <c r="J10" s="3840">
        <f>SUM(J11,J22,J30,J41,J50,J56)</f>
        <v>139304.11826253324</v>
      </c>
      <c r="K10" s="3842">
        <f t="shared" ref="K10:K12" si="0">IF(J10="NO",IF(I10="NO","NA",-I10),IF(I10="NO",J10,J10-I10))</f>
        <v>903.86578602879308</v>
      </c>
      <c r="L10" s="3840">
        <f t="shared" ref="L10:L12" si="1">IF(K10="NA","NA",K10/I10*100)</f>
        <v>0.65308102395422873</v>
      </c>
      <c r="M10" s="3843">
        <f>IF(K10="NA","NA",K10/Table8s2!$G$35*100)</f>
        <v>0.16416146702047676</v>
      </c>
      <c r="N10" s="3844">
        <f>IF(K10="NA","NA",K10/Table8s2!$G$34*100)</f>
        <v>0.16296083611031154</v>
      </c>
      <c r="O10" s="4488">
        <f>SUM(O11,O22,O30,O41,O50,O56)</f>
        <v>22950.031127667888</v>
      </c>
      <c r="P10" s="3840">
        <f>SUM(P11,P22,P30,P41,P50,P56)</f>
        <v>21186.565326170472</v>
      </c>
      <c r="Q10" s="3842">
        <f t="shared" ref="Q10:Q12" si="2">IF(P10="NO",IF(O10="NO","NA",-O10),IF(O10="NO",P10,P10-O10))</f>
        <v>-1763.4658014974157</v>
      </c>
      <c r="R10" s="3840">
        <f t="shared" ref="R10:R12" si="3">IF(Q10="NA","NA",Q10/O10*100)</f>
        <v>-7.6839364255651601</v>
      </c>
      <c r="S10" s="3843">
        <f>IF(Q10="NA","NA",Q10/Table8s2!$G$35*100)</f>
        <v>-0.32028331804234783</v>
      </c>
      <c r="T10" s="3844">
        <f>IF(Q10="NA","NA",Q10/Table8s2!$G$34*100)</f>
        <v>-0.31794085571771491</v>
      </c>
    </row>
    <row r="11" spans="2:20" ht="18" customHeight="1" x14ac:dyDescent="0.2">
      <c r="B11" s="1404" t="s">
        <v>1921</v>
      </c>
      <c r="C11" s="3841">
        <f>SUM(C12,C18,C21)</f>
        <v>383050.65741161263</v>
      </c>
      <c r="D11" s="3841">
        <f>Summary2!C11</f>
        <v>382667.64405213739</v>
      </c>
      <c r="E11" s="3845">
        <f t="shared" ref="E11:E38" si="4">IF(D11="NO",IF(C11="NO","NA",-C11),IF(C11="NO",D11,D11-C11))</f>
        <v>-383.01335947524058</v>
      </c>
      <c r="F11" s="3841">
        <f t="shared" ref="F11:F38" si="5">IF(E11="NA","NA",E11/C11*100)</f>
        <v>-9.9990262923284334E-2</v>
      </c>
      <c r="G11" s="3846">
        <f>IF(E11="NA","NA",E11/Table8s2!$G$35*100)</f>
        <v>-6.9563463903360725E-2</v>
      </c>
      <c r="H11" s="3847">
        <f>IF(E11="NA","NA",E11/Table8s2!$G$34*100)</f>
        <v>-6.9054696246148448E-2</v>
      </c>
      <c r="I11" s="3848">
        <f>SUM(I12,I18,I21)</f>
        <v>38391.966544797186</v>
      </c>
      <c r="J11" s="3841">
        <f>Summary2!D11</f>
        <v>38590.101228136838</v>
      </c>
      <c r="K11" s="3845">
        <f t="shared" si="0"/>
        <v>198.13468333965284</v>
      </c>
      <c r="L11" s="3841">
        <f t="shared" si="1"/>
        <v>0.51608370492942024</v>
      </c>
      <c r="M11" s="3846">
        <f>IF(K11="NA","NA",K11/Table8s2!$G$35*100)</f>
        <v>3.5985519960414672E-2</v>
      </c>
      <c r="N11" s="3847">
        <f>IF(K11="NA","NA",K11/Table8s2!$G$34*100)</f>
        <v>3.5722331964065608E-2</v>
      </c>
      <c r="O11" s="3848">
        <f>SUM(O12,O18,O21)</f>
        <v>3262.6606730806543</v>
      </c>
      <c r="P11" s="3841">
        <f>Summary2!E11</f>
        <v>3259.4705405774857</v>
      </c>
      <c r="Q11" s="3845">
        <f t="shared" si="2"/>
        <v>-3.1901325031685701</v>
      </c>
      <c r="R11" s="3841">
        <f t="shared" si="3"/>
        <v>-9.7777023810336927E-2</v>
      </c>
      <c r="S11" s="3846">
        <f>IF(Q11="NA","NA",Q11/Table8s2!$G$35*100)</f>
        <v>-5.7939667570642574E-4</v>
      </c>
      <c r="T11" s="3847">
        <f>IF(Q11="NA","NA",Q11/Table8s2!$G$34*100)</f>
        <v>-5.7515913098459795E-4</v>
      </c>
    </row>
    <row r="12" spans="2:20" ht="18" customHeight="1" x14ac:dyDescent="0.2">
      <c r="B12" s="606" t="s">
        <v>242</v>
      </c>
      <c r="C12" s="3841">
        <f>SUM(C13:C17)</f>
        <v>374763.66058025241</v>
      </c>
      <c r="D12" s="3841">
        <f>Summary2!C12</f>
        <v>374373.11996466469</v>
      </c>
      <c r="E12" s="3841">
        <f t="shared" si="4"/>
        <v>-390.5406155877281</v>
      </c>
      <c r="F12" s="3849">
        <f t="shared" si="5"/>
        <v>-0.10420984120580101</v>
      </c>
      <c r="G12" s="3846">
        <f>IF(E12="NA","NA",E12/Table8s2!$G$35*100)</f>
        <v>-7.0930575509049326E-2</v>
      </c>
      <c r="H12" s="3847">
        <f>IF(E12="NA","NA",E12/Table8s2!$G$34*100)</f>
        <v>-7.0411809181130533E-2</v>
      </c>
      <c r="I12" s="3848">
        <f>SUM(I13:I17)</f>
        <v>2228.6060426216468</v>
      </c>
      <c r="J12" s="3841">
        <f>Summary2!D12</f>
        <v>2228.1800401743117</v>
      </c>
      <c r="K12" s="3841">
        <f t="shared" si="0"/>
        <v>-0.42600244733512227</v>
      </c>
      <c r="L12" s="3849">
        <f t="shared" si="1"/>
        <v>-1.9115197535495745E-2</v>
      </c>
      <c r="M12" s="3846">
        <f>IF(K12="NA","NA",K12/Table8s2!$G$35*100)</f>
        <v>-7.7371206864798079E-5</v>
      </c>
      <c r="N12" s="3847">
        <f>IF(K12="NA","NA",K12/Table8s2!$G$34*100)</f>
        <v>-7.6805335566224216E-5</v>
      </c>
      <c r="O12" s="3850">
        <f>SUM(O13:O17)</f>
        <v>3232.2850089168578</v>
      </c>
      <c r="P12" s="3849">
        <f>Summary2!E12</f>
        <v>3229.0948764136888</v>
      </c>
      <c r="Q12" s="3841">
        <f t="shared" si="2"/>
        <v>-3.1901325031690249</v>
      </c>
      <c r="R12" s="3849">
        <f t="shared" si="3"/>
        <v>-9.8695891431864843E-2</v>
      </c>
      <c r="S12" s="3846">
        <f>IF(Q12="NA","NA",Q12/Table8s2!$G$35*100)</f>
        <v>-5.7939667570650825E-4</v>
      </c>
      <c r="T12" s="3847">
        <f>IF(Q12="NA","NA",Q12/Table8s2!$G$34*100)</f>
        <v>-5.7515913098468003E-4</v>
      </c>
    </row>
    <row r="13" spans="2:20" ht="18" customHeight="1" x14ac:dyDescent="0.2">
      <c r="B13" s="1391" t="s">
        <v>1923</v>
      </c>
      <c r="C13" s="3849">
        <v>221066.87190972731</v>
      </c>
      <c r="D13" s="3841">
        <f>Summary2!C13</f>
        <v>220698.04942543415</v>
      </c>
      <c r="E13" s="3841">
        <f t="shared" si="4"/>
        <v>-368.82248429316678</v>
      </c>
      <c r="F13" s="3849">
        <f t="shared" si="5"/>
        <v>-0.16683751894032114</v>
      </c>
      <c r="G13" s="3846">
        <f>IF(E13="NA","NA",E13/Table8s2!$G$35*100)</f>
        <v>-6.6986095754015276E-2</v>
      </c>
      <c r="H13" s="3847">
        <f>IF(E13="NA","NA",E13/Table8s2!$G$34*100)</f>
        <v>-6.6496178244301943E-2</v>
      </c>
      <c r="I13" s="3848">
        <v>611.96213452505776</v>
      </c>
      <c r="J13" s="3841">
        <f>Summary2!D13</f>
        <v>611.27552982679276</v>
      </c>
      <c r="K13" s="3841">
        <f t="shared" ref="K13" si="6">IF(J13="NO",IF(I13="NO","NA",-I13),IF(I13="NO",J13,J13-I13))</f>
        <v>-0.68660469826500048</v>
      </c>
      <c r="L13" s="3849">
        <f t="shared" ref="L13" si="7">IF(K13="NA","NA",K13/I13*100)</f>
        <v>-0.11219725200773617</v>
      </c>
      <c r="M13" s="3846">
        <f>IF(K13="NA","NA",K13/Table8s2!$G$35*100)</f>
        <v>-1.2470218064736406E-4</v>
      </c>
      <c r="N13" s="3847">
        <f>IF(K13="NA","NA",K13/Table8s2!$G$34*100)</f>
        <v>-1.2379014388643795E-4</v>
      </c>
      <c r="O13" s="3850">
        <v>1093.1890341120566</v>
      </c>
      <c r="P13" s="3849">
        <f>Summary2!E13</f>
        <v>1091.4607833043308</v>
      </c>
      <c r="Q13" s="3841">
        <f t="shared" ref="Q13" si="8">IF(P13="NO",IF(O13="NO","NA",-O13),IF(O13="NO",P13,P13-O13))</f>
        <v>-1.7282508077257717</v>
      </c>
      <c r="R13" s="3849">
        <f t="shared" ref="R13" si="9">IF(Q13="NA","NA",Q13/O13*100)</f>
        <v>-0.15809258543555957</v>
      </c>
      <c r="S13" s="3846">
        <f>IF(Q13="NA","NA",Q13/Table8s2!$G$35*100)</f>
        <v>-3.1388751777196799E-4</v>
      </c>
      <c r="T13" s="3847">
        <f>IF(Q13="NA","NA",Q13/Table8s2!$G$34*100)</f>
        <v>-3.115918325360103E-4</v>
      </c>
    </row>
    <row r="14" spans="2:20" ht="18" customHeight="1" x14ac:dyDescent="0.2">
      <c r="B14" s="1391" t="s">
        <v>1976</v>
      </c>
      <c r="C14" s="3849">
        <v>42444.02596621681</v>
      </c>
      <c r="D14" s="3841">
        <f>Summary2!C14</f>
        <v>42444.02596621681</v>
      </c>
      <c r="E14" s="3841">
        <f t="shared" si="4"/>
        <v>0</v>
      </c>
      <c r="F14" s="3849">
        <f t="shared" si="5"/>
        <v>0</v>
      </c>
      <c r="G14" s="3846">
        <f>IF(E14="NA","NA",E14/Table8s2!$G$35*100)</f>
        <v>0</v>
      </c>
      <c r="H14" s="3847">
        <f>IF(E14="NA","NA",E14/Table8s2!$G$34*100)</f>
        <v>0</v>
      </c>
      <c r="I14" s="3848">
        <v>66.805629414550651</v>
      </c>
      <c r="J14" s="3841">
        <f>Summary2!D14</f>
        <v>66.805629414550651</v>
      </c>
      <c r="K14" s="3841">
        <f t="shared" ref="K14:K20" si="10">IF(J14="NO",IF(I14="NO","NA",-I14),IF(I14="NO",J14,J14-I14))</f>
        <v>0</v>
      </c>
      <c r="L14" s="3849">
        <f t="shared" ref="L14:L20" si="11">IF(K14="NA","NA",K14/I14*100)</f>
        <v>0</v>
      </c>
      <c r="M14" s="3846">
        <f>IF(K14="NA","NA",K14/Table8s2!$G$35*100)</f>
        <v>0</v>
      </c>
      <c r="N14" s="3847">
        <f>IF(K14="NA","NA",K14/Table8s2!$G$34*100)</f>
        <v>0</v>
      </c>
      <c r="O14" s="3850">
        <v>364.390673721366</v>
      </c>
      <c r="P14" s="3849">
        <f>Summary2!E14</f>
        <v>364.39067372136594</v>
      </c>
      <c r="Q14" s="3841">
        <f t="shared" ref="Q14:Q20" si="12">IF(P14="NO",IF(O14="NO","NA",-O14),IF(O14="NO",P14,P14-O14))</f>
        <v>-5.6843418860808015E-14</v>
      </c>
      <c r="R14" s="3849">
        <f t="shared" ref="R14:R20" si="13">IF(Q14="NA","NA",Q14/O14*100)</f>
        <v>-1.5599581152912205E-14</v>
      </c>
      <c r="S14" s="3846">
        <f>IF(Q14="NA","NA",Q14/Table8s2!$G$35*100)</f>
        <v>-1.032398744911938E-17</v>
      </c>
      <c r="T14" s="3847">
        <f>IF(Q14="NA","NA",Q14/Table8s2!$G$34*100)</f>
        <v>-1.0248480701570487E-17</v>
      </c>
    </row>
    <row r="15" spans="2:20" ht="18" customHeight="1" x14ac:dyDescent="0.2">
      <c r="B15" s="1391" t="s">
        <v>1925</v>
      </c>
      <c r="C15" s="3849">
        <v>89768.612818043592</v>
      </c>
      <c r="D15" s="3841">
        <f>Summary2!C15</f>
        <v>89746.900002213864</v>
      </c>
      <c r="E15" s="3841">
        <f t="shared" si="4"/>
        <v>-21.712815829727333</v>
      </c>
      <c r="F15" s="3849">
        <f t="shared" si="5"/>
        <v>-2.4187536320448778E-2</v>
      </c>
      <c r="G15" s="3846">
        <f>IF(E15="NA","NA",E15/Table8s2!$G$35*100)</f>
        <v>-3.9435143522955777E-3</v>
      </c>
      <c r="H15" s="3847">
        <f>IF(E15="NA","NA",E15/Table8s2!$G$34*100)</f>
        <v>-3.9146725947748822E-3</v>
      </c>
      <c r="I15" s="3848">
        <v>450.0431490421106</v>
      </c>
      <c r="J15" s="3841">
        <f>Summary2!D15</f>
        <v>449.93681892811787</v>
      </c>
      <c r="K15" s="3841">
        <f t="shared" si="10"/>
        <v>-0.10633011399272618</v>
      </c>
      <c r="L15" s="3849">
        <f t="shared" si="11"/>
        <v>-2.3626648737802885E-2</v>
      </c>
      <c r="M15" s="3846">
        <f>IF(K15="NA","NA",K15/Table8s2!$G$35*100)</f>
        <v>-1.9311835641209246E-5</v>
      </c>
      <c r="N15" s="3847">
        <f>IF(K15="NA","NA",K15/Table8s2!$G$34*100)</f>
        <v>-1.9170594293749948E-5</v>
      </c>
      <c r="O15" s="3850">
        <v>1591.7468926042895</v>
      </c>
      <c r="P15" s="3849">
        <f>Summary2!E15</f>
        <v>1590.2426242165748</v>
      </c>
      <c r="Q15" s="3841">
        <f t="shared" si="12"/>
        <v>-1.5042683877147738</v>
      </c>
      <c r="R15" s="3849">
        <f t="shared" si="13"/>
        <v>-9.4504245285731939E-2</v>
      </c>
      <c r="S15" s="3846">
        <f>IF(Q15="NA","NA",Q15/Table8s2!$G$35*100)</f>
        <v>-2.7320749290085211E-4</v>
      </c>
      <c r="T15" s="3847">
        <f>IF(Q15="NA","NA",Q15/Table8s2!$G$34*100)</f>
        <v>-2.7120932995299907E-4</v>
      </c>
    </row>
    <row r="16" spans="2:20" ht="18" customHeight="1" x14ac:dyDescent="0.2">
      <c r="B16" s="1391" t="s">
        <v>1926</v>
      </c>
      <c r="C16" s="3849">
        <v>20619.975763741699</v>
      </c>
      <c r="D16" s="3841">
        <f>Summary2!C16</f>
        <v>20619.970448276905</v>
      </c>
      <c r="E16" s="3841">
        <f t="shared" si="4"/>
        <v>-5.3154647939663846E-3</v>
      </c>
      <c r="F16" s="3849">
        <f t="shared" si="5"/>
        <v>-2.5778230075872023E-5</v>
      </c>
      <c r="G16" s="3846">
        <f>IF(E16="NA","NA",E16/Table8s2!$G$35*100)</f>
        <v>-9.6540273120308267E-7</v>
      </c>
      <c r="H16" s="3847">
        <f>IF(E16="NA","NA",E16/Table8s2!$G$34*100)</f>
        <v>-9.5834204649504592E-7</v>
      </c>
      <c r="I16" s="3848">
        <v>1098.9092607630903</v>
      </c>
      <c r="J16" s="3841">
        <f>Summary2!D16</f>
        <v>1099.2776105082598</v>
      </c>
      <c r="K16" s="3841">
        <f t="shared" si="10"/>
        <v>0.36834974516955299</v>
      </c>
      <c r="L16" s="3849">
        <f t="shared" si="11"/>
        <v>3.3519577850656054E-2</v>
      </c>
      <c r="M16" s="3846">
        <f>IF(K16="NA","NA",K16/Table8s2!$G$35*100)</f>
        <v>6.6900236161529324E-5</v>
      </c>
      <c r="N16" s="3847">
        <f>IF(K16="NA","NA",K16/Table8s2!$G$34*100)</f>
        <v>6.641094660478537E-5</v>
      </c>
      <c r="O16" s="3850">
        <v>176.48563194144288</v>
      </c>
      <c r="P16" s="3849">
        <f>Summary2!E16</f>
        <v>176.52806938210668</v>
      </c>
      <c r="Q16" s="3841">
        <f t="shared" si="12"/>
        <v>4.2437440663803727E-2</v>
      </c>
      <c r="R16" s="3849">
        <f t="shared" si="13"/>
        <v>2.4045833191613172E-2</v>
      </c>
      <c r="S16" s="3846">
        <f>IF(Q16="NA","NA",Q16/Table8s2!$G$35*100)</f>
        <v>7.7075519658430026E-6</v>
      </c>
      <c r="T16" s="3847">
        <f>IF(Q16="NA","NA",Q16/Table8s2!$G$34*100)</f>
        <v>7.6511810933121075E-6</v>
      </c>
    </row>
    <row r="17" spans="2:20" ht="18" customHeight="1" x14ac:dyDescent="0.2">
      <c r="B17" s="1391" t="s">
        <v>1927</v>
      </c>
      <c r="C17" s="3849">
        <v>864.17412252301733</v>
      </c>
      <c r="D17" s="3841">
        <f>Summary2!C17</f>
        <v>864.17412252301722</v>
      </c>
      <c r="E17" s="3841">
        <f t="shared" si="4"/>
        <v>-1.1368683772161603E-13</v>
      </c>
      <c r="F17" s="3849">
        <f t="shared" si="5"/>
        <v>-1.3155547563689975E-14</v>
      </c>
      <c r="G17" s="3846">
        <f>IF(E17="NA","NA",E17/Table8s2!$G$35*100)</f>
        <v>-2.0647974898238759E-17</v>
      </c>
      <c r="H17" s="3847">
        <f>IF(E17="NA","NA",E17/Table8s2!$G$34*100)</f>
        <v>-2.0496961403140975E-17</v>
      </c>
      <c r="I17" s="3848">
        <v>0.88586887683750382</v>
      </c>
      <c r="J17" s="3841">
        <f>Summary2!D17</f>
        <v>0.88445149659086042</v>
      </c>
      <c r="K17" s="3841">
        <f t="shared" si="10"/>
        <v>-1.417380246643396E-3</v>
      </c>
      <c r="L17" s="3849">
        <f t="shared" si="11"/>
        <v>-0.15999887609815963</v>
      </c>
      <c r="M17" s="3846">
        <f>IF(K17="NA","NA",K17/Table8s2!$G$35*100)</f>
        <v>-2.5742673769865762E-7</v>
      </c>
      <c r="N17" s="3847">
        <f>IF(K17="NA","NA",K17/Table8s2!$G$34*100)</f>
        <v>-2.5554399076666619E-7</v>
      </c>
      <c r="O17" s="3850">
        <v>6.4727765377027042</v>
      </c>
      <c r="P17" s="3849">
        <f>Summary2!E17</f>
        <v>6.4727257893107017</v>
      </c>
      <c r="Q17" s="3841">
        <f t="shared" si="12"/>
        <v>-5.0748392002475384E-5</v>
      </c>
      <c r="R17" s="3849">
        <f t="shared" si="13"/>
        <v>-7.8402817874022931E-4</v>
      </c>
      <c r="S17" s="3846">
        <f>IF(Q17="NA","NA",Q17/Table8s2!$G$35*100)</f>
        <v>-9.2169994802648757E-9</v>
      </c>
      <c r="T17" s="3847">
        <f>IF(Q17="NA","NA",Q17/Table8s2!$G$34*100)</f>
        <v>-9.1495889321269097E-9</v>
      </c>
    </row>
    <row r="18" spans="2:20" ht="18" customHeight="1" x14ac:dyDescent="0.2">
      <c r="B18" s="606" t="s">
        <v>201</v>
      </c>
      <c r="C18" s="3849">
        <f>SUM(C19:C20)</f>
        <v>8286.996831360193</v>
      </c>
      <c r="D18" s="3841">
        <f>Summary2!C18</f>
        <v>8294.5240874727278</v>
      </c>
      <c r="E18" s="3841">
        <f t="shared" si="4"/>
        <v>7.5272561125348147</v>
      </c>
      <c r="F18" s="3849">
        <f t="shared" si="5"/>
        <v>9.0832134556268707E-2</v>
      </c>
      <c r="G18" s="3846">
        <f>IF(E18="NA","NA",E18/Table8s2!$G$35*100)</f>
        <v>1.3671116056971791E-3</v>
      </c>
      <c r="H18" s="3847">
        <f>IF(E18="NA","NA",E18/Table8s2!$G$34*100)</f>
        <v>1.3571129349906062E-3</v>
      </c>
      <c r="I18" s="3848">
        <f>SUM(I19:I20)</f>
        <v>36163.360502175536</v>
      </c>
      <c r="J18" s="3841">
        <f>Summary2!D18</f>
        <v>36361.921187962529</v>
      </c>
      <c r="K18" s="3841">
        <f t="shared" si="10"/>
        <v>198.56068578699342</v>
      </c>
      <c r="L18" s="3849">
        <f t="shared" si="11"/>
        <v>0.54906591375834202</v>
      </c>
      <c r="M18" s="3846">
        <f>IF(K18="NA","NA",K18/Table8s2!$G$35*100)</f>
        <v>3.606289116728046E-2</v>
      </c>
      <c r="N18" s="3847">
        <f>IF(K18="NA","NA",K18/Table8s2!$G$34*100)</f>
        <v>3.5799137299632813E-2</v>
      </c>
      <c r="O18" s="3850">
        <f>SUM(O19:O20)</f>
        <v>30.375664163796422</v>
      </c>
      <c r="P18" s="3849">
        <f>Summary2!E18</f>
        <v>30.375664163796426</v>
      </c>
      <c r="Q18" s="3841">
        <f t="shared" si="12"/>
        <v>3.5527136788005009E-15</v>
      </c>
      <c r="R18" s="3849">
        <f t="shared" si="13"/>
        <v>1.1695920983465582E-14</v>
      </c>
      <c r="S18" s="3846">
        <f>IF(Q18="NA","NA",Q18/Table8s2!$G$35*100)</f>
        <v>6.4524921556996123E-19</v>
      </c>
      <c r="T18" s="3847">
        <f>IF(Q18="NA","NA",Q18/Table8s2!$G$34*100)</f>
        <v>6.4053004384815546E-19</v>
      </c>
    </row>
    <row r="19" spans="2:20" ht="18" customHeight="1" x14ac:dyDescent="0.2">
      <c r="B19" s="1391" t="s">
        <v>1928</v>
      </c>
      <c r="C19" s="3849">
        <v>1580.2163662576818</v>
      </c>
      <c r="D19" s="3841">
        <f>Summary2!C19</f>
        <v>1580.216366257682</v>
      </c>
      <c r="E19" s="3841">
        <f t="shared" si="4"/>
        <v>2.2737367544323206E-13</v>
      </c>
      <c r="F19" s="3849">
        <f t="shared" si="5"/>
        <v>1.4388768544506696E-14</v>
      </c>
      <c r="G19" s="3846">
        <f>IF(E19="NA","NA",E19/Table8s2!$G$35*100)</f>
        <v>4.1295949796477519E-17</v>
      </c>
      <c r="H19" s="3847">
        <f>IF(E19="NA","NA",E19/Table8s2!$G$34*100)</f>
        <v>4.099392280628195E-17</v>
      </c>
      <c r="I19" s="3848">
        <v>29999.08791361867</v>
      </c>
      <c r="J19" s="3841">
        <f>Summary2!D19</f>
        <v>29999.087913618678</v>
      </c>
      <c r="K19" s="3841">
        <f t="shared" si="10"/>
        <v>7.2759576141834259E-12</v>
      </c>
      <c r="L19" s="3849">
        <f t="shared" si="11"/>
        <v>2.4253929436569181E-14</v>
      </c>
      <c r="M19" s="3846">
        <f>IF(K19="NA","NA",K19/Table8s2!$G$35*100)</f>
        <v>1.3214703934872806E-15</v>
      </c>
      <c r="N19" s="3847">
        <f>IF(K19="NA","NA",K19/Table8s2!$G$34*100)</f>
        <v>1.3118055298010224E-15</v>
      </c>
      <c r="O19" s="3850">
        <v>9.3634103224227161E-2</v>
      </c>
      <c r="P19" s="3849">
        <f>Summary2!E19</f>
        <v>9.3634103224227161E-2</v>
      </c>
      <c r="Q19" s="3841">
        <f t="shared" si="12"/>
        <v>0</v>
      </c>
      <c r="R19" s="3849">
        <f t="shared" si="13"/>
        <v>0</v>
      </c>
      <c r="S19" s="3846">
        <f>IF(Q19="NA","NA",Q19/Table8s2!$G$35*100)</f>
        <v>0</v>
      </c>
      <c r="T19" s="3847">
        <f>IF(Q19="NA","NA",Q19/Table8s2!$G$34*100)</f>
        <v>0</v>
      </c>
    </row>
    <row r="20" spans="2:20" ht="18" customHeight="1" x14ac:dyDescent="0.2">
      <c r="B20" s="1392" t="s">
        <v>1929</v>
      </c>
      <c r="C20" s="3851">
        <v>6706.7804651025117</v>
      </c>
      <c r="D20" s="3852">
        <f>Summary2!C20</f>
        <v>6714.3077212150456</v>
      </c>
      <c r="E20" s="3852">
        <f t="shared" si="4"/>
        <v>7.5272561125339053</v>
      </c>
      <c r="F20" s="3851">
        <f t="shared" si="5"/>
        <v>0.11223352473963605</v>
      </c>
      <c r="G20" s="3853">
        <f>IF(E20="NA","NA",E20/Table8s2!$G$35*100)</f>
        <v>1.3671116056970139E-3</v>
      </c>
      <c r="H20" s="3854">
        <f>IF(E20="NA","NA",E20/Table8s2!$G$34*100)</f>
        <v>1.3571129349904422E-3</v>
      </c>
      <c r="I20" s="3855">
        <v>6164.272588556868</v>
      </c>
      <c r="J20" s="3852">
        <f>Summary2!D20</f>
        <v>6362.8332743438486</v>
      </c>
      <c r="K20" s="3841">
        <f t="shared" si="10"/>
        <v>198.56068578698068</v>
      </c>
      <c r="L20" s="3849">
        <f t="shared" si="11"/>
        <v>3.2211535576084276</v>
      </c>
      <c r="M20" s="3846">
        <f>IF(K20="NA","NA",K20/Table8s2!$G$35*100)</f>
        <v>3.6062891167278149E-2</v>
      </c>
      <c r="N20" s="3847">
        <f>IF(K20="NA","NA",K20/Table8s2!$G$34*100)</f>
        <v>3.5799137299630517E-2</v>
      </c>
      <c r="O20" s="3856">
        <v>30.282030060572197</v>
      </c>
      <c r="P20" s="3851">
        <f>Summary2!E20</f>
        <v>30.2820300605722</v>
      </c>
      <c r="Q20" s="3841">
        <f t="shared" si="12"/>
        <v>3.5527136788005009E-15</v>
      </c>
      <c r="R20" s="3849">
        <f t="shared" si="13"/>
        <v>1.1732085569210911E-14</v>
      </c>
      <c r="S20" s="3846">
        <f>IF(Q20="NA","NA",Q20/Table8s2!$G$35*100)</f>
        <v>6.4524921556996123E-19</v>
      </c>
      <c r="T20" s="3847">
        <f>IF(Q20="NA","NA",Q20/Table8s2!$G$34*100)</f>
        <v>6.4053004384815546E-19</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21453.369801551238</v>
      </c>
      <c r="D22" s="3841">
        <f>Summary2!C22</f>
        <v>21453.352539628704</v>
      </c>
      <c r="E22" s="3863">
        <f t="shared" si="4"/>
        <v>-1.7261922534089535E-2</v>
      </c>
      <c r="F22" s="3863">
        <f t="shared" si="5"/>
        <v>-8.0462522642206873E-5</v>
      </c>
      <c r="G22" s="3864">
        <f>IF(E22="NA","NA",E22/Table8s2!$G$35*100)</f>
        <v>-3.1351364003280171E-6</v>
      </c>
      <c r="H22" s="3865">
        <f>IF(E22="NA","NA",E22/Table8s2!$G$34*100)</f>
        <v>-3.1122068923372746E-6</v>
      </c>
      <c r="I22" s="3841">
        <f>SUM(I23:I29)</f>
        <v>84.365704590720043</v>
      </c>
      <c r="J22" s="3841">
        <f>Summary2!D22</f>
        <v>84.36570459072</v>
      </c>
      <c r="K22" s="3863">
        <f t="shared" ref="K22" si="14">IF(J22="NO",IF(I22="NO","NA",-I22),IF(I22="NO",J22,J22-I22))</f>
        <v>-4.2632564145606011E-14</v>
      </c>
      <c r="L22" s="3863">
        <f t="shared" ref="L22" si="15">IF(K22="NA","NA",K22/I22*100)</f>
        <v>-5.0533050547527169E-14</v>
      </c>
      <c r="M22" s="3864">
        <f>IF(K22="NA","NA",K22/Table8s2!$G$35*100)</f>
        <v>-7.7429905868395344E-18</v>
      </c>
      <c r="N22" s="3865">
        <f>IF(K22="NA","NA",K22/Table8s2!$G$34*100)</f>
        <v>-7.6863605261778663E-18</v>
      </c>
      <c r="O22" s="3841">
        <f>SUM(O23:O29)</f>
        <v>2158.2144264774756</v>
      </c>
      <c r="P22" s="3841">
        <f>Summary2!E22</f>
        <v>2158.2144264774756</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6411.4761811194585</v>
      </c>
      <c r="D23" s="3841">
        <f>Summary2!C23</f>
        <v>6411.455571665676</v>
      </c>
      <c r="E23" s="3841">
        <f t="shared" si="4"/>
        <v>-2.0609453782526543E-2</v>
      </c>
      <c r="F23" s="3849">
        <f t="shared" si="5"/>
        <v>-3.2144631283537086E-4</v>
      </c>
      <c r="G23" s="3846">
        <f>IF(E23="NA","NA",E23/Table8s2!$G$35*100)</f>
        <v>-3.7431200734956194E-6</v>
      </c>
      <c r="H23" s="3847">
        <f>IF(E23="NA","NA",E23/Table8s2!$G$34*100)</f>
        <v>-3.715743943504418E-6</v>
      </c>
      <c r="I23" s="1950"/>
      <c r="J23" s="1950"/>
      <c r="K23" s="1950"/>
      <c r="L23" s="1950"/>
      <c r="M23" s="1950"/>
      <c r="N23" s="1950"/>
      <c r="O23" s="1950"/>
      <c r="P23" s="1950"/>
      <c r="Q23" s="1950"/>
      <c r="R23" s="1950"/>
      <c r="S23" s="1950"/>
      <c r="T23" s="1950"/>
    </row>
    <row r="24" spans="2:20" ht="18" customHeight="1" x14ac:dyDescent="0.2">
      <c r="B24" s="1393" t="s">
        <v>846</v>
      </c>
      <c r="C24" s="3841">
        <v>3232.4615421484659</v>
      </c>
      <c r="D24" s="3841">
        <f>Summary2!C24</f>
        <v>3232.4648896797153</v>
      </c>
      <c r="E24" s="3841">
        <f t="shared" si="4"/>
        <v>3.3475312493465026E-3</v>
      </c>
      <c r="F24" s="3849">
        <f t="shared" si="5"/>
        <v>1.0355981674329697E-4</v>
      </c>
      <c r="G24" s="3846">
        <f>IF(E24="NA","NA",E24/Table8s2!$G$35*100)</f>
        <v>6.079836733327857E-7</v>
      </c>
      <c r="H24" s="3847">
        <f>IF(E24="NA","NA",E24/Table8s2!$G$34*100)</f>
        <v>6.035370513311189E-7</v>
      </c>
      <c r="I24" s="3848">
        <v>16.177380800000002</v>
      </c>
      <c r="J24" s="3841">
        <f>Summary2!D24</f>
        <v>16.177380800000002</v>
      </c>
      <c r="K24" s="3841">
        <f t="shared" ref="K24" si="18">IF(J24="NO",IF(I24="NO","NA",-I24),IF(I24="NO",J24,J24-I24))</f>
        <v>0</v>
      </c>
      <c r="L24" s="3849">
        <f t="shared" ref="L24" si="19">IF(K24="NA","NA",K24/I24*100)</f>
        <v>0</v>
      </c>
      <c r="M24" s="3846">
        <f>IF(K24="NA","NA",K24/Table8s2!$G$35*100)</f>
        <v>0</v>
      </c>
      <c r="N24" s="3847">
        <f>IF(K24="NA","NA",K24/Table8s2!$G$34*100)</f>
        <v>0</v>
      </c>
      <c r="O24" s="3850">
        <v>2141.1576904064573</v>
      </c>
      <c r="P24" s="3849">
        <f>Summary2!E24</f>
        <v>2141.1576904064573</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11398.781007211961</v>
      </c>
      <c r="D25" s="3841">
        <f>Summary2!C25</f>
        <v>11398.781007211961</v>
      </c>
      <c r="E25" s="3841">
        <f t="shared" si="4"/>
        <v>0</v>
      </c>
      <c r="F25" s="3849">
        <f t="shared" si="5"/>
        <v>0</v>
      </c>
      <c r="G25" s="3846">
        <f>IF(E25="NA","NA",E25/Table8s2!$G$35*100)</f>
        <v>0</v>
      </c>
      <c r="H25" s="3847">
        <f>IF(E25="NA","NA",E25/Table8s2!$G$34*100)</f>
        <v>0</v>
      </c>
      <c r="I25" s="3848">
        <v>68.188323790720034</v>
      </c>
      <c r="J25" s="3841">
        <f>Summary2!D25</f>
        <v>68.188323790720005</v>
      </c>
      <c r="K25" s="3841">
        <f t="shared" ref="K25:K26" si="22">IF(J25="NO",IF(I25="NO","NA",-I25),IF(I25="NO",J25,J25-I25))</f>
        <v>-2.8421709430404007E-14</v>
      </c>
      <c r="L25" s="3849">
        <f t="shared" ref="L25:L26" si="23">IF(K25="NA","NA",K25/I25*100)</f>
        <v>-4.1681196794973875E-14</v>
      </c>
      <c r="M25" s="3846">
        <f>IF(K25="NA","NA",K25/Table8s2!$G$35*100)</f>
        <v>-5.1619937245596899E-18</v>
      </c>
      <c r="N25" s="3847">
        <f>IF(K25="NA","NA",K25/Table8s2!$G$34*100)</f>
        <v>-5.1242403507852437E-18</v>
      </c>
      <c r="O25" s="3850">
        <v>17.05673607101857</v>
      </c>
      <c r="P25" s="3849">
        <f>Summary2!E25</f>
        <v>17.05673607101857</v>
      </c>
      <c r="Q25" s="3841">
        <f t="shared" ref="Q25:Q29" si="24">IF(P25="NO",IF(O25="NO","NA",-O25),IF(O25="NO",P25,P25-O25))</f>
        <v>0</v>
      </c>
      <c r="R25" s="3849">
        <f t="shared" ref="R25:R29" si="25">IF(Q25="NA","NA",Q25/O25*100)</f>
        <v>0</v>
      </c>
      <c r="S25" s="3846">
        <f>IF(Q25="NA","NA",Q25/Table8s2!$G$35*100)</f>
        <v>0</v>
      </c>
      <c r="T25" s="3847">
        <f>IF(Q25="NA","NA",Q25/Table8s2!$G$34*100)</f>
        <v>0</v>
      </c>
    </row>
    <row r="26" spans="2:20" ht="18" customHeight="1" x14ac:dyDescent="0.2">
      <c r="B26" s="1394" t="s">
        <v>1978</v>
      </c>
      <c r="C26" s="3841">
        <v>192.64508823</v>
      </c>
      <c r="D26" s="3841">
        <f>Summary2!C26</f>
        <v>192.64508823</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218.00598284134924</v>
      </c>
      <c r="D29" s="3857">
        <f>Summary2!C30</f>
        <v>218.00598284134924</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2045.0737274324219</v>
      </c>
      <c r="D30" s="3877">
        <f>Summary2!C31</f>
        <v>2045.0737274324219</v>
      </c>
      <c r="E30" s="3863">
        <f t="shared" si="4"/>
        <v>0</v>
      </c>
      <c r="F30" s="3878">
        <f t="shared" si="5"/>
        <v>0</v>
      </c>
      <c r="G30" s="3879">
        <f>IF(E30="NA","NA",E30/Table8s2!$G$35*100)</f>
        <v>0</v>
      </c>
      <c r="H30" s="3880">
        <f>IF(E30="NA","NA",E30/Table8s2!$G$34*100)</f>
        <v>0</v>
      </c>
      <c r="I30" s="3876">
        <f>SUM(I31:I40)</f>
        <v>67120.771126774009</v>
      </c>
      <c r="J30" s="3877">
        <f>Summary2!D31</f>
        <v>67121.22097403821</v>
      </c>
      <c r="K30" s="3863">
        <f t="shared" ref="K30" si="28">IF(J30="NO",IF(I30="NO","NA",-I30),IF(I30="NO",J30,J30-I30))</f>
        <v>0.44984726420079824</v>
      </c>
      <c r="L30" s="3878">
        <f t="shared" ref="L30" si="29">IF(K30="NA","NA",K30/I30*100)</f>
        <v>6.702057450310747E-4</v>
      </c>
      <c r="M30" s="3879">
        <f>IF(K30="NA","NA",K30/Table8s2!$G$35*100)</f>
        <v>8.1701938460140581E-5</v>
      </c>
      <c r="N30" s="3880">
        <f>IF(K30="NA","NA",K30/Table8s2!$G$34*100)</f>
        <v>8.1104393405773901E-5</v>
      </c>
      <c r="O30" s="3876">
        <f>SUM(O31:O40)</f>
        <v>12276.929759639343</v>
      </c>
      <c r="P30" s="3877">
        <f>Summary2!E31</f>
        <v>10768.795372674102</v>
      </c>
      <c r="Q30" s="3863">
        <f t="shared" ref="Q30" si="30">IF(P30="NO",IF(O30="NO","NA",-O30),IF(O30="NO",P30,P30-O30))</f>
        <v>-1508.134386965241</v>
      </c>
      <c r="R30" s="3882">
        <f t="shared" ref="R30" si="31">IF(Q30="NA","NA",Q30/O30*100)</f>
        <v>-12.28429596398982</v>
      </c>
      <c r="S30" s="3883">
        <f>IF(Q30="NA","NA",Q30/Table8s2!$G$35*100)</f>
        <v>-0.27390964151435937</v>
      </c>
      <c r="T30" s="3884">
        <f>IF(Q30="NA","NA",Q30/Table8s2!$G$34*100)</f>
        <v>-0.27190634324855256</v>
      </c>
    </row>
    <row r="31" spans="2:20" ht="18" customHeight="1" x14ac:dyDescent="0.2">
      <c r="B31" s="606" t="s">
        <v>1938</v>
      </c>
      <c r="C31" s="3869"/>
      <c r="D31" s="3869"/>
      <c r="E31" s="3870"/>
      <c r="F31" s="3870"/>
      <c r="G31" s="3871"/>
      <c r="H31" s="3872"/>
      <c r="I31" s="3848">
        <v>59481.050339289817</v>
      </c>
      <c r="J31" s="3841">
        <f>Summary2!D32</f>
        <v>59481.05033928981</v>
      </c>
      <c r="K31" s="3885">
        <f t="shared" ref="K31:K33" si="32">IF(J31="NO",IF(I31="NO","NA",-I31),IF(I31="NO",J31,J31-I31))</f>
        <v>-7.2759576141834259E-12</v>
      </c>
      <c r="L31" s="3885">
        <f t="shared" ref="L31:L33" si="33">IF(K31="NA","NA",K31/I31*100)</f>
        <v>-1.2232395986083219E-14</v>
      </c>
      <c r="M31" s="3886">
        <f>IF(K31="NA","NA",K31/Table8s2!$G$35*100)</f>
        <v>-1.3214703934872806E-15</v>
      </c>
      <c r="N31" s="3887">
        <f>IF(K31="NA","NA",K31/Table8s2!$G$34*100)</f>
        <v>-1.3118055298010224E-15</v>
      </c>
      <c r="O31" s="3888"/>
      <c r="P31" s="3889"/>
      <c r="Q31" s="3870"/>
      <c r="R31" s="3890"/>
      <c r="S31" s="3891"/>
      <c r="T31" s="3892"/>
    </row>
    <row r="32" spans="2:20" ht="18" customHeight="1" x14ac:dyDescent="0.2">
      <c r="B32" s="606" t="s">
        <v>1939</v>
      </c>
      <c r="C32" s="3893"/>
      <c r="D32" s="3893"/>
      <c r="E32" s="3894"/>
      <c r="F32" s="3894"/>
      <c r="G32" s="3871"/>
      <c r="H32" s="3872"/>
      <c r="I32" s="3848">
        <v>6896.1828749722054</v>
      </c>
      <c r="J32" s="3849">
        <f>Summary2!D33</f>
        <v>6896.6327222364152</v>
      </c>
      <c r="K32" s="3895">
        <f t="shared" si="32"/>
        <v>0.44984726420989318</v>
      </c>
      <c r="L32" s="3895">
        <f t="shared" si="33"/>
        <v>6.5231342086720153E-3</v>
      </c>
      <c r="M32" s="3886">
        <f>IF(K32="NA","NA",K32/Table8s2!$G$35*100)</f>
        <v>8.1701938461792404E-5</v>
      </c>
      <c r="N32" s="3887">
        <f>IF(K32="NA","NA",K32/Table8s2!$G$34*100)</f>
        <v>8.1104393407413662E-5</v>
      </c>
      <c r="O32" s="3850">
        <v>432.16848678751478</v>
      </c>
      <c r="P32" s="3849">
        <f>Summary2!E33</f>
        <v>489.1665974321175</v>
      </c>
      <c r="Q32" s="3895">
        <f t="shared" ref="Q32" si="34">IF(P32="NO",IF(O32="NO","NA",-O32),IF(O32="NO",P32,P32-O32))</f>
        <v>56.998110644602718</v>
      </c>
      <c r="R32" s="3896">
        <f t="shared" ref="R32" si="35">IF(Q32="NA","NA",Q32/O32*100)</f>
        <v>13.188863229777118</v>
      </c>
      <c r="S32" s="3897">
        <f>IF(Q32="NA","NA",Q32/Table8s2!$G$35*100)</f>
        <v>1.0352082804155801E-2</v>
      </c>
      <c r="T32" s="3898">
        <f>IF(Q32="NA","NA",Q32/Table8s2!$G$34*100)</f>
        <v>1.027637057506303E-2</v>
      </c>
    </row>
    <row r="33" spans="2:21" ht="18" customHeight="1" x14ac:dyDescent="0.2">
      <c r="B33" s="606" t="s">
        <v>1940</v>
      </c>
      <c r="C33" s="3893"/>
      <c r="D33" s="3893"/>
      <c r="E33" s="3894"/>
      <c r="F33" s="3894"/>
      <c r="G33" s="3899"/>
      <c r="H33" s="3900"/>
      <c r="I33" s="3850">
        <v>458.77925800000003</v>
      </c>
      <c r="J33" s="3849">
        <f>Summary2!D34</f>
        <v>458.77925800000003</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11732.268995815082</v>
      </c>
      <c r="P34" s="3849">
        <f>Summary2!E35</f>
        <v>10167.136498205238</v>
      </c>
      <c r="Q34" s="3895">
        <f t="shared" ref="Q34" si="36">IF(P34="NO",IF(O34="NO","NA",-O34),IF(O34="NO",P34,P34-O34))</f>
        <v>-1565.132497609844</v>
      </c>
      <c r="R34" s="3896">
        <f t="shared" ref="R34" si="37">IF(Q34="NA","NA",Q34/O34*100)</f>
        <v>-13.340407538969052</v>
      </c>
      <c r="S34" s="3897">
        <f>IF(Q34="NA","NA",Q34/Table8s2!$G$35*100)</f>
        <v>-0.28426172431851521</v>
      </c>
      <c r="T34" s="3898">
        <f>IF(Q34="NA","NA",Q34/Table8s2!$G$34*100)</f>
        <v>-0.28218271382361565</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284.75865451199087</v>
      </c>
      <c r="J36" s="3849">
        <f>Summary2!D37</f>
        <v>284.75865451199093</v>
      </c>
      <c r="K36" s="3895">
        <f t="shared" ref="K36" si="38">IF(J36="NO",IF(I36="NO","NA",-I36),IF(I36="NO",J36,J36-I36))</f>
        <v>5.6843418860808015E-14</v>
      </c>
      <c r="L36" s="3895">
        <f t="shared" ref="L36" si="39">IF(K36="NA","NA",K36/I36*100)</f>
        <v>1.9961963564627812E-14</v>
      </c>
      <c r="M36" s="3886">
        <f>IF(K36="NA","NA",K36/Table8s2!$G$35*100)</f>
        <v>1.032398744911938E-17</v>
      </c>
      <c r="N36" s="3887">
        <f>IF(K36="NA","NA",K36/Table8s2!$G$34*100)</f>
        <v>1.0248480701570487E-17</v>
      </c>
      <c r="O36" s="3850">
        <v>112.49227703674495</v>
      </c>
      <c r="P36" s="3849">
        <f>Summary2!E37</f>
        <v>112.49227703674494</v>
      </c>
      <c r="Q36" s="3895">
        <f t="shared" ref="Q36" si="40">IF(P36="NO",IF(O36="NO","NA",-O36),IF(O36="NO",P36,P36-O36))</f>
        <v>-1.4210854715202004E-14</v>
      </c>
      <c r="R36" s="3896">
        <f t="shared" ref="R36" si="41">IF(Q36="NA","NA",Q36/O36*100)</f>
        <v>-1.2632738077263837E-14</v>
      </c>
      <c r="S36" s="3897">
        <f>IF(Q36="NA","NA",Q36/Table8s2!$G$35*100)</f>
        <v>-2.5809968622798449E-18</v>
      </c>
      <c r="T36" s="3898">
        <f>IF(Q36="NA","NA",Q36/Table8s2!$G$34*100)</f>
        <v>-2.5621201753926218E-18</v>
      </c>
    </row>
    <row r="37" spans="2:21" ht="18" customHeight="1" x14ac:dyDescent="0.2">
      <c r="B37" s="606" t="s">
        <v>955</v>
      </c>
      <c r="C37" s="3849">
        <v>924.61635380044606</v>
      </c>
      <c r="D37" s="3849">
        <f>Summary2!C38</f>
        <v>924.61635380044606</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1120.457373631976</v>
      </c>
      <c r="D38" s="3849">
        <f>Summary2!C39</f>
        <v>1120.457373631976</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2947.3699441122949</v>
      </c>
      <c r="D41" s="3841">
        <f>Summary2!C42</f>
        <v>-20234.722516169961</v>
      </c>
      <c r="E41" s="3931">
        <f t="shared" ref="E41" si="42">IF(D41="NO",IF(C41="NO","NA",-C41),IF(C41="NO",D41,D41-C41))</f>
        <v>-23182.092460282256</v>
      </c>
      <c r="F41" s="3931">
        <f t="shared" ref="F41" si="43">IF(E41="NA","NA",E41/C41*100)</f>
        <v>-786.53487345866142</v>
      </c>
      <c r="G41" s="3871"/>
      <c r="H41" s="3931">
        <f>IF(E41="NA","NA",E41/Table8s2!$G$34*100)</f>
        <v>-4.1795731495846251</v>
      </c>
      <c r="I41" s="3848">
        <f>SUM(I42:I49)</f>
        <v>18911.838429597228</v>
      </c>
      <c r="J41" s="3841">
        <f>Summary2!D42</f>
        <v>19630.74875063101</v>
      </c>
      <c r="K41" s="3931">
        <f t="shared" ref="K41:K46" si="44">IF(J41="NO",IF(I41="NO","NA",-I41),IF(I41="NO",J41,J41-I41))</f>
        <v>718.91032103378166</v>
      </c>
      <c r="L41" s="3931">
        <f t="shared" ref="L41:L46" si="45">IF(K41="NA","NA",K41/I41*100)</f>
        <v>3.801377236327693</v>
      </c>
      <c r="M41" s="3891"/>
      <c r="N41" s="3932">
        <f>IF(K41="NA","NA",K41/Table8s2!$G$34*100)</f>
        <v>0.129614627320638</v>
      </c>
      <c r="O41" s="3848">
        <f>SUM(O42:O49)</f>
        <v>4912.6852730009641</v>
      </c>
      <c r="P41" s="3841">
        <f>Summary2!E42</f>
        <v>4660.543990971958</v>
      </c>
      <c r="Q41" s="3931">
        <f t="shared" ref="Q41" si="46">IF(P41="NO",IF(O41="NO","NA",-O41),IF(O41="NO",P41,P41-O41))</f>
        <v>-252.14128202900611</v>
      </c>
      <c r="R41" s="3931">
        <f t="shared" ref="R41" si="47">IF(Q41="NA","NA",Q41/O41*100)</f>
        <v>-5.1324533939660055</v>
      </c>
      <c r="S41" s="3891"/>
      <c r="T41" s="3932">
        <f>IF(Q41="NA","NA",Q41/Table8s2!$G$34*100)</f>
        <v>-4.5459353338177778E-2</v>
      </c>
      <c r="U41" s="721"/>
    </row>
    <row r="42" spans="2:21" ht="18" customHeight="1" x14ac:dyDescent="0.2">
      <c r="B42" s="606" t="s">
        <v>1252</v>
      </c>
      <c r="C42" s="3849">
        <v>-46193.257331282111</v>
      </c>
      <c r="D42" s="3849">
        <f>Summary2!C43</f>
        <v>-37190.547511791498</v>
      </c>
      <c r="E42" s="3933">
        <f t="shared" ref="E42:E50" si="48">IF(D42="NO",IF(C42="NO","NA",-C42),IF(C42="NO",D42,D42-C42))</f>
        <v>9002.7098194906139</v>
      </c>
      <c r="F42" s="3933">
        <f t="shared" ref="F42:F50" si="49">IF(E42="NA","NA",E42/C42*100)</f>
        <v>-19.489229250334706</v>
      </c>
      <c r="G42" s="3891"/>
      <c r="H42" s="3933">
        <f>IF(E42="NA","NA",E42/Table8s2!$G$34*100)</f>
        <v>1.6231271745426674</v>
      </c>
      <c r="I42" s="3850">
        <v>8254.2641985784303</v>
      </c>
      <c r="J42" s="3849">
        <f>Summary2!D43</f>
        <v>8628.3518768821359</v>
      </c>
      <c r="K42" s="3933">
        <f t="shared" si="44"/>
        <v>374.08767830370562</v>
      </c>
      <c r="L42" s="3933">
        <f t="shared" si="45"/>
        <v>4.5320536065241512</v>
      </c>
      <c r="M42" s="3891"/>
      <c r="N42" s="3934">
        <f>IF(K42="NA","NA",K42/Table8s2!$G$34*100)</f>
        <v>6.7445456811433227E-2</v>
      </c>
      <c r="O42" s="3850">
        <v>1696.5984124679785</v>
      </c>
      <c r="P42" s="3849">
        <f>Summary2!E43</f>
        <v>1893.1900832434962</v>
      </c>
      <c r="Q42" s="3933">
        <f t="shared" ref="Q42:Q46" si="50">IF(P42="NO",IF(O42="NO","NA",-O42),IF(O42="NO",P42,P42-O42))</f>
        <v>196.59167077551774</v>
      </c>
      <c r="R42" s="3933">
        <f t="shared" ref="R42:R46" si="51">IF(Q42="NA","NA",Q42/O42*100)</f>
        <v>11.587401551881872</v>
      </c>
      <c r="S42" s="3891"/>
      <c r="T42" s="3934">
        <f>IF(Q42="NA","NA",Q42/Table8s2!$G$34*100)</f>
        <v>3.5444137323371282E-2</v>
      </c>
      <c r="U42" s="721"/>
    </row>
    <row r="43" spans="2:21" ht="18" customHeight="1" x14ac:dyDescent="0.2">
      <c r="B43" s="606" t="s">
        <v>1255</v>
      </c>
      <c r="C43" s="3849">
        <v>3415.2845572074875</v>
      </c>
      <c r="D43" s="3849">
        <f>Summary2!C44</f>
        <v>-969.91863339067083</v>
      </c>
      <c r="E43" s="3933">
        <f t="shared" si="48"/>
        <v>-4385.2031905981585</v>
      </c>
      <c r="F43" s="3933">
        <f t="shared" si="49"/>
        <v>-128.3993505414883</v>
      </c>
      <c r="G43" s="3891"/>
      <c r="H43" s="3933">
        <f>IF(E43="NA","NA",E43/Table8s2!$G$34*100)</f>
        <v>-0.790622224559695</v>
      </c>
      <c r="I43" s="3850">
        <v>37.317974399999997</v>
      </c>
      <c r="J43" s="3849">
        <f>Summary2!D44</f>
        <v>36.834081132658419</v>
      </c>
      <c r="K43" s="3933">
        <f t="shared" si="44"/>
        <v>-0.48389326734157834</v>
      </c>
      <c r="L43" s="3933">
        <f t="shared" si="45"/>
        <v>-1.2966761329403194</v>
      </c>
      <c r="M43" s="3891"/>
      <c r="N43" s="3934">
        <f>IF(K43="NA","NA",K43/Table8s2!$G$34*100)</f>
        <v>-8.7242655550214755E-5</v>
      </c>
      <c r="O43" s="3850">
        <v>31.385080050917818</v>
      </c>
      <c r="P43" s="3849">
        <f>Summary2!E44</f>
        <v>24.163895339139945</v>
      </c>
      <c r="Q43" s="3933">
        <f t="shared" si="50"/>
        <v>-7.2211847117778731</v>
      </c>
      <c r="R43" s="3933">
        <f t="shared" si="51"/>
        <v>-23.008336126791875</v>
      </c>
      <c r="S43" s="3891"/>
      <c r="T43" s="3934">
        <f>IF(Q43="NA","NA",Q43/Table8s2!$G$34*100)</f>
        <v>-1.3019303490937034E-3</v>
      </c>
      <c r="U43" s="721"/>
    </row>
    <row r="44" spans="2:21" ht="18" customHeight="1" x14ac:dyDescent="0.2">
      <c r="B44" s="606" t="s">
        <v>1258</v>
      </c>
      <c r="C44" s="3849">
        <v>44536.938163050392</v>
      </c>
      <c r="D44" s="3849">
        <f>Summary2!C45</f>
        <v>17109.88813970903</v>
      </c>
      <c r="E44" s="3933">
        <f t="shared" si="48"/>
        <v>-27427.050023341362</v>
      </c>
      <c r="F44" s="3933">
        <f t="shared" si="49"/>
        <v>-61.582702257013096</v>
      </c>
      <c r="G44" s="3891"/>
      <c r="H44" s="3933">
        <f>IF(E44="NA","NA",E44/Table8s2!$G$34*100)</f>
        <v>-4.9449100440899629</v>
      </c>
      <c r="I44" s="3850">
        <v>7729.042195751761</v>
      </c>
      <c r="J44" s="3849">
        <f>Summary2!D45</f>
        <v>8263.6803592837969</v>
      </c>
      <c r="K44" s="3933">
        <f t="shared" si="44"/>
        <v>534.63816353203583</v>
      </c>
      <c r="L44" s="3933">
        <f t="shared" si="45"/>
        <v>6.9172628378959784</v>
      </c>
      <c r="M44" s="3891"/>
      <c r="N44" s="3934">
        <f>IF(K44="NA","NA",K44/Table8s2!$G$34*100)</f>
        <v>9.6391614211279175E-2</v>
      </c>
      <c r="O44" s="3850">
        <v>3023.7862536621556</v>
      </c>
      <c r="P44" s="3849">
        <f>Summary2!E45</f>
        <v>2573.2695518177657</v>
      </c>
      <c r="Q44" s="3933">
        <f t="shared" si="50"/>
        <v>-450.5167018443899</v>
      </c>
      <c r="R44" s="3933">
        <f t="shared" si="51"/>
        <v>-14.899092199349804</v>
      </c>
      <c r="S44" s="3891"/>
      <c r="T44" s="3934">
        <f>IF(Q44="NA","NA",Q44/Table8s2!$G$34*100)</f>
        <v>-8.1225088446796226E-2</v>
      </c>
      <c r="U44" s="721"/>
    </row>
    <row r="45" spans="2:21" ht="18" customHeight="1" x14ac:dyDescent="0.2">
      <c r="B45" s="606" t="s">
        <v>1984</v>
      </c>
      <c r="C45" s="3849">
        <v>310.34609700100862</v>
      </c>
      <c r="D45" s="3849">
        <f>Summary2!C46</f>
        <v>323.13623179214591</v>
      </c>
      <c r="E45" s="3933">
        <f t="shared" si="48"/>
        <v>12.790134791137291</v>
      </c>
      <c r="F45" s="3933">
        <f t="shared" si="49"/>
        <v>4.12124879762729</v>
      </c>
      <c r="G45" s="3891"/>
      <c r="H45" s="3933">
        <f>IF(E45="NA","NA",E45/Table8s2!$G$34*100)</f>
        <v>2.3059740635662488E-3</v>
      </c>
      <c r="I45" s="3850">
        <v>2838.4829600670378</v>
      </c>
      <c r="J45" s="3849">
        <f>Summary2!D46</f>
        <v>2646.4818973575643</v>
      </c>
      <c r="K45" s="3933">
        <f t="shared" si="44"/>
        <v>-192.00106270947344</v>
      </c>
      <c r="L45" s="3933">
        <f t="shared" si="45"/>
        <v>-6.7642140330107488</v>
      </c>
      <c r="M45" s="3891"/>
      <c r="N45" s="3934">
        <f>IF(K45="NA","NA",K45/Table8s2!$G$34*100)</f>
        <v>-3.4616482000799434E-2</v>
      </c>
      <c r="O45" s="3850">
        <v>96.705794850512603</v>
      </c>
      <c r="P45" s="3849">
        <f>Summary2!E46</f>
        <v>111.38985450556667</v>
      </c>
      <c r="Q45" s="3933">
        <f t="shared" si="50"/>
        <v>14.684059655054071</v>
      </c>
      <c r="R45" s="3933">
        <f t="shared" si="51"/>
        <v>15.184260341122915</v>
      </c>
      <c r="S45" s="3891"/>
      <c r="T45" s="3934">
        <f>IF(Q45="NA","NA",Q45/Table8s2!$G$34*100)</f>
        <v>2.6474357983996932E-3</v>
      </c>
      <c r="U45" s="721"/>
    </row>
    <row r="46" spans="2:21" ht="18" customHeight="1" x14ac:dyDescent="0.2">
      <c r="B46" s="606" t="s">
        <v>1985</v>
      </c>
      <c r="C46" s="3849">
        <v>4890.8790089352833</v>
      </c>
      <c r="D46" s="3849">
        <f>Summary2!C47</f>
        <v>4426.1221010674635</v>
      </c>
      <c r="E46" s="3933">
        <f t="shared" si="48"/>
        <v>-464.75690786781979</v>
      </c>
      <c r="F46" s="3933">
        <f t="shared" si="49"/>
        <v>-9.5025231051257339</v>
      </c>
      <c r="G46" s="3891"/>
      <c r="H46" s="3933">
        <f>IF(E46="NA","NA",E46/Table8s2!$G$34*100)</f>
        <v>-8.3792500462862185E-2</v>
      </c>
      <c r="I46" s="3850">
        <v>52.731100800000007</v>
      </c>
      <c r="J46" s="3849">
        <f>Summary2!D47</f>
        <v>55.400535974850627</v>
      </c>
      <c r="K46" s="3933">
        <f t="shared" si="44"/>
        <v>2.6694351748506193</v>
      </c>
      <c r="L46" s="3933">
        <f t="shared" si="45"/>
        <v>5.0623543494290546</v>
      </c>
      <c r="M46" s="3891"/>
      <c r="N46" s="3934">
        <f>IF(K46="NA","NA",K46/Table8s2!$G$34*100)</f>
        <v>4.8128095427441589E-4</v>
      </c>
      <c r="O46" s="3850">
        <v>22.172039309251865</v>
      </c>
      <c r="P46" s="3849">
        <f>Summary2!E47</f>
        <v>16.492913405841392</v>
      </c>
      <c r="Q46" s="3933">
        <f t="shared" si="50"/>
        <v>-5.6791259034104726</v>
      </c>
      <c r="R46" s="3933">
        <f t="shared" si="51"/>
        <v>-25.613908690125353</v>
      </c>
      <c r="S46" s="3891"/>
      <c r="T46" s="3934">
        <f>IF(Q46="NA","NA",Q46/Table8s2!$G$34*100)</f>
        <v>-1.0239076640588954E-3</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-4014.2814824961406</v>
      </c>
      <c r="D48" s="3849">
        <f>Summary2!C49</f>
        <v>-3934.8637752528084</v>
      </c>
      <c r="E48" s="3933">
        <f t="shared" si="48"/>
        <v>79.417707243332188</v>
      </c>
      <c r="F48" s="3933">
        <f t="shared" si="49"/>
        <v>-1.9783791343388573</v>
      </c>
      <c r="G48" s="3891"/>
      <c r="H48" s="3933">
        <f>IF(E48="NA","NA",E48/Table8s2!$G$34*100)</f>
        <v>1.43184709216608E-2</v>
      </c>
      <c r="I48" s="3915"/>
      <c r="J48" s="3912"/>
      <c r="K48" s="3920"/>
      <c r="L48" s="3920"/>
      <c r="M48" s="3920"/>
      <c r="N48" s="3907"/>
      <c r="O48" s="3915"/>
      <c r="P48" s="3912"/>
      <c r="Q48" s="3920"/>
      <c r="R48" s="3920"/>
      <c r="S48" s="3920"/>
      <c r="T48" s="3907"/>
      <c r="U48" s="721"/>
    </row>
    <row r="49" spans="2:21" ht="18" customHeight="1" thickBot="1" x14ac:dyDescent="0.25">
      <c r="B49" s="1554" t="s">
        <v>1988</v>
      </c>
      <c r="C49" s="3857">
        <v>1.4609316963755554</v>
      </c>
      <c r="D49" s="3857">
        <f>Summary2!C50</f>
        <v>1.4609316963755554</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42.037692660147371</v>
      </c>
      <c r="P49" s="3857">
        <f>Summary2!E50</f>
        <v>42.037692660147371</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30.629801780740696</v>
      </c>
      <c r="D50" s="3841">
        <f>Summary2!C51</f>
        <v>30.629801780740696</v>
      </c>
      <c r="E50" s="3841">
        <f t="shared" si="48"/>
        <v>0</v>
      </c>
      <c r="F50" s="3841">
        <f t="shared" si="49"/>
        <v>0</v>
      </c>
      <c r="G50" s="3846">
        <f>IF(E50="NA","NA",E50/Table8s2!$G$35*100)</f>
        <v>0</v>
      </c>
      <c r="H50" s="3847">
        <f>IF(E50="NA","NA",E50/Table8s2!$G$34*100)</f>
        <v>0</v>
      </c>
      <c r="I50" s="3841">
        <f>SUM(I51:I55)</f>
        <v>13891.310670745293</v>
      </c>
      <c r="J50" s="3841">
        <f>Summary2!D51</f>
        <v>13877.68160513646</v>
      </c>
      <c r="K50" s="3841">
        <f t="shared" ref="K50" si="54">IF(J50="NO",IF(I50="NO","NA",-I50),IF(I50="NO",J50,J50-I50))</f>
        <v>-13.629065608833116</v>
      </c>
      <c r="L50" s="3841">
        <f t="shared" ref="L50" si="55">IF(K50="NA","NA",K50/I50*100)</f>
        <v>-9.8112164732846577E-2</v>
      </c>
      <c r="M50" s="3846">
        <f>IF(K50="NA","NA",K50/Table8s2!$G$35*100)</f>
        <v>-2.4753314474867173E-3</v>
      </c>
      <c r="N50" s="3847">
        <f>IF(K50="NA","NA",K50/Table8s2!$G$34*100)</f>
        <v>-2.4572275677962052E-3</v>
      </c>
      <c r="O50" s="3841">
        <f>SUM(O51:O55)</f>
        <v>339.54099546945116</v>
      </c>
      <c r="P50" s="3841">
        <f>Summary2!E51</f>
        <v>339.54099546945116</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11159.025010320409</v>
      </c>
      <c r="J51" s="3841">
        <f>Summary2!D52</f>
        <v>11145.395944711574</v>
      </c>
      <c r="K51" s="3841">
        <f t="shared" ref="K51:K52" si="56">IF(J51="NO",IF(I51="NO","NA",-I51),IF(I51="NO",J51,J51-I51))</f>
        <v>-13.629065608834935</v>
      </c>
      <c r="L51" s="3841">
        <f t="shared" ref="L51:L52" si="57">IF(K51="NA","NA",K51/I51*100)</f>
        <v>-0.12213491408281738</v>
      </c>
      <c r="M51" s="3846">
        <f>IF(K51="NA","NA",K51/Table8s2!$G$35*100)</f>
        <v>-2.4753314474870477E-3</v>
      </c>
      <c r="N51" s="3847">
        <f>IF(K51="NA","NA",K51/Table8s2!$G$34*100)</f>
        <v>-2.4572275677965335E-3</v>
      </c>
      <c r="O51" s="3888"/>
      <c r="P51" s="3889"/>
      <c r="Q51" s="3942"/>
      <c r="R51" s="3943"/>
      <c r="S51" s="3944"/>
      <c r="T51" s="3945"/>
    </row>
    <row r="52" spans="2:21" ht="18" customHeight="1" x14ac:dyDescent="0.2">
      <c r="B52" s="1395" t="s">
        <v>1990</v>
      </c>
      <c r="C52" s="3920"/>
      <c r="D52" s="3920"/>
      <c r="E52" s="3890"/>
      <c r="F52" s="3905"/>
      <c r="G52" s="3906"/>
      <c r="H52" s="3907"/>
      <c r="I52" s="3851">
        <v>112.59910242000001</v>
      </c>
      <c r="J52" s="3849">
        <f>Summary2!D53</f>
        <v>112.59910242000001</v>
      </c>
      <c r="K52" s="3841">
        <f t="shared" si="56"/>
        <v>0</v>
      </c>
      <c r="L52" s="3841">
        <f t="shared" si="57"/>
        <v>0</v>
      </c>
      <c r="M52" s="3846">
        <f>IF(K52="NA","NA",K52/Table8s2!$G$35*100)</f>
        <v>0</v>
      </c>
      <c r="N52" s="3847">
        <f>IF(K52="NA","NA",K52/Table8s2!$G$34*100)</f>
        <v>0</v>
      </c>
      <c r="O52" s="3841">
        <v>136.4057697888</v>
      </c>
      <c r="P52" s="3841">
        <f>Summary2!E53</f>
        <v>136.4057697888</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30.629801780740696</v>
      </c>
      <c r="D53" s="3841">
        <f>Summary2!C54</f>
        <v>30.629801780740696</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2619.6865580048861</v>
      </c>
      <c r="J54" s="3849">
        <f>Summary2!D55</f>
        <v>2619.6865580048861</v>
      </c>
      <c r="K54" s="3841">
        <f t="shared" ref="K54" si="62">IF(J54="NO",IF(I54="NO","NA",-I54),IF(I54="NO",J54,J54-I54))</f>
        <v>0</v>
      </c>
      <c r="L54" s="3841">
        <f t="shared" ref="L54" si="63">IF(K54="NA","NA",K54/I54*100)</f>
        <v>0</v>
      </c>
      <c r="M54" s="3846">
        <f>IF(K54="NA","NA",K54/Table8s2!$G$35*100)</f>
        <v>0</v>
      </c>
      <c r="N54" s="3847">
        <f>IF(K54="NA","NA",K54/Table8s2!$G$34*100)</f>
        <v>0</v>
      </c>
      <c r="O54" s="3841">
        <v>203.13522568065116</v>
      </c>
      <c r="P54" s="3841">
        <f>Summary2!E55</f>
        <v>203.13522568065116</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12918.575499999999</v>
      </c>
      <c r="D59" s="3849">
        <f>Summary2!C60</f>
        <v>12910.479500000001</v>
      </c>
      <c r="E59" s="3863">
        <f t="shared" ref="E59" si="66">IF(D59="NO",IF(C59="NO","NA",-C59),IF(C59="NO",D59,D59-C59))</f>
        <v>-8.0959999999977299</v>
      </c>
      <c r="F59" s="3863">
        <f t="shared" ref="F59" si="67">IF(E59="NA","NA",E59/C59*100)</f>
        <v>-6.266944834589333E-2</v>
      </c>
      <c r="G59" s="3864">
        <f>IF(E59="NA","NA",E59/Table8s2!$G$35*100)</f>
        <v>-1.4704077281613907E-3</v>
      </c>
      <c r="H59" s="3865">
        <f>IF(E59="NA","NA",E59/Table8s2!$G$34*100)</f>
        <v>-1.459653578597436E-3</v>
      </c>
      <c r="I59" s="3849">
        <v>7.1136858669766401</v>
      </c>
      <c r="J59" s="3849">
        <f>Summary2!D60</f>
        <v>7.0921258669767449</v>
      </c>
      <c r="K59" s="3863">
        <f t="shared" ref="K59:K61" si="68">IF(J59="NO",IF(I59="NO","NA",-I59),IF(I59="NO",J59,J59-I59))</f>
        <v>-2.1559999999895219E-2</v>
      </c>
      <c r="L59" s="3863">
        <f t="shared" ref="L59:L61" si="69">IF(K59="NA","NA",K59/I59*100)</f>
        <v>-0.30307776310423939</v>
      </c>
      <c r="M59" s="3864">
        <f>IF(K59="NA","NA",K59/Table8s2!$G$35*100)</f>
        <v>-3.9157597108466404E-6</v>
      </c>
      <c r="N59" s="3865">
        <f>IF(K59="NA","NA",K59/Table8s2!$G$34*100)</f>
        <v>-3.8871209429862398E-6</v>
      </c>
      <c r="O59" s="3850">
        <v>31.855922424982001</v>
      </c>
      <c r="P59" s="3849">
        <f>Summary2!E60</f>
        <v>31.797622424982134</v>
      </c>
      <c r="Q59" s="3863">
        <f t="shared" ref="Q59" si="70">IF(P59="NO",IF(O59="NO","NA",-O59),IF(O59="NO",P59,P59-O59))</f>
        <v>-5.829999999986768E-2</v>
      </c>
      <c r="R59" s="3968">
        <f t="shared" ref="R59" si="71">IF(Q59="NA","NA",Q59/O59*100)</f>
        <v>-0.18301149538883779</v>
      </c>
      <c r="S59" s="3969">
        <f>IF(Q59="NA","NA",Q59/Table8s2!$G$35*100)</f>
        <v>-1.058853391201069E-5</v>
      </c>
      <c r="T59" s="3970">
        <f>IF(Q59="NA","NA",Q59/Table8s2!$G$34*100)</f>
        <v>-1.0511092345857366E-5</v>
      </c>
    </row>
    <row r="60" spans="2:21" ht="18" customHeight="1" x14ac:dyDescent="0.2">
      <c r="B60" s="1409" t="s">
        <v>218</v>
      </c>
      <c r="C60" s="3849">
        <v>10472.016</v>
      </c>
      <c r="D60" s="3849">
        <f>Summary2!C61</f>
        <v>10472.016000000001</v>
      </c>
      <c r="E60" s="3863">
        <f t="shared" ref="E60:E61" si="72">IF(D60="NO",IF(C60="NO","NA",-C60),IF(C60="NO",D60,D60-C60))</f>
        <v>1.8189894035458565E-12</v>
      </c>
      <c r="F60" s="3863">
        <f t="shared" ref="F60:F61" si="73">IF(E60="NA","NA",E60/C60*100)</f>
        <v>1.7370002142336839E-14</v>
      </c>
      <c r="G60" s="3864">
        <f>IF(E60="NA","NA",E60/Table8s2!$G$35*100)</f>
        <v>3.3036759837182015E-16</v>
      </c>
      <c r="H60" s="3865">
        <f>IF(E60="NA","NA",E60/Table8s2!$G$34*100)</f>
        <v>3.279513824502556E-16</v>
      </c>
      <c r="I60" s="3849">
        <v>0.58198586697664001</v>
      </c>
      <c r="J60" s="3849">
        <f>Summary2!D61</f>
        <v>0.58198586697674437</v>
      </c>
      <c r="K60" s="3863">
        <f t="shared" si="68"/>
        <v>1.0436096431476471E-13</v>
      </c>
      <c r="L60" s="3863">
        <f t="shared" si="69"/>
        <v>1.7931872616926211E-11</v>
      </c>
      <c r="M60" s="3864">
        <f>IF(K60="NA","NA",K60/Table8s2!$G$35*100)</f>
        <v>1.8954195707367612E-17</v>
      </c>
      <c r="N60" s="3865">
        <f>IF(K60="NA","NA",K60/Table8s2!$G$34*100)</f>
        <v>1.8815570038039569E-17</v>
      </c>
      <c r="O60" s="3850">
        <v>14.193672424981999</v>
      </c>
      <c r="P60" s="3849">
        <f>Summary2!E61</f>
        <v>14.193672424982132</v>
      </c>
      <c r="Q60" s="3863">
        <f t="shared" ref="Q60:Q61" si="74">IF(P60="NO",IF(O60="NO","NA",-O60),IF(O60="NO",P60,P60-O60))</f>
        <v>1.3322676295501878E-13</v>
      </c>
      <c r="R60" s="3968">
        <f t="shared" ref="R60:R61" si="75">IF(Q60="NA","NA",Q60/O60*100)</f>
        <v>9.3863489987643385E-13</v>
      </c>
      <c r="S60" s="3969">
        <f>IF(Q60="NA","NA",Q60/Table8s2!$G$35*100)</f>
        <v>2.4196845583873546E-17</v>
      </c>
      <c r="T60" s="3970">
        <f>IF(Q60="NA","NA",Q60/Table8s2!$G$34*100)</f>
        <v>2.4019876644305832E-17</v>
      </c>
    </row>
    <row r="61" spans="2:21" ht="18" customHeight="1" x14ac:dyDescent="0.2">
      <c r="B61" s="1410" t="s">
        <v>1963</v>
      </c>
      <c r="C61" s="3849">
        <v>2446.5594999999998</v>
      </c>
      <c r="D61" s="3849">
        <f>Summary2!C62</f>
        <v>2438.4634999999998</v>
      </c>
      <c r="E61" s="3863">
        <f t="shared" si="72"/>
        <v>-8.0960000000000036</v>
      </c>
      <c r="F61" s="3863">
        <f t="shared" si="73"/>
        <v>-0.33091367694102691</v>
      </c>
      <c r="G61" s="3864">
        <f>IF(E61="NA","NA",E61/Table8s2!$G$35*100)</f>
        <v>-1.4704077281618036E-3</v>
      </c>
      <c r="H61" s="3865">
        <f>IF(E61="NA","NA",E61/Table8s2!$G$34*100)</f>
        <v>-1.4596535785978458E-3</v>
      </c>
      <c r="I61" s="3849">
        <v>6.5317000000000007</v>
      </c>
      <c r="J61" s="3849">
        <f>Summary2!D62</f>
        <v>6.5101400000000007</v>
      </c>
      <c r="K61" s="3863">
        <f t="shared" si="68"/>
        <v>-2.1560000000000024E-2</v>
      </c>
      <c r="L61" s="3863">
        <f t="shared" si="69"/>
        <v>-0.33008252063015786</v>
      </c>
      <c r="M61" s="3864">
        <f>IF(K61="NA","NA",K61/Table8s2!$G$35*100)</f>
        <v>-3.9157597108656749E-6</v>
      </c>
      <c r="N61" s="3865">
        <f>IF(K61="NA","NA",K61/Table8s2!$G$34*100)</f>
        <v>-3.8871209430051354E-6</v>
      </c>
      <c r="O61" s="3850">
        <v>17.66225</v>
      </c>
      <c r="P61" s="3849">
        <f>Summary2!E62</f>
        <v>17.603950000000001</v>
      </c>
      <c r="Q61" s="3863">
        <f t="shared" si="74"/>
        <v>-5.829999999999913E-2</v>
      </c>
      <c r="R61" s="3968">
        <f t="shared" si="75"/>
        <v>-0.33008252063015259</v>
      </c>
      <c r="S61" s="3969">
        <f>IF(Q61="NA","NA",Q61/Table8s2!$G$35*100)</f>
        <v>-1.0588533912034565E-5</v>
      </c>
      <c r="T61" s="3970">
        <f>IF(Q61="NA","NA",Q61/Table8s2!$G$34*100)</f>
        <v>-1.0511092345881066E-5</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16595.144805259493</v>
      </c>
      <c r="D63" s="3849">
        <f>Summary2!C64</f>
        <v>16529.063075565657</v>
      </c>
      <c r="E63" s="3863">
        <f t="shared" ref="E63:E65" si="76">IF(D63="NO",IF(C63="NO","NA",-C63),IF(C63="NO",D63,D63-C63))</f>
        <v>-66.081729693836678</v>
      </c>
      <c r="F63" s="3863">
        <f t="shared" ref="F63:F65" si="77">IF(E63="NA","NA",E63/C63*100)</f>
        <v>-0.39819917493514984</v>
      </c>
      <c r="G63" s="3864">
        <f>IF(E63="NA","NA",E63/Table8s2!$G$35*100)</f>
        <v>-1.2001863393295053E-2</v>
      </c>
      <c r="H63" s="3865">
        <f>IF(E63="NA","NA",E63/Table8s2!$G$34*100)</f>
        <v>-1.1914085131860697E-2</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287134.15966234595</v>
      </c>
      <c r="D65" s="3851">
        <f>Summary2!C66</f>
        <v>287376.68198365142</v>
      </c>
      <c r="E65" s="3979">
        <f t="shared" si="76"/>
        <v>242.52232130547054</v>
      </c>
      <c r="F65" s="3986">
        <f t="shared" si="77"/>
        <v>8.446306827117453E-2</v>
      </c>
      <c r="G65" s="3987">
        <f>IF(E65="NA","NA",E65/Table8s2!$G$35*100)</f>
        <v>4.4047269701000959E-2</v>
      </c>
      <c r="H65" s="3988">
        <f>IF(E65="NA","NA",E65/Table8s2!$G$34*100)</f>
        <v>4.3725120328975603E-2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4" workbookViewId="0">
      <selection activeCell="C21" sqref="C21"/>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7816.4186628708085</v>
      </c>
      <c r="D10" s="4021">
        <f>IF(SUM(D11:D30)=0,"NO",SUM(D11:D30))</f>
        <v>7816.4186628708085</v>
      </c>
      <c r="E10" s="4021">
        <f>IF(D10="NO",IF(C10="NO","NA",-C10),IF(C10="NO",D10,D10-C10))</f>
        <v>0</v>
      </c>
      <c r="F10" s="4021">
        <f>IF(E10="NA","NA",E10/C10*100)</f>
        <v>0</v>
      </c>
      <c r="G10" s="4022">
        <f>IF(E10="NA","NA",E10/$G$35*100)</f>
        <v>0</v>
      </c>
      <c r="H10" s="4023">
        <f>IF(E10="NA","NA",E10/$G$34*100)</f>
        <v>0</v>
      </c>
      <c r="I10" s="4024">
        <f>IF(SUM(I11:I30)=0,"NO",SUM(I11:I30))</f>
        <v>265.12979067717396</v>
      </c>
      <c r="J10" s="4024">
        <f>IF(SUM(J11:J30)=0,"NO",SUM(J11:J30))</f>
        <v>265.12979067717396</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118.51069108917444</v>
      </c>
      <c r="V10" s="4021">
        <f>IF(SUM(V11:V30)=0,"NO",SUM(V11:V30))</f>
        <v>117.94335057564616</v>
      </c>
      <c r="W10" s="4021">
        <f>IF(V10="NO",IF(U10="NO","NA",-U10),IF(U10="NO",V10,V10-U10))</f>
        <v>-0.56734051352827919</v>
      </c>
      <c r="X10" s="4025">
        <f>IF(W10="NA","NA",W10/U10*100)</f>
        <v>-0.47872517518388163</v>
      </c>
      <c r="Y10" s="4026">
        <f>IF(W10="NA","NA",W10/$G$35*100)</f>
        <v>-1.030412395740202E-4</v>
      </c>
      <c r="Z10" s="4023">
        <f>IF(W10="NA","NA",W10/$G$34*100)</f>
        <v>-1.0228762485858349E-4</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265.12979067717396</v>
      </c>
      <c r="J13" s="3841">
        <f>'Table2(II)'!AH41</f>
        <v>265.12979067717396</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7423.4579708927758</v>
      </c>
      <c r="D21" s="3849">
        <f>'Table2(I)'!F46</f>
        <v>7423.4579708927768</v>
      </c>
      <c r="E21" s="3849">
        <f>IF(D21="NO",IF(C21="NO","NA",-C21),IF(C21="NO",D21,D21-C21))</f>
        <v>9.0949470177292824E-13</v>
      </c>
      <c r="F21" s="4018">
        <f>IF(E21="NA","NA",E21/C21*100)</f>
        <v>1.2251631319784364E-14</v>
      </c>
      <c r="G21" s="3873">
        <f>IF(E21="NA","NA",E21/$G$35*100)</f>
        <v>1.6518379918591008E-16</v>
      </c>
      <c r="H21" s="3874">
        <f>IF(E21="NA","NA",E21/$G$34*100)</f>
        <v>1.639756912251278E-16</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51.336876868575871</v>
      </c>
      <c r="D22" s="3849">
        <f>'Table2(I)'!F47</f>
        <v>51.336876868575885</v>
      </c>
      <c r="E22" s="3849">
        <f t="shared" ref="E22:E25" si="0">IF(D22="NO",IF(C22="NO","NA",-C22),IF(C22="NO",D22,D22-C22))</f>
        <v>1.4210854715202004E-14</v>
      </c>
      <c r="F22" s="4018">
        <f t="shared" ref="F22:F25" si="1">IF(E22="NA","NA",E22/C22*100)</f>
        <v>2.7681572355058272E-14</v>
      </c>
      <c r="G22" s="3873">
        <f t="shared" ref="G22:G25" si="2">IF(E22="NA","NA",E22/$G$35*100)</f>
        <v>2.5809968622798449E-18</v>
      </c>
      <c r="H22" s="3874">
        <f t="shared" ref="H22:H25" si="3">IF(E22="NA","NA",E22/$G$34*100)</f>
        <v>2.5621201753926218E-18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56.016051475947293</v>
      </c>
      <c r="D23" s="3849">
        <f>'Table2(I)'!F48</f>
        <v>56.016051475947272</v>
      </c>
      <c r="E23" s="3849">
        <f t="shared" si="0"/>
        <v>-2.1316282072803006E-14</v>
      </c>
      <c r="F23" s="4018">
        <f t="shared" si="1"/>
        <v>-3.8053881898398345E-14</v>
      </c>
      <c r="G23" s="3873">
        <f t="shared" si="2"/>
        <v>-3.8714952934197672E-18</v>
      </c>
      <c r="H23" s="3874">
        <f t="shared" si="3"/>
        <v>-3.8431802630889332E-18</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188.13976790689466</v>
      </c>
      <c r="D24" s="3849">
        <f>'Table2(I)'!F49</f>
        <v>188.13976790689463</v>
      </c>
      <c r="E24" s="3849">
        <f t="shared" si="0"/>
        <v>-2.8421709430404007E-14</v>
      </c>
      <c r="F24" s="4018">
        <f t="shared" si="1"/>
        <v>-1.5106699528017464E-14</v>
      </c>
      <c r="G24" s="3873">
        <f t="shared" si="2"/>
        <v>-5.1619937245596899E-18</v>
      </c>
      <c r="H24" s="3874">
        <f t="shared" si="3"/>
        <v>-5.1242403507852437E-18</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97.46799572661395</v>
      </c>
      <c r="D25" s="3849">
        <f>'Table2(I)'!F50</f>
        <v>97.467995726613921</v>
      </c>
      <c r="E25" s="3849">
        <f t="shared" si="0"/>
        <v>-2.8421709430404007E-14</v>
      </c>
      <c r="F25" s="4018">
        <f t="shared" si="1"/>
        <v>-2.9160042964383407E-14</v>
      </c>
      <c r="G25" s="3873">
        <f t="shared" si="2"/>
        <v>-5.1619937245596899E-18</v>
      </c>
      <c r="H25" s="3874">
        <f t="shared" si="3"/>
        <v>-5.1242403507852437E-18</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100.00752618577695</v>
      </c>
      <c r="V27" s="3849">
        <f>IFERROR('Table2(I)'!I53*23500,'Table2(I)'!I53)</f>
        <v>99.440185672248745</v>
      </c>
      <c r="W27" s="3849">
        <f>IF(V27="NO",IF(U27="NO","NA",-U27),IF(U27="NO",V27,V27-U27))</f>
        <v>-0.56734051352820813</v>
      </c>
      <c r="X27" s="4018">
        <f>IF(W27="NA","NA",W27/U27*100)</f>
        <v>-0.56729781764054388</v>
      </c>
      <c r="Y27" s="3873">
        <f>IF(W27="NA","NA",W27/$G$35*100)</f>
        <v>-1.0304123957400731E-4</v>
      </c>
      <c r="Z27" s="3874">
        <f>IF(W27="NA","NA",W27/$G$34*100)</f>
        <v>-1.0228762485857068E-4</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18.503164903397487</v>
      </c>
      <c r="V28" s="3849">
        <f>IFERROR('Table2(I)'!I54*23500,'Table2(I)'!I54)</f>
        <v>18.503164903397419</v>
      </c>
      <c r="W28" s="3849">
        <f>IF(V28="NO",IF(U28="NO","NA",-U28),IF(U28="NO",V28,V28-U28))</f>
        <v>-6.7501559897209518E-14</v>
      </c>
      <c r="X28" s="4018">
        <f>IF(W28="NA","NA",W28/U28*100)</f>
        <v>-3.6481088640579065E-13</v>
      </c>
      <c r="Y28" s="3873">
        <f>IF(W28="NA","NA",W28/$G$35*100)</f>
        <v>-1.2259735095829261E-17</v>
      </c>
      <c r="Z28" s="3874">
        <f>IF(W28="NA","NA",W28/$G$34*100)</f>
        <v>-1.2170070833114955E-17</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579077.44343529886</v>
      </c>
      <c r="F34" s="4548"/>
      <c r="G34" s="4547">
        <f>SUM(Table8s1!D10,Table8s1!J10,Table8s1!P10,D10,J10,P10,V10,AB10)</f>
        <v>554652.1529976367</v>
      </c>
      <c r="H34" s="4548"/>
      <c r="I34" s="3841">
        <f>G34-E34</f>
        <v>-24425.290437662159</v>
      </c>
      <c r="J34" s="4047">
        <f>IF(I34="NA","NA",I34/E34*100)</f>
        <v>-4.2179661312245935</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552305.54978858843</v>
      </c>
      <c r="F35" s="4550"/>
      <c r="G35" s="4551">
        <f>G34-SUM(Table8s1!D41,Table8s1!J41,Table8s1!P41)</f>
        <v>550595.58277220372</v>
      </c>
      <c r="H35" s="4552"/>
      <c r="I35" s="3857">
        <f>G35-E35</f>
        <v>-1709.967016384704</v>
      </c>
      <c r="J35" s="4048">
        <f>IF(I35="NA","NA",I35/E35*100)</f>
        <v>-0.30960525691607577</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8" t="s">
        <v>2212</v>
      </c>
      <c r="F9" s="4559"/>
      <c r="G9" s="19"/>
    </row>
    <row r="10" spans="2:7" ht="14.25" thickTop="1" x14ac:dyDescent="0.2">
      <c r="B10" s="980" t="s">
        <v>2213</v>
      </c>
      <c r="C10" s="4123" t="s">
        <v>2214</v>
      </c>
      <c r="D10" s="4123" t="s">
        <v>2215</v>
      </c>
      <c r="E10" s="4560" t="s">
        <v>2216</v>
      </c>
      <c r="F10" s="4561"/>
    </row>
    <row r="11" spans="2:7" x14ac:dyDescent="0.2">
      <c r="B11" s="4122"/>
      <c r="C11" s="4124" t="s">
        <v>2214</v>
      </c>
      <c r="D11" s="4124" t="s">
        <v>2217</v>
      </c>
      <c r="E11" s="4562" t="s">
        <v>2218</v>
      </c>
      <c r="F11" s="4563"/>
    </row>
    <row r="12" spans="2:7" x14ac:dyDescent="0.2">
      <c r="B12" s="4122"/>
      <c r="C12" s="4124" t="s">
        <v>2214</v>
      </c>
      <c r="D12" s="4124" t="s">
        <v>2219</v>
      </c>
      <c r="E12" s="4556" t="s">
        <v>2218</v>
      </c>
      <c r="F12" s="4557"/>
    </row>
    <row r="13" spans="2:7" ht="55.5" customHeight="1" x14ac:dyDescent="0.2">
      <c r="B13" s="4122"/>
      <c r="C13" s="4124" t="s">
        <v>111</v>
      </c>
      <c r="D13" s="4124" t="s">
        <v>2220</v>
      </c>
      <c r="E13" s="4553" t="s">
        <v>2221</v>
      </c>
      <c r="F13" s="4555"/>
    </row>
    <row r="14" spans="2:7" ht="12.75" customHeight="1" x14ac:dyDescent="0.2">
      <c r="B14" s="4122"/>
      <c r="C14" s="4124" t="s">
        <v>111</v>
      </c>
      <c r="D14" s="4124" t="s">
        <v>814</v>
      </c>
      <c r="E14" s="4564" t="s">
        <v>2222</v>
      </c>
      <c r="F14" s="4565"/>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6" t="s">
        <v>2229</v>
      </c>
      <c r="F17" s="4557"/>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6" t="s">
        <v>2459</v>
      </c>
      <c r="F20" s="4557"/>
    </row>
    <row r="21" spans="2:7" ht="13.5" x14ac:dyDescent="0.2">
      <c r="B21" s="874" t="s">
        <v>2236</v>
      </c>
      <c r="C21" s="4124" t="s">
        <v>2214</v>
      </c>
      <c r="D21" s="4123" t="s">
        <v>2237</v>
      </c>
      <c r="E21" s="4556" t="s">
        <v>2218</v>
      </c>
      <c r="F21" s="4557"/>
    </row>
    <row r="22" spans="2:7" x14ac:dyDescent="0.2">
      <c r="B22" s="4122"/>
      <c r="C22" s="4123" t="s">
        <v>2214</v>
      </c>
      <c r="D22" s="4123" t="s">
        <v>2215</v>
      </c>
      <c r="E22" s="4556" t="s">
        <v>2238</v>
      </c>
      <c r="F22" s="4557"/>
    </row>
    <row r="23" spans="2:7" x14ac:dyDescent="0.2">
      <c r="B23" s="4122"/>
      <c r="C23" s="4123" t="s">
        <v>2214</v>
      </c>
      <c r="D23" s="4123" t="s">
        <v>2239</v>
      </c>
      <c r="E23" s="4556" t="s">
        <v>2218</v>
      </c>
      <c r="F23" s="4557"/>
      <c r="G23" s="4194"/>
    </row>
    <row r="24" spans="2:7" x14ac:dyDescent="0.2">
      <c r="B24" s="4122"/>
      <c r="C24" s="4123" t="s">
        <v>2214</v>
      </c>
      <c r="D24" s="4123" t="s">
        <v>2240</v>
      </c>
      <c r="E24" s="4556" t="s">
        <v>2218</v>
      </c>
      <c r="F24" s="4557"/>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6" t="s">
        <v>2244</v>
      </c>
      <c r="F27" s="4557"/>
    </row>
    <row r="28" spans="2:7" x14ac:dyDescent="0.2">
      <c r="B28" s="4122"/>
      <c r="C28" s="4124" t="s">
        <v>2225</v>
      </c>
      <c r="D28" s="4123" t="s">
        <v>2132</v>
      </c>
      <c r="E28" s="4556" t="s">
        <v>2245</v>
      </c>
      <c r="F28" s="4557"/>
    </row>
    <row r="29" spans="2:7" x14ac:dyDescent="0.2">
      <c r="B29" s="4122"/>
      <c r="C29" s="4124" t="s">
        <v>2225</v>
      </c>
      <c r="D29" s="4123" t="s">
        <v>2246</v>
      </c>
      <c r="E29" s="4556" t="s">
        <v>2247</v>
      </c>
      <c r="F29" s="4557"/>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6" t="s">
        <v>2250</v>
      </c>
      <c r="F32" s="4557"/>
    </row>
    <row r="33" spans="2:7" x14ac:dyDescent="0.2">
      <c r="B33" s="4122"/>
      <c r="C33" s="4123" t="s">
        <v>2234</v>
      </c>
      <c r="D33" s="4123" t="s">
        <v>2251</v>
      </c>
      <c r="E33" s="4556" t="s">
        <v>2252</v>
      </c>
      <c r="F33" s="4557"/>
    </row>
    <row r="34" spans="2:7" x14ac:dyDescent="0.2">
      <c r="B34" s="4122"/>
      <c r="C34" s="4123" t="s">
        <v>2234</v>
      </c>
      <c r="D34" s="4123" t="s">
        <v>2253</v>
      </c>
      <c r="E34" s="4556" t="s">
        <v>2259</v>
      </c>
      <c r="F34" s="4557"/>
    </row>
    <row r="35" spans="2:7" x14ac:dyDescent="0.2">
      <c r="B35" s="4122"/>
      <c r="C35" s="4123" t="s">
        <v>2234</v>
      </c>
      <c r="D35" s="4123" t="s">
        <v>2235</v>
      </c>
      <c r="E35" s="4556" t="s">
        <v>2260</v>
      </c>
      <c r="F35" s="4557"/>
    </row>
    <row r="36" spans="2:7" ht="13.5" x14ac:dyDescent="0.2">
      <c r="B36" s="874" t="s">
        <v>2254</v>
      </c>
      <c r="C36" s="4124" t="s">
        <v>2214</v>
      </c>
      <c r="D36" s="4123" t="s">
        <v>2237</v>
      </c>
      <c r="E36" s="4556" t="s">
        <v>2218</v>
      </c>
      <c r="F36" s="4557"/>
    </row>
    <row r="37" spans="2:7" x14ac:dyDescent="0.2">
      <c r="B37" s="4122"/>
      <c r="C37" s="4123" t="s">
        <v>2214</v>
      </c>
      <c r="D37" s="4123" t="s">
        <v>2215</v>
      </c>
      <c r="E37" s="4556" t="s">
        <v>2255</v>
      </c>
      <c r="F37" s="4557"/>
    </row>
    <row r="38" spans="2:7" x14ac:dyDescent="0.2">
      <c r="B38" s="4122"/>
      <c r="C38" s="4123" t="s">
        <v>2214</v>
      </c>
      <c r="D38" s="4123" t="s">
        <v>2239</v>
      </c>
      <c r="E38" s="4556" t="s">
        <v>2218</v>
      </c>
      <c r="F38" s="4557"/>
      <c r="G38" s="4194"/>
    </row>
    <row r="39" spans="2:7" ht="15" customHeight="1" x14ac:dyDescent="0.2">
      <c r="B39" s="4122"/>
      <c r="C39" s="4123" t="s">
        <v>2214</v>
      </c>
      <c r="D39" s="4123" t="s">
        <v>2240</v>
      </c>
      <c r="E39" s="4556" t="s">
        <v>2218</v>
      </c>
      <c r="F39" s="4557"/>
    </row>
    <row r="40" spans="2:7" ht="42.75" customHeight="1" x14ac:dyDescent="0.2">
      <c r="B40" s="4122"/>
      <c r="C40" s="4124" t="s">
        <v>2225</v>
      </c>
      <c r="D40" s="4124" t="s">
        <v>2226</v>
      </c>
      <c r="E40" s="4553" t="s">
        <v>2227</v>
      </c>
      <c r="F40" s="4554"/>
    </row>
    <row r="41" spans="2:7" x14ac:dyDescent="0.2">
      <c r="B41" s="4122"/>
      <c r="C41" s="4123" t="s">
        <v>2225</v>
      </c>
      <c r="D41" s="4123" t="s">
        <v>2256</v>
      </c>
      <c r="E41" s="4556" t="s">
        <v>2257</v>
      </c>
      <c r="F41" s="4557"/>
    </row>
    <row r="42" spans="2:7" x14ac:dyDescent="0.2">
      <c r="B42" s="4122"/>
      <c r="C42" s="4124" t="s">
        <v>2225</v>
      </c>
      <c r="D42" s="4123" t="s">
        <v>2246</v>
      </c>
      <c r="E42" s="4556" t="s">
        <v>2247</v>
      </c>
      <c r="F42" s="4557"/>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6" t="s">
        <v>2250</v>
      </c>
      <c r="F45" s="4557"/>
    </row>
    <row r="46" spans="2:7" x14ac:dyDescent="0.2">
      <c r="B46" s="4122"/>
      <c r="C46" s="4123" t="s">
        <v>2234</v>
      </c>
      <c r="D46" s="4123" t="s">
        <v>2251</v>
      </c>
      <c r="E46" s="4556" t="s">
        <v>2252</v>
      </c>
      <c r="F46" s="4557"/>
    </row>
    <row r="47" spans="2:7" x14ac:dyDescent="0.2">
      <c r="B47" s="4122"/>
      <c r="C47" s="4123" t="s">
        <v>2234</v>
      </c>
      <c r="D47" s="4123" t="s">
        <v>2253</v>
      </c>
      <c r="E47" s="4556" t="s">
        <v>2259</v>
      </c>
      <c r="F47" s="4557"/>
    </row>
    <row r="48" spans="2:7" x14ac:dyDescent="0.2">
      <c r="B48" s="875"/>
      <c r="C48" s="4123" t="s">
        <v>2234</v>
      </c>
      <c r="D48" s="4123" t="s">
        <v>2235</v>
      </c>
      <c r="E48" s="4556" t="s">
        <v>2260</v>
      </c>
      <c r="F48" s="4557"/>
    </row>
    <row r="49" spans="2:6" ht="18" customHeight="1" x14ac:dyDescent="0.2">
      <c r="B49" s="874" t="s">
        <v>2004</v>
      </c>
      <c r="C49" s="4123"/>
      <c r="D49" s="4123"/>
      <c r="E49" s="4556"/>
      <c r="F49" s="4557"/>
    </row>
    <row r="50" spans="2:6" ht="18" customHeight="1" x14ac:dyDescent="0.2">
      <c r="B50" s="875"/>
      <c r="C50" s="4123"/>
      <c r="D50" s="4123"/>
      <c r="E50" s="4556"/>
      <c r="F50" s="4557"/>
    </row>
    <row r="51" spans="2:6" ht="18" customHeight="1" x14ac:dyDescent="0.2">
      <c r="B51" s="874" t="s">
        <v>1971</v>
      </c>
      <c r="C51" s="4123"/>
      <c r="D51" s="4123"/>
      <c r="E51" s="4556"/>
      <c r="F51" s="4557"/>
    </row>
    <row r="52" spans="2:6" ht="18" customHeight="1" x14ac:dyDescent="0.2">
      <c r="B52" s="875"/>
      <c r="C52" s="4123"/>
      <c r="D52" s="4123"/>
      <c r="E52" s="4556"/>
      <c r="F52" s="4557"/>
    </row>
    <row r="53" spans="2:6" ht="18" customHeight="1" x14ac:dyDescent="0.2">
      <c r="B53" s="2578" t="s">
        <v>2261</v>
      </c>
      <c r="C53" s="4123"/>
      <c r="D53" s="4123"/>
      <c r="E53" s="4556"/>
      <c r="F53" s="4557"/>
    </row>
    <row r="54" spans="2:6" ht="18" customHeight="1" x14ac:dyDescent="0.2">
      <c r="B54" s="2579" t="s">
        <v>2262</v>
      </c>
      <c r="C54" s="4123"/>
      <c r="D54" s="4123"/>
      <c r="E54" s="4556"/>
      <c r="F54" s="4557"/>
    </row>
    <row r="55" spans="2:6" ht="18" customHeight="1" x14ac:dyDescent="0.2">
      <c r="B55" s="2578" t="s">
        <v>905</v>
      </c>
      <c r="C55" s="4123"/>
      <c r="D55" s="4123"/>
      <c r="E55" s="4556"/>
      <c r="F55" s="4557"/>
    </row>
    <row r="56" spans="2:6" ht="18" customHeight="1" x14ac:dyDescent="0.2">
      <c r="B56" s="2579"/>
      <c r="C56" s="4123"/>
      <c r="D56" s="4123"/>
      <c r="E56" s="4556"/>
      <c r="F56" s="4557"/>
    </row>
    <row r="57" spans="2:6" ht="18" customHeight="1" x14ac:dyDescent="0.2">
      <c r="B57" s="2580" t="s">
        <v>2263</v>
      </c>
      <c r="C57" s="4123"/>
      <c r="D57" s="4123"/>
      <c r="E57" s="4556"/>
      <c r="F57" s="4557"/>
    </row>
    <row r="58" spans="2:6" ht="18" customHeight="1" thickBot="1" x14ac:dyDescent="0.25">
      <c r="B58" s="2581"/>
      <c r="C58" s="4125"/>
      <c r="D58" s="4125"/>
      <c r="E58" s="4566"/>
      <c r="F58" s="4567"/>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44:F44"/>
    <mergeCell ref="E33:F33"/>
    <mergeCell ref="E45:F45"/>
    <mergeCell ref="E47:F47"/>
    <mergeCell ref="E40:F40"/>
    <mergeCell ref="E42:F42"/>
    <mergeCell ref="E43:F43"/>
    <mergeCell ref="E46:F46"/>
    <mergeCell ref="E34:F34"/>
    <mergeCell ref="E35:F35"/>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32:F32"/>
    <mergeCell ref="E20:F20"/>
    <mergeCell ref="E21:F21"/>
    <mergeCell ref="E29:F29"/>
    <mergeCell ref="E30:F30"/>
    <mergeCell ref="E22:F22"/>
    <mergeCell ref="E23:F23"/>
    <mergeCell ref="E24:F24"/>
    <mergeCell ref="E25:F25"/>
    <mergeCell ref="E27:F27"/>
    <mergeCell ref="E28:F28"/>
    <mergeCell ref="E31:F31"/>
    <mergeCell ref="E9:F9"/>
    <mergeCell ref="E10:F10"/>
    <mergeCell ref="E11:F11"/>
    <mergeCell ref="E12:F12"/>
    <mergeCell ref="E14:F14"/>
    <mergeCell ref="E15:F15"/>
    <mergeCell ref="E13:F13"/>
    <mergeCell ref="E16:F16"/>
    <mergeCell ref="E18:F18"/>
    <mergeCell ref="E26:F26"/>
    <mergeCell ref="E17:F17"/>
    <mergeCell ref="E19:F19"/>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AA10" sqref="AA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1325631.5938682116</v>
      </c>
      <c r="D10" s="1938" t="s">
        <v>97</v>
      </c>
      <c r="E10" s="615"/>
      <c r="F10" s="615"/>
      <c r="G10" s="615"/>
      <c r="H10" s="1851">
        <f>IF(SUM(H11:H14)=0,"NO",SUM(H11:H14))</f>
        <v>89746.900002213893</v>
      </c>
      <c r="I10" s="1851">
        <f>IF(SUM(I11:I15)=0,"NO",SUM(I11:I15))</f>
        <v>16.069172104575642</v>
      </c>
      <c r="J10" s="2217">
        <f>IF(SUM(J11:J15)=0,"NO",SUM(J11:J15))</f>
        <v>6.0009155630814126</v>
      </c>
    </row>
    <row r="11" spans="2:11" ht="18" customHeight="1" x14ac:dyDescent="0.2">
      <c r="B11" s="282" t="s">
        <v>243</v>
      </c>
      <c r="C11" s="1938">
        <f>IF(SUM(C17:C18,C21:C24,C82,C89:C92,C100)=0,"NO",SUM(C17:C18,C21:C24,C82,C89:C92,C100))</f>
        <v>1301653.2624555388</v>
      </c>
      <c r="D11" s="1934" t="s">
        <v>97</v>
      </c>
      <c r="E11" s="1938">
        <f>IFERROR(H11*1000/$C11,"NA")</f>
        <v>68.276653586641714</v>
      </c>
      <c r="F11" s="1938">
        <f t="shared" ref="F11:G15" si="0">IFERROR(I11*1000000/$C11,"NA")</f>
        <v>11.788999080746688</v>
      </c>
      <c r="G11" s="1938">
        <f t="shared" si="0"/>
        <v>4.5690986753995846</v>
      </c>
      <c r="H11" s="1938">
        <f>IF(SUM(H17:H18,H21:H24,H82,H89:H92,H100)=0,"NO",SUM(H17:H18,H21:H24,H82,H89:H92,H100))</f>
        <v>88872.528890598842</v>
      </c>
      <c r="I11" s="1938">
        <f>IF(SUM(I17:I18,I21:I24,I82,I89:I92,I100)=0,"NO",SUM(I17:I18,I21:I24,I82,I89:I92,I100))</f>
        <v>15.345189114539275</v>
      </c>
      <c r="J11" s="3064">
        <f>IF(SUM(J17:J18,J21:J24,J82,J89:J92,J100)=0,"NO",SUM(J17:J18,J21:J24,J82,J89:J92,J100))</f>
        <v>5.9473821973151511</v>
      </c>
    </row>
    <row r="12" spans="2:11" ht="18" customHeight="1" x14ac:dyDescent="0.2">
      <c r="B12" s="282" t="s">
        <v>245</v>
      </c>
      <c r="C12" s="1938">
        <f>IF(SUM(C83,C101,C97)=0,"NO",SUM(C83,C101,C97))</f>
        <v>2520.0000000000005</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12574.304703</v>
      </c>
      <c r="D13" s="1934" t="s">
        <v>97</v>
      </c>
      <c r="E13" s="1938">
        <f t="shared" si="1"/>
        <v>51.411918339265</v>
      </c>
      <c r="F13" s="1938">
        <f t="shared" si="0"/>
        <v>30.504937419768016</v>
      </c>
      <c r="G13" s="1938">
        <f t="shared" si="0"/>
        <v>0.29725941581551002</v>
      </c>
      <c r="H13" s="1938">
        <f>IF(SUM(H26,H84,H94,H102)=0,"NO",SUM(H26,H84,H94,H102))</f>
        <v>646.46912656367181</v>
      </c>
      <c r="I13" s="1938">
        <f>IF(SUM(I26,I84,I94,I102)=0,"NO",SUM(I26,I84,I94,I102))</f>
        <v>0.38357837806210965</v>
      </c>
      <c r="J13" s="3064">
        <f>IF(SUM(J26,J84,J94,J102)=0,"NO",SUM(J26,J84,J94,J102))</f>
        <v>3.7378304703E-3</v>
      </c>
    </row>
    <row r="14" spans="2:11" ht="18" customHeight="1" x14ac:dyDescent="0.2">
      <c r="B14" s="282" t="s">
        <v>290</v>
      </c>
      <c r="C14" s="1938">
        <f>IF(SUM(C28,C86,C96,C103)=0,"NO",SUM(C28,C86,C96,C103))</f>
        <v>2535.033902474529</v>
      </c>
      <c r="D14" s="1934" t="s">
        <v>97</v>
      </c>
      <c r="E14" s="1938">
        <f t="shared" si="1"/>
        <v>89.900961414725245</v>
      </c>
      <c r="F14" s="1938">
        <f t="shared" si="0"/>
        <v>31.81022546534178</v>
      </c>
      <c r="G14" s="1938">
        <f t="shared" si="0"/>
        <v>0.99406954579193063</v>
      </c>
      <c r="H14" s="1938">
        <f>IF(SUM(H28,H86,H96,H103)=0,"NO",SUM(H28,H86,H96,H103))</f>
        <v>227.90198505138301</v>
      </c>
      <c r="I14" s="1938">
        <f>IF(SUM(I28,I86,I96,I103)=0,"NO",SUM(I28,I86,I96,I103))</f>
        <v>8.0640000000000017E-2</v>
      </c>
      <c r="J14" s="3064">
        <f>IF(SUM(J28,J86,J96,J103)=0,"NO",SUM(J28,J86,J96,J103))</f>
        <v>2.5200000000000005E-3</v>
      </c>
    </row>
    <row r="15" spans="2:11" ht="18" customHeight="1" x14ac:dyDescent="0.2">
      <c r="B15" s="282" t="s">
        <v>249</v>
      </c>
      <c r="C15" s="1938">
        <f>IF(SUM(C19,C27,C85,C95,C104)=0,"NO",SUM(C19,C27,C85,C95,C104))</f>
        <v>6348.992807198385</v>
      </c>
      <c r="D15" s="1938" t="s">
        <v>97</v>
      </c>
      <c r="E15" s="1938">
        <f t="shared" si="1"/>
        <v>67.260000000000019</v>
      </c>
      <c r="F15" s="1938">
        <f t="shared" si="0"/>
        <v>40.914302451207512</v>
      </c>
      <c r="G15" s="1938">
        <f t="shared" si="0"/>
        <v>7.4461472443884666</v>
      </c>
      <c r="H15" s="1938">
        <f>IF(SUM(H19,H27,H85,H95,H104)=0,"NO",SUM(H19,H27,H85,H95,H104))</f>
        <v>427.03325621216351</v>
      </c>
      <c r="I15" s="1938">
        <f>IF(SUM(I19,I27,I85,I95,I104)=0,"NO",SUM(I19,I27,I85,I95,I104))</f>
        <v>0.25976461197425577</v>
      </c>
      <c r="J15" s="3064">
        <f>IF(SUM(J19,J27,J85,J95,J104)=0,"NO",SUM(J19,J27,J85,J95,J104))</f>
        <v>4.7275535295962449E-2</v>
      </c>
    </row>
    <row r="16" spans="2:11" ht="18" customHeight="1" x14ac:dyDescent="0.2">
      <c r="B16" s="1240" t="s">
        <v>291</v>
      </c>
      <c r="C16" s="1938">
        <f>IF(SUM(C17:C19)=0,"NO",SUM(C17:C19))</f>
        <v>113984.17261340001</v>
      </c>
      <c r="D16" s="1934" t="s">
        <v>97</v>
      </c>
      <c r="E16" s="615"/>
      <c r="F16" s="615"/>
      <c r="G16" s="615"/>
      <c r="H16" s="1938">
        <f>IF(SUM(H17:H18)=0,"NO",SUM(H17:H18))</f>
        <v>7925.9338914978007</v>
      </c>
      <c r="I16" s="1938">
        <f>IF(SUM(I17:I19)=0,"NO",SUM(I17:I19))</f>
        <v>3.7070479250238257E-2</v>
      </c>
      <c r="J16" s="3064">
        <f>IF(SUM(J17:J19)=0,"NO",SUM(J17:J19))</f>
        <v>6.0023992787256994E-2</v>
      </c>
    </row>
    <row r="17" spans="2:10" ht="18" customHeight="1" x14ac:dyDescent="0.2">
      <c r="B17" s="282" t="s">
        <v>292</v>
      </c>
      <c r="C17" s="699">
        <v>2832.5086133999998</v>
      </c>
      <c r="D17" s="1934" t="s">
        <v>97</v>
      </c>
      <c r="E17" s="1938">
        <f t="shared" ref="E17:E19" si="2">IFERROR(H17*1000/$C17,"NA")</f>
        <v>67</v>
      </c>
      <c r="F17" s="1938">
        <f t="shared" ref="F17:G19" si="3">IFERROR(I17*1000000/$C17,"NA")</f>
        <v>0.50000000000000011</v>
      </c>
      <c r="G17" s="1938">
        <f t="shared" si="3"/>
        <v>2.0000000000000004</v>
      </c>
      <c r="H17" s="699">
        <v>189.77807709780001</v>
      </c>
      <c r="I17" s="699">
        <v>1.4162543067000001E-3</v>
      </c>
      <c r="J17" s="2921">
        <v>5.6650172268000003E-3</v>
      </c>
    </row>
    <row r="18" spans="2:10" ht="18" customHeight="1" x14ac:dyDescent="0.2">
      <c r="B18" s="282" t="s">
        <v>293</v>
      </c>
      <c r="C18" s="699">
        <v>111151.664</v>
      </c>
      <c r="D18" s="1934" t="s">
        <v>97</v>
      </c>
      <c r="E18" s="1938">
        <f t="shared" si="2"/>
        <v>69.600000000000009</v>
      </c>
      <c r="F18" s="1938">
        <f t="shared" si="3"/>
        <v>0.32077095079330759</v>
      </c>
      <c r="G18" s="1938">
        <f t="shared" si="3"/>
        <v>0.48905228769635861</v>
      </c>
      <c r="H18" s="699">
        <v>7736.155814400001</v>
      </c>
      <c r="I18" s="699">
        <v>3.565422494353826E-2</v>
      </c>
      <c r="J18" s="2921">
        <v>5.435897556045699E-2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1136165.7187920772</v>
      </c>
      <c r="D20" s="1934" t="s">
        <v>97</v>
      </c>
      <c r="E20" s="615"/>
      <c r="F20" s="615"/>
      <c r="G20" s="615"/>
      <c r="H20" s="1938">
        <f>IF(SUM(H21:H24,H26,H28)=0,"NO",SUM(H21:H24,H26,H28))</f>
        <v>76876.880519039987</v>
      </c>
      <c r="I20" s="1938">
        <f>IF(SUM(I21:I24,I26:I28)=0,"NO",SUM(I21:I24,I26:I28))</f>
        <v>11.218884571349337</v>
      </c>
      <c r="J20" s="3064">
        <f>IF(SUM(J21:J24,J26:J28)=0,"NO",SUM(J21:J24,J26:J28))</f>
        <v>4.7423957960599683</v>
      </c>
    </row>
    <row r="21" spans="2:10" ht="18" customHeight="1" x14ac:dyDescent="0.2">
      <c r="B21" s="282" t="s">
        <v>281</v>
      </c>
      <c r="C21" s="1938">
        <f>IF(SUM(C31,C41,C51,C61,C72)=0,"NO",SUM(C31,C41,C51,C61,C72))</f>
        <v>622022.2936605626</v>
      </c>
      <c r="D21" s="1934" t="s">
        <v>97</v>
      </c>
      <c r="E21" s="1938">
        <f t="shared" ref="E21:E23" si="4">IFERROR(H21*1000/$C21,"NA")</f>
        <v>67.400000000000006</v>
      </c>
      <c r="F21" s="1938">
        <f t="shared" ref="F21:G23" si="5">IFERROR(I21*1000000/$C21,"NA")</f>
        <v>10.855546483504732</v>
      </c>
      <c r="G21" s="1938">
        <f t="shared" si="5"/>
        <v>6.1396393758517211</v>
      </c>
      <c r="H21" s="1938">
        <f t="shared" ref="H21:J23" si="6">IF(SUM(H31,H41,H51,H61,H72)=0,"NO",SUM(H31,H41,H51,H61,H72))</f>
        <v>41924.302592721921</v>
      </c>
      <c r="I21" s="1938">
        <f t="shared" si="6"/>
        <v>6.7523919226084681</v>
      </c>
      <c r="J21" s="3064">
        <f t="shared" si="6"/>
        <v>3.818992566815993</v>
      </c>
    </row>
    <row r="22" spans="2:10" ht="18" customHeight="1" x14ac:dyDescent="0.2">
      <c r="B22" s="282" t="s">
        <v>282</v>
      </c>
      <c r="C22" s="1938">
        <f>IF(SUM(C32,C42,C52,C62,C73)=0,"NO",SUM(C32,C42,C52,C62,C73))</f>
        <v>453605.86985103285</v>
      </c>
      <c r="D22" s="1934" t="s">
        <v>97</v>
      </c>
      <c r="E22" s="1938">
        <f t="shared" si="4"/>
        <v>69.900000000000006</v>
      </c>
      <c r="F22" s="1938">
        <f t="shared" si="5"/>
        <v>6.0237904711880095</v>
      </c>
      <c r="G22" s="1938">
        <f t="shared" si="5"/>
        <v>1.6671687553510348</v>
      </c>
      <c r="H22" s="1938">
        <f t="shared" si="6"/>
        <v>31707.050302587199</v>
      </c>
      <c r="I22" s="1938">
        <f t="shared" si="6"/>
        <v>2.7324267164835998</v>
      </c>
      <c r="J22" s="3064">
        <f t="shared" si="6"/>
        <v>0.75623753345946987</v>
      </c>
    </row>
    <row r="23" spans="2:10" ht="18" customHeight="1" x14ac:dyDescent="0.2">
      <c r="B23" s="282" t="s">
        <v>283</v>
      </c>
      <c r="C23" s="1938">
        <f>IF(SUM(C33,C43,C53,C63,C74)=0,"NO",SUM(C33,C43,C53,C63,C74))</f>
        <v>51640</v>
      </c>
      <c r="D23" s="1934" t="s">
        <v>97</v>
      </c>
      <c r="E23" s="1938">
        <f t="shared" si="4"/>
        <v>60.200000000000017</v>
      </c>
      <c r="F23" s="1938">
        <f t="shared" si="5"/>
        <v>24.678785212698131</v>
      </c>
      <c r="G23" s="1938">
        <f t="shared" si="5"/>
        <v>2.2807007535095423</v>
      </c>
      <c r="H23" s="1938">
        <f t="shared" si="6"/>
        <v>3108.728000000001</v>
      </c>
      <c r="I23" s="1938">
        <f t="shared" si="6"/>
        <v>1.2744124683837315</v>
      </c>
      <c r="J23" s="3064">
        <f t="shared" si="6"/>
        <v>0.11777538691123277</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2656</v>
      </c>
      <c r="D26" s="1934" t="s">
        <v>97</v>
      </c>
      <c r="E26" s="1938">
        <f t="shared" si="7"/>
        <v>51.411918339265</v>
      </c>
      <c r="F26" s="1938">
        <f t="shared" si="8"/>
        <v>106.27117599825331</v>
      </c>
      <c r="G26" s="1938">
        <f t="shared" si="8"/>
        <v>1</v>
      </c>
      <c r="H26" s="1938">
        <f t="shared" ref="H26:J29" si="10">IF(SUM(H36,H46,H56,H66,H77)=0,"NO",SUM(H36,H46,H56,H66,H77))</f>
        <v>136.55005510908785</v>
      </c>
      <c r="I26" s="1938">
        <f t="shared" si="10"/>
        <v>0.2822562434513608</v>
      </c>
      <c r="J26" s="3064">
        <f t="shared" si="10"/>
        <v>2.6559999999999999E-3</v>
      </c>
    </row>
    <row r="27" spans="2:10" ht="18" customHeight="1" x14ac:dyDescent="0.2">
      <c r="B27" s="282" t="s">
        <v>249</v>
      </c>
      <c r="C27" s="1938">
        <f t="shared" si="9"/>
        <v>6238.1505243865031</v>
      </c>
      <c r="D27" s="1934" t="s">
        <v>97</v>
      </c>
      <c r="E27" s="1938">
        <f t="shared" si="7"/>
        <v>67.260000000000019</v>
      </c>
      <c r="F27" s="1938">
        <f t="shared" si="8"/>
        <v>28.437470325328874</v>
      </c>
      <c r="G27" s="1938">
        <f t="shared" si="8"/>
        <v>7.4916930411627884</v>
      </c>
      <c r="H27" s="1938">
        <f t="shared" si="10"/>
        <v>419.57800427023631</v>
      </c>
      <c r="I27" s="1938">
        <f t="shared" si="10"/>
        <v>0.17739722042217596</v>
      </c>
      <c r="J27" s="3064">
        <f t="shared" si="10"/>
        <v>4.6734308873272359E-2</v>
      </c>
    </row>
    <row r="28" spans="2:10" ht="18" customHeight="1" x14ac:dyDescent="0.2">
      <c r="B28" s="282" t="s">
        <v>290</v>
      </c>
      <c r="C28" s="1938">
        <f>C29</f>
        <v>3.4047560953419631</v>
      </c>
      <c r="D28" s="1934" t="s">
        <v>97</v>
      </c>
      <c r="E28" s="615"/>
      <c r="F28" s="615"/>
      <c r="G28" s="615"/>
      <c r="H28" s="1938">
        <f>H29</f>
        <v>0.24956862178856593</v>
      </c>
      <c r="I28" s="1938" t="str">
        <f>I29</f>
        <v>NE</v>
      </c>
      <c r="J28" s="3064" t="str">
        <f>J29</f>
        <v>NE</v>
      </c>
    </row>
    <row r="29" spans="2:10" ht="18" customHeight="1" x14ac:dyDescent="0.2">
      <c r="B29" s="3083" t="s">
        <v>297</v>
      </c>
      <c r="C29" s="1938">
        <f t="shared" si="9"/>
        <v>3.4047560953419631</v>
      </c>
      <c r="D29" s="1934" t="s">
        <v>97</v>
      </c>
      <c r="E29" s="3081">
        <f t="shared" ref="E29" si="11">IFERROR(H29*1000/$C29,"NA")</f>
        <v>73.300000000000011</v>
      </c>
      <c r="F29" s="3081" t="str">
        <f>IFERROR(I29*1000000/$C29,"NA")</f>
        <v>NA</v>
      </c>
      <c r="G29" s="3081" t="str">
        <f>IFERROR(J29*1000000/$C29,"NA")</f>
        <v>NA</v>
      </c>
      <c r="H29" s="1938">
        <f t="shared" si="10"/>
        <v>0.24956862178856593</v>
      </c>
      <c r="I29" s="1938" t="str">
        <f>IF(SUM(I39,I49,I59,I69,I80)=0,"NE",SUM(I39,I49,I59,I69,I80))</f>
        <v>NE</v>
      </c>
      <c r="J29" s="3064" t="str">
        <f>IF(SUM(J39,J49,J59,J69,J80)=0,"NE",SUM(J39,J49,J59,J69,J80))</f>
        <v>NE</v>
      </c>
    </row>
    <row r="30" spans="2:10" ht="18" customHeight="1" x14ac:dyDescent="0.2">
      <c r="B30" s="1241" t="s">
        <v>298</v>
      </c>
      <c r="C30" s="1938">
        <f>IF(SUM(C31:C34,C36:C38)=0,"NO",SUM(C31:C34,C36:C38))</f>
        <v>641522.53527290002</v>
      </c>
      <c r="D30" s="1934" t="s">
        <v>97</v>
      </c>
      <c r="E30" s="615"/>
      <c r="F30" s="615"/>
      <c r="G30" s="615"/>
      <c r="H30" s="1938">
        <f>IF(SUM(H31:H34,H36,H38)=0,"NO",SUM(H31:H34,H36,H38))</f>
        <v>42800.56342422984</v>
      </c>
      <c r="I30" s="1938">
        <f>IF(SUM(I31:I34,I36:I38)=0,"NO",SUM(I31:I34,I36:I38))</f>
        <v>6.9336289081752076</v>
      </c>
      <c r="J30" s="3064">
        <f>IF(SUM(J31:J34,J36:J38)=0,"NO",SUM(J31:J34,J36:J38))</f>
        <v>3.6717962940113593</v>
      </c>
    </row>
    <row r="31" spans="2:10" ht="18" customHeight="1" x14ac:dyDescent="0.2">
      <c r="B31" s="282" t="s">
        <v>281</v>
      </c>
      <c r="C31" s="699">
        <v>535589.55078699824</v>
      </c>
      <c r="D31" s="1934" t="s">
        <v>97</v>
      </c>
      <c r="E31" s="1938">
        <f t="shared" ref="E31:E33" si="12">IFERROR(H31*1000/$C31,"NA")</f>
        <v>67.399999999999991</v>
      </c>
      <c r="F31" s="1938">
        <f t="shared" ref="F31:G33" si="13">IFERROR(I31*1000000/$C31,"NA")</f>
        <v>10.367756406193122</v>
      </c>
      <c r="G31" s="1938">
        <f t="shared" si="13"/>
        <v>6.5061461386623876</v>
      </c>
      <c r="H31" s="699">
        <v>36098.735723043683</v>
      </c>
      <c r="I31" s="699">
        <v>5.5528619962619974</v>
      </c>
      <c r="J31" s="2921">
        <v>3.4846238877607516</v>
      </c>
    </row>
    <row r="32" spans="2:10" ht="18" customHeight="1" x14ac:dyDescent="0.2">
      <c r="B32" s="282" t="s">
        <v>282</v>
      </c>
      <c r="C32" s="699">
        <v>66970.039740684602</v>
      </c>
      <c r="D32" s="1934" t="s">
        <v>97</v>
      </c>
      <c r="E32" s="1938">
        <f t="shared" si="12"/>
        <v>69.900000000000006</v>
      </c>
      <c r="F32" s="1938">
        <f t="shared" si="13"/>
        <v>4.8344707506377205</v>
      </c>
      <c r="G32" s="1938">
        <f t="shared" si="13"/>
        <v>1.1252711534075848</v>
      </c>
      <c r="H32" s="699">
        <v>4681.2057778738545</v>
      </c>
      <c r="I32" s="699">
        <v>0.32376469829538546</v>
      </c>
      <c r="J32" s="2921">
        <v>7.5359453862751946E-2</v>
      </c>
    </row>
    <row r="33" spans="2:10" ht="18" customHeight="1" x14ac:dyDescent="0.2">
      <c r="B33" s="282" t="s">
        <v>283</v>
      </c>
      <c r="C33" s="699">
        <v>33535.396132252026</v>
      </c>
      <c r="D33" s="1934" t="s">
        <v>97</v>
      </c>
      <c r="E33" s="1938">
        <f t="shared" si="12"/>
        <v>60.200000000000024</v>
      </c>
      <c r="F33" s="1938">
        <f t="shared" si="13"/>
        <v>26.717281531618568</v>
      </c>
      <c r="G33" s="1938">
        <f t="shared" si="13"/>
        <v>2.2536198740221463</v>
      </c>
      <c r="H33" s="699">
        <v>2018.8308471615728</v>
      </c>
      <c r="I33" s="699">
        <v>0.89597461973972981</v>
      </c>
      <c r="J33" s="2921">
        <v>7.557603520684858E-2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34.837761526684346</v>
      </c>
      <c r="D36" s="1934" t="s">
        <v>97</v>
      </c>
      <c r="E36" s="1938">
        <f t="shared" si="14"/>
        <v>51.411918339264993</v>
      </c>
      <c r="F36" s="1938">
        <f t="shared" si="15"/>
        <v>261.00000000000006</v>
      </c>
      <c r="G36" s="1938">
        <f t="shared" si="15"/>
        <v>0.99999999999999978</v>
      </c>
      <c r="H36" s="699">
        <v>1.7910761507326833</v>
      </c>
      <c r="I36" s="699">
        <v>9.0926557584646156E-3</v>
      </c>
      <c r="J36" s="2921">
        <v>3.4837761526684342E-5</v>
      </c>
    </row>
    <row r="37" spans="2:10" ht="18" customHeight="1" x14ac:dyDescent="0.2">
      <c r="B37" s="282" t="s">
        <v>249</v>
      </c>
      <c r="C37" s="699">
        <v>5392.7108514384936</v>
      </c>
      <c r="D37" s="1934" t="s">
        <v>97</v>
      </c>
      <c r="E37" s="1938">
        <f t="shared" si="14"/>
        <v>67.260000000000005</v>
      </c>
      <c r="F37" s="1938">
        <f t="shared" si="15"/>
        <v>28.1741302853466</v>
      </c>
      <c r="G37" s="1938">
        <f t="shared" si="15"/>
        <v>6.7131504760400498</v>
      </c>
      <c r="H37" s="699">
        <v>362.71373186775315</v>
      </c>
      <c r="I37" s="699">
        <v>0.15193493811963049</v>
      </c>
      <c r="J37" s="2921">
        <v>3.6202079419480664E-2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198682.18026337717</v>
      </c>
      <c r="D40" s="1934" t="s">
        <v>97</v>
      </c>
      <c r="E40" s="615"/>
      <c r="F40" s="615"/>
      <c r="G40" s="615"/>
      <c r="H40" s="1938">
        <f>IF(SUM(H41:H44,H46,H48)=0,"NO",SUM(H41:H44,H46,H48))</f>
        <v>13495.844663611015</v>
      </c>
      <c r="I40" s="1938">
        <f>IF(SUM(I41:I44,I46:I48)=0,"NO",SUM(I41:I44,I46:I48))</f>
        <v>2.3413347215060321</v>
      </c>
      <c r="J40" s="3064">
        <f>IF(SUM(J41:J44,J46:J48)=0,"NO",SUM(J41:J44,J46:J48))</f>
        <v>0.52123024701924314</v>
      </c>
    </row>
    <row r="41" spans="2:10" ht="18" customHeight="1" x14ac:dyDescent="0.2">
      <c r="B41" s="282" t="s">
        <v>281</v>
      </c>
      <c r="C41" s="699">
        <v>80666.010324953095</v>
      </c>
      <c r="D41" s="1934" t="s">
        <v>97</v>
      </c>
      <c r="E41" s="1938">
        <f t="shared" ref="E41:E43" si="17">IFERROR(H41*1000/$C41,"NA")</f>
        <v>67.400000000000006</v>
      </c>
      <c r="F41" s="1938">
        <f t="shared" ref="F41:G43" si="18">IFERROR(I41*1000000/$C41,"NA")</f>
        <v>10.905329701398445</v>
      </c>
      <c r="G41" s="1938">
        <f t="shared" si="18"/>
        <v>4.0720056801491546</v>
      </c>
      <c r="H41" s="699">
        <v>5436.8890959018381</v>
      </c>
      <c r="I41" s="699">
        <v>0.87968943829002466</v>
      </c>
      <c r="J41" s="2921">
        <v>0.32847245223817934</v>
      </c>
    </row>
    <row r="42" spans="2:10" ht="18" customHeight="1" x14ac:dyDescent="0.2">
      <c r="B42" s="282" t="s">
        <v>282</v>
      </c>
      <c r="C42" s="699">
        <v>103684.5792939533</v>
      </c>
      <c r="D42" s="1934" t="s">
        <v>97</v>
      </c>
      <c r="E42" s="1938">
        <f t="shared" si="17"/>
        <v>69.900000000000006</v>
      </c>
      <c r="F42" s="1938">
        <f t="shared" si="18"/>
        <v>10.473201267258002</v>
      </c>
      <c r="G42" s="1938">
        <f t="shared" si="18"/>
        <v>1.406675046588818</v>
      </c>
      <c r="H42" s="699">
        <v>7247.5520926473355</v>
      </c>
      <c r="I42" s="699">
        <v>1.0859094672565444</v>
      </c>
      <c r="J42" s="2921">
        <v>0.14585051040886374</v>
      </c>
    </row>
    <row r="43" spans="2:10" ht="18" customHeight="1" x14ac:dyDescent="0.2">
      <c r="B43" s="282" t="s">
        <v>283</v>
      </c>
      <c r="C43" s="699">
        <v>13433.487211478479</v>
      </c>
      <c r="D43" s="1934" t="s">
        <v>97</v>
      </c>
      <c r="E43" s="1938">
        <f t="shared" si="17"/>
        <v>60.199999999999996</v>
      </c>
      <c r="F43" s="1938">
        <f t="shared" si="18"/>
        <v>25.051446953982076</v>
      </c>
      <c r="G43" s="1938">
        <f t="shared" si="18"/>
        <v>2.7038691135483899</v>
      </c>
      <c r="H43" s="699">
        <v>808.69593013100439</v>
      </c>
      <c r="I43" s="699">
        <v>0.33652829228534975</v>
      </c>
      <c r="J43" s="2921">
        <v>3.6322391158363949E-2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52.663760044320163</v>
      </c>
      <c r="D46" s="1934" t="s">
        <v>97</v>
      </c>
      <c r="E46" s="1938">
        <f t="shared" si="19"/>
        <v>51.411918339265007</v>
      </c>
      <c r="F46" s="1938">
        <f t="shared" si="20"/>
        <v>260.99999999999994</v>
      </c>
      <c r="G46" s="1938">
        <f t="shared" si="20"/>
        <v>1.0000000000000002</v>
      </c>
      <c r="H46" s="699">
        <v>2.7075449308372352</v>
      </c>
      <c r="I46" s="699">
        <v>1.3745241371567561E-2</v>
      </c>
      <c r="J46" s="2921">
        <v>5.2663760044320172E-5</v>
      </c>
    </row>
    <row r="47" spans="2:10" ht="18" customHeight="1" x14ac:dyDescent="0.2">
      <c r="B47" s="282" t="s">
        <v>249</v>
      </c>
      <c r="C47" s="699">
        <v>845.43967294800984</v>
      </c>
      <c r="D47" s="1934" t="s">
        <v>97</v>
      </c>
      <c r="E47" s="1938">
        <f t="shared" si="19"/>
        <v>67.259999999999991</v>
      </c>
      <c r="F47" s="1938">
        <f t="shared" si="20"/>
        <v>30.117207788179176</v>
      </c>
      <c r="G47" s="1938">
        <f t="shared" si="20"/>
        <v>12.457694843046918</v>
      </c>
      <c r="H47" s="699">
        <v>56.864272402483131</v>
      </c>
      <c r="I47" s="699">
        <v>2.5462282302545457E-2</v>
      </c>
      <c r="J47" s="2921">
        <v>1.0532229453791696E-2</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292169.98126363457</v>
      </c>
      <c r="D50" s="1934" t="s">
        <v>97</v>
      </c>
      <c r="E50" s="615"/>
      <c r="F50" s="615"/>
      <c r="G50" s="615"/>
      <c r="H50" s="1938">
        <f>IF(SUM(H51:H54,H56,H58)=0,"NO",SUM(H51:H54,H56,H58))</f>
        <v>20324.937460866226</v>
      </c>
      <c r="I50" s="1938">
        <f>IF(SUM(I51:I54,I56:I58)=0,"NO",SUM(I51:I54,I56:I58))</f>
        <v>1.6623555806756691</v>
      </c>
      <c r="J50" s="3064">
        <f>IF(SUM(J51:J54,J56:J58)=0,"NO",SUM(J51:J54,J56:J58))</f>
        <v>0.54561505021613299</v>
      </c>
    </row>
    <row r="51" spans="2:10" ht="18" customHeight="1" x14ac:dyDescent="0.2">
      <c r="B51" s="282" t="s">
        <v>281</v>
      </c>
      <c r="C51" s="699">
        <v>1979.1153125411504</v>
      </c>
      <c r="D51" s="1934" t="s">
        <v>97</v>
      </c>
      <c r="E51" s="1938">
        <f t="shared" ref="E51:E53" si="22">IFERROR(H51*1000/$C51,"NA")</f>
        <v>67.400000000000006</v>
      </c>
      <c r="F51" s="1938">
        <f t="shared" ref="F51:G53" si="23">IFERROR(I51*1000000/$C51,"NA")</f>
        <v>19.339513378265114</v>
      </c>
      <c r="G51" s="1938">
        <f t="shared" si="23"/>
        <v>1.0823128850836077</v>
      </c>
      <c r="H51" s="699">
        <v>133.39237206527355</v>
      </c>
      <c r="I51" s="699">
        <v>3.8275127064018914E-2</v>
      </c>
      <c r="J51" s="2921">
        <v>2.1420220038295586E-3</v>
      </c>
    </row>
    <row r="52" spans="2:10" ht="18" customHeight="1" x14ac:dyDescent="0.2">
      <c r="B52" s="282" t="s">
        <v>282</v>
      </c>
      <c r="C52" s="699">
        <v>282951.25081639498</v>
      </c>
      <c r="D52" s="1934" t="s">
        <v>97</v>
      </c>
      <c r="E52" s="1938">
        <f t="shared" si="22"/>
        <v>69.899999999999991</v>
      </c>
      <c r="F52" s="1938">
        <f t="shared" si="23"/>
        <v>4.6748425642761848</v>
      </c>
      <c r="G52" s="1938">
        <f t="shared" si="23"/>
        <v>1.8908825023538407</v>
      </c>
      <c r="H52" s="699">
        <v>19778.292432066009</v>
      </c>
      <c r="I52" s="699">
        <v>1.3227525509316698</v>
      </c>
      <c r="J52" s="2921">
        <v>0.53502756918785421</v>
      </c>
    </row>
    <row r="53" spans="2:10" ht="18" customHeight="1" x14ac:dyDescent="0.2">
      <c r="B53" s="282" t="s">
        <v>283</v>
      </c>
      <c r="C53" s="699">
        <v>4671.1166562694953</v>
      </c>
      <c r="D53" s="1934" t="s">
        <v>97</v>
      </c>
      <c r="E53" s="1938">
        <f t="shared" si="22"/>
        <v>60.2</v>
      </c>
      <c r="F53" s="1938">
        <f t="shared" si="23"/>
        <v>8.9720637360664934</v>
      </c>
      <c r="G53" s="1938">
        <f t="shared" si="23"/>
        <v>1.2581489563383701</v>
      </c>
      <c r="H53" s="699">
        <v>281.2012227074236</v>
      </c>
      <c r="I53" s="699">
        <v>4.190955635865172E-2</v>
      </c>
      <c r="J53" s="2921">
        <v>5.8769605460202426E-3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2568.4984784289954</v>
      </c>
      <c r="D56" s="1934" t="s">
        <v>97</v>
      </c>
      <c r="E56" s="1938">
        <f t="shared" si="24"/>
        <v>51.411918339265007</v>
      </c>
      <c r="F56" s="1938">
        <f t="shared" si="25"/>
        <v>101.00000000000003</v>
      </c>
      <c r="G56" s="1938">
        <f t="shared" si="25"/>
        <v>1</v>
      </c>
      <c r="H56" s="699">
        <v>132.05143402751793</v>
      </c>
      <c r="I56" s="699">
        <v>0.2594183463213286</v>
      </c>
      <c r="J56" s="2921">
        <v>2.5684984784289954E-3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3791.0219921654743</v>
      </c>
      <c r="D60" s="1934" t="s">
        <v>97</v>
      </c>
      <c r="E60" s="615"/>
      <c r="F60" s="615"/>
      <c r="G60" s="615"/>
      <c r="H60" s="1938">
        <f>IF(SUM(H61:H64,H66,H68)=0,"NO",SUM(H61:H64,H66,H68))</f>
        <v>255.53497033291552</v>
      </c>
      <c r="I60" s="1938">
        <f>IF(SUM(I61:I64,I66:I68)=0,"NO",SUM(I61:I64,I66:I68))</f>
        <v>0.28156536099242735</v>
      </c>
      <c r="J60" s="3064">
        <f>IF(SUM(J61:J64,J66:J68)=0,"NO",SUM(J61:J64,J66:J68))</f>
        <v>3.7542048132323644E-3</v>
      </c>
    </row>
    <row r="61" spans="2:10" ht="18" customHeight="1" x14ac:dyDescent="0.2">
      <c r="B61" s="282" t="s">
        <v>281</v>
      </c>
      <c r="C61" s="699">
        <v>3787.6172360701325</v>
      </c>
      <c r="D61" s="1934" t="s">
        <v>97</v>
      </c>
      <c r="E61" s="1938">
        <f t="shared" ref="E61:E63" si="27">IFERROR(H61*1000/$C61,"NA")</f>
        <v>67.400000000000006</v>
      </c>
      <c r="F61" s="1938">
        <f t="shared" ref="F61:G63" si="28">IFERROR(I61*1000000/$C61,"NA")</f>
        <v>74.338388343740704</v>
      </c>
      <c r="G61" s="1938">
        <f t="shared" si="28"/>
        <v>0.9911785112498761</v>
      </c>
      <c r="H61" s="699">
        <v>255.28540171112695</v>
      </c>
      <c r="I61" s="699">
        <v>0.28156536099242735</v>
      </c>
      <c r="J61" s="2921">
        <v>3.7542048132323644E-3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3.4047560953419631</v>
      </c>
      <c r="D68" s="1934" t="s">
        <v>97</v>
      </c>
      <c r="E68" s="615"/>
      <c r="F68" s="615"/>
      <c r="G68" s="615"/>
      <c r="H68" s="1938">
        <f>H69</f>
        <v>0.24956862178856593</v>
      </c>
      <c r="I68" s="1938" t="str">
        <f>I69</f>
        <v>NE</v>
      </c>
      <c r="J68" s="3064" t="str">
        <f>J69</f>
        <v>NE</v>
      </c>
    </row>
    <row r="69" spans="2:10" ht="18" customHeight="1" x14ac:dyDescent="0.2">
      <c r="B69" s="3083" t="s">
        <v>297</v>
      </c>
      <c r="C69" s="699">
        <v>3.4047560953419631</v>
      </c>
      <c r="D69" s="1934" t="s">
        <v>97</v>
      </c>
      <c r="E69" s="3081">
        <f t="shared" ref="E69" si="31">IFERROR(H69*1000/$C69,"NA")</f>
        <v>73.300000000000011</v>
      </c>
      <c r="F69" s="3081" t="str">
        <f>IFERROR(I69*1000000/$C69,"NA")</f>
        <v>NA</v>
      </c>
      <c r="G69" s="3081" t="str">
        <f>IFERROR(J69*1000000/$C69,"NA")</f>
        <v>NA</v>
      </c>
      <c r="H69" s="699">
        <v>0.24956862178856593</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38854.922317000004</v>
      </c>
      <c r="D81" s="1934" t="s">
        <v>97</v>
      </c>
      <c r="E81" s="615"/>
      <c r="F81" s="615"/>
      <c r="G81" s="615"/>
      <c r="H81" s="1938">
        <f>IF(SUM(H82:H84,H86)=0,"NO",SUM(H82:H84,H86))</f>
        <v>2715.9698825312007</v>
      </c>
      <c r="I81" s="1938">
        <f>IF(SUM(I82:I86)=0,"NO",SUM(I82:I86))</f>
        <v>0.15540799999999999</v>
      </c>
      <c r="J81" s="3064">
        <f>IF(SUM(J82:J86)=0,"NO",SUM(J82:J86))</f>
        <v>1.1655599999999999</v>
      </c>
    </row>
    <row r="82" spans="2:10" ht="18" customHeight="1" x14ac:dyDescent="0.2">
      <c r="B82" s="282" t="s">
        <v>243</v>
      </c>
      <c r="C82" s="699">
        <v>38854.922317000004</v>
      </c>
      <c r="D82" s="1934" t="s">
        <v>97</v>
      </c>
      <c r="E82" s="1938">
        <f t="shared" ref="E82:E85" si="37">IFERROR(H82*1000/$C82,"NA")</f>
        <v>69.900278280646447</v>
      </c>
      <c r="F82" s="1938">
        <f t="shared" ref="F82:G85" si="38">IFERROR(I82*1000000/$C82,"NA")</f>
        <v>3.9996991560578952</v>
      </c>
      <c r="G82" s="1938">
        <f t="shared" si="38"/>
        <v>29.997743670434215</v>
      </c>
      <c r="H82" s="699">
        <v>2715.9698825312007</v>
      </c>
      <c r="I82" s="699">
        <v>0.15540799999999999</v>
      </c>
      <c r="J82" s="2921">
        <v>1.1655599999999999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23624.384964381279</v>
      </c>
      <c r="D88" s="1934" t="s">
        <v>97</v>
      </c>
      <c r="E88" s="615"/>
      <c r="F88" s="615"/>
      <c r="G88" s="615"/>
      <c r="H88" s="1938">
        <f>IF(SUM(H89:H92,H94,H96)=0,"NO",SUM(H89:H92,H94,H96))</f>
        <v>1678.9554613095015</v>
      </c>
      <c r="I88" s="3299">
        <f>IF(SUM(I89:I92,I94:I96)=0,"NE",SUM(I89:I92,I94:I96))</f>
        <v>4.5432691845682704</v>
      </c>
      <c r="J88" s="3300">
        <f>IF(SUM(J89:J92,J94:J96)=0,"NE",SUM(J89:J92,J94:J96))</f>
        <v>3.1804989533957898E-2</v>
      </c>
    </row>
    <row r="89" spans="2:10" ht="18" customHeight="1" x14ac:dyDescent="0.2">
      <c r="B89" s="282" t="s">
        <v>306</v>
      </c>
      <c r="C89" s="699">
        <v>4310.0000000000009</v>
      </c>
      <c r="D89" s="1934" t="s">
        <v>97</v>
      </c>
      <c r="E89" s="1938">
        <f t="shared" ref="E89:E91" si="40">IFERROR(H89*1000/$C89,"NA")</f>
        <v>73.59999999999998</v>
      </c>
      <c r="F89" s="1938">
        <f t="shared" ref="F89:G91" si="41">IFERROR(I89*1000000/$C89,"NA")</f>
        <v>6.9999999999999991</v>
      </c>
      <c r="G89" s="1938">
        <f t="shared" si="41"/>
        <v>2</v>
      </c>
      <c r="H89" s="699">
        <v>317.21600000000001</v>
      </c>
      <c r="I89" s="4435">
        <v>3.0170000000000002E-2</v>
      </c>
      <c r="J89" s="4436">
        <v>8.6200000000000009E-3</v>
      </c>
    </row>
    <row r="90" spans="2:10" ht="18" customHeight="1" x14ac:dyDescent="0.2">
      <c r="B90" s="282" t="s">
        <v>307</v>
      </c>
      <c r="C90" s="699">
        <v>4648.6202991608898</v>
      </c>
      <c r="D90" s="1934" t="s">
        <v>97</v>
      </c>
      <c r="E90" s="1938">
        <f t="shared" si="40"/>
        <v>69.900000000000006</v>
      </c>
      <c r="F90" s="1938">
        <f t="shared" si="41"/>
        <v>7.0000000000000009</v>
      </c>
      <c r="G90" s="1938">
        <f t="shared" si="41"/>
        <v>2.0000000000000004</v>
      </c>
      <c r="H90" s="699">
        <v>324.93855891134621</v>
      </c>
      <c r="I90" s="4435">
        <v>3.2540342094126234E-2</v>
      </c>
      <c r="J90" s="4436">
        <v>9.297240598321781E-3</v>
      </c>
    </row>
    <row r="91" spans="2:10" ht="18" customHeight="1" x14ac:dyDescent="0.2">
      <c r="B91" s="282" t="s">
        <v>281</v>
      </c>
      <c r="C91" s="699">
        <v>11940.000000000002</v>
      </c>
      <c r="D91" s="1934" t="s">
        <v>97</v>
      </c>
      <c r="E91" s="1938">
        <f t="shared" si="40"/>
        <v>67.400000000000006</v>
      </c>
      <c r="F91" s="1938">
        <f t="shared" si="41"/>
        <v>359.99999999999989</v>
      </c>
      <c r="G91" s="1938">
        <f t="shared" si="41"/>
        <v>0.89999999999999991</v>
      </c>
      <c r="H91" s="699">
        <v>804.75600000000009</v>
      </c>
      <c r="I91" s="4435">
        <v>4.2983999999999991</v>
      </c>
      <c r="J91" s="4436">
        <v>1.0746E-2</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100.00000000000001</v>
      </c>
      <c r="D94" s="1934" t="s">
        <v>97</v>
      </c>
      <c r="E94" s="1938">
        <f t="shared" ref="E94:E95" si="44">IFERROR(H94*1000/$C94,"NA")</f>
        <v>51.411918339265007</v>
      </c>
      <c r="F94" s="1938">
        <f t="shared" si="43"/>
        <v>243.00000000000003</v>
      </c>
      <c r="G94" s="1938">
        <f t="shared" si="43"/>
        <v>1</v>
      </c>
      <c r="H94" s="699">
        <v>5.1411918339265013</v>
      </c>
      <c r="I94" s="3301">
        <v>2.4300000000000006E-2</v>
      </c>
      <c r="J94" s="3302">
        <v>1.0000000000000002E-4</v>
      </c>
    </row>
    <row r="95" spans="2:10" ht="18" customHeight="1" x14ac:dyDescent="0.2">
      <c r="B95" s="282" t="s">
        <v>249</v>
      </c>
      <c r="C95" s="699">
        <v>104.34978712722325</v>
      </c>
      <c r="D95" s="1934" t="s">
        <v>97</v>
      </c>
      <c r="E95" s="1938">
        <f t="shared" si="44"/>
        <v>67.259999999999991</v>
      </c>
      <c r="F95" s="1938">
        <f t="shared" si="43"/>
        <v>739.99999999999989</v>
      </c>
      <c r="G95" s="1938">
        <f t="shared" si="43"/>
        <v>4.9999999999999991</v>
      </c>
      <c r="H95" s="699">
        <v>7.0185666821770347</v>
      </c>
      <c r="I95" s="3301">
        <v>7.7218842474145191E-2</v>
      </c>
      <c r="J95" s="3302">
        <v>5.2174893563611616E-4</v>
      </c>
    </row>
    <row r="96" spans="2:10" ht="18" customHeight="1" x14ac:dyDescent="0.2">
      <c r="B96" s="282" t="s">
        <v>299</v>
      </c>
      <c r="C96" s="1938">
        <f>IF(SUM(C97:C98)=0,"NO",SUM(C97:C98))</f>
        <v>2521.4148780931614</v>
      </c>
      <c r="D96" s="1934" t="s">
        <v>97</v>
      </c>
      <c r="E96" s="615"/>
      <c r="F96" s="615"/>
      <c r="G96" s="615"/>
      <c r="H96" s="1938">
        <f>IF(SUM(H97:H98)=0,"NO",SUM(H97:H98))</f>
        <v>226.90371056422873</v>
      </c>
      <c r="I96" s="3299">
        <f>IF(SUM(I97:I98)=0,"NE",SUM(I97:I98))</f>
        <v>8.0640000000000017E-2</v>
      </c>
      <c r="J96" s="3300">
        <f>IF(SUM(J97:J98)=0,"NE",SUM(J97:J98))</f>
        <v>2.5200000000000005E-3</v>
      </c>
    </row>
    <row r="97" spans="2:10" ht="18" customHeight="1" x14ac:dyDescent="0.2">
      <c r="B97" s="2592" t="s">
        <v>309</v>
      </c>
      <c r="C97" s="699">
        <v>2520.0000000000005</v>
      </c>
      <c r="D97" s="1934" t="s">
        <v>97</v>
      </c>
      <c r="E97" s="3081">
        <f t="shared" ref="E97" si="45">IFERROR(H97*1000/$C97,"NA")</f>
        <v>90</v>
      </c>
      <c r="F97" s="3081">
        <f>IFERROR(I97*1000000/$C97,"NA")</f>
        <v>32</v>
      </c>
      <c r="G97" s="3081">
        <f>IFERROR(J97*1000000/$C97,"NA")</f>
        <v>1</v>
      </c>
      <c r="H97" s="699">
        <v>226.80000000000004</v>
      </c>
      <c r="I97" s="3301">
        <v>8.0640000000000017E-2</v>
      </c>
      <c r="J97" s="3302">
        <v>2.5200000000000005E-3</v>
      </c>
    </row>
    <row r="98" spans="2:10" ht="18" customHeight="1" x14ac:dyDescent="0.2">
      <c r="B98" s="2592" t="s">
        <v>297</v>
      </c>
      <c r="C98" s="699">
        <v>1.4148780931607332</v>
      </c>
      <c r="D98" s="1934" t="s">
        <v>97</v>
      </c>
      <c r="E98" s="3081">
        <f t="shared" ref="E98" si="46">IFERROR(H98*1000/$C98,"NA")</f>
        <v>73.3</v>
      </c>
      <c r="F98" s="3081" t="str">
        <f>IFERROR(I98*1000000/$C98,"NA")</f>
        <v>NA</v>
      </c>
      <c r="G98" s="3081" t="str">
        <f>IFERROR(J98*1000000/$C98,"NA")</f>
        <v>NA</v>
      </c>
      <c r="H98" s="699">
        <v>0.10371056422868175</v>
      </c>
      <c r="I98" s="3301" t="s">
        <v>221</v>
      </c>
      <c r="J98" s="3302" t="s">
        <v>221</v>
      </c>
    </row>
    <row r="99" spans="2:10" ht="18" customHeight="1" x14ac:dyDescent="0.2">
      <c r="B99" s="1240" t="s">
        <v>310</v>
      </c>
      <c r="C99" s="1938">
        <f>IF(SUM(C100:C104)=0,"NO",SUM(C100:C104))</f>
        <v>10482.395181352935</v>
      </c>
      <c r="D99" s="1934" t="s">
        <v>97</v>
      </c>
      <c r="E99" s="615"/>
      <c r="F99" s="615"/>
      <c r="G99" s="615"/>
      <c r="H99" s="1938">
        <f>IF(SUM(H100:H103)=0,"NO",SUM(H100:H103))</f>
        <v>549.16024783538683</v>
      </c>
      <c r="I99" s="1938">
        <f>IF(SUM(I100:I104)=0,"NO",SUM(I100:I104))</f>
        <v>0.11453986940779598</v>
      </c>
      <c r="J99" s="3064">
        <f>IF(SUM(J100:J104)=0,"NO",SUM(J100:J104))</f>
        <v>1.1307847002304274E-3</v>
      </c>
    </row>
    <row r="100" spans="2:10" ht="18" customHeight="1" x14ac:dyDescent="0.2">
      <c r="B100" s="282" t="s">
        <v>243</v>
      </c>
      <c r="C100" s="1938">
        <f>IF(SUM(C106,C113:C116)=0,"NO",SUM(C106,C113:C116))</f>
        <v>647.3837143822501</v>
      </c>
      <c r="D100" s="1934" t="s">
        <v>97</v>
      </c>
      <c r="E100" s="3081">
        <f t="shared" ref="E100:E104" si="47">IFERROR(H100*1000/$C100,"NA")</f>
        <v>67.400000000000006</v>
      </c>
      <c r="F100" s="3081">
        <f t="shared" ref="F100:G104" si="48">IFERROR(I100*1000000/$C100,"NA")</f>
        <v>50.000000000000007</v>
      </c>
      <c r="G100" s="3081">
        <f t="shared" si="48"/>
        <v>0.2</v>
      </c>
      <c r="H100" s="1938">
        <f>IF(SUM(H106,H113:H116)=0,"NO",SUM(H106,H113:H116))</f>
        <v>43.633662349363661</v>
      </c>
      <c r="I100" s="1938">
        <f>IF(SUM(I106,I113:I116)=0,"NO",SUM(I106,I113:I116))</f>
        <v>3.2369185719112507E-2</v>
      </c>
      <c r="J100" s="3064">
        <f>IF(SUM(J106,J113:J116)=0,"NO",SUM(J106,J113:J116))</f>
        <v>1.2947674287645003E-4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9818.3047029999998</v>
      </c>
      <c r="D102" s="1934" t="s">
        <v>97</v>
      </c>
      <c r="E102" s="3081">
        <f t="shared" si="47"/>
        <v>51.411918339265</v>
      </c>
      <c r="F102" s="3081">
        <f t="shared" si="48"/>
        <v>7.8447488584474909</v>
      </c>
      <c r="G102" s="3081">
        <f t="shared" si="48"/>
        <v>0.10000000000000002</v>
      </c>
      <c r="H102" s="1938">
        <f t="shared" si="49"/>
        <v>504.77787962065747</v>
      </c>
      <c r="I102" s="1938">
        <f t="shared" si="49"/>
        <v>7.7022134610748874E-2</v>
      </c>
      <c r="J102" s="3064">
        <f t="shared" si="49"/>
        <v>9.8183047030000027E-4</v>
      </c>
    </row>
    <row r="103" spans="2:10" ht="18" customHeight="1" x14ac:dyDescent="0.2">
      <c r="B103" s="282" t="s">
        <v>290</v>
      </c>
      <c r="C103" s="1938">
        <f>IF(SUM(C109,C120)=0,"NO",SUM(C109,C120))</f>
        <v>10.214268286025892</v>
      </c>
      <c r="D103" s="1934" t="s">
        <v>97</v>
      </c>
      <c r="E103" s="3081">
        <f t="shared" si="47"/>
        <v>73.299999999999983</v>
      </c>
      <c r="F103" s="3081" t="str">
        <f t="shared" si="48"/>
        <v>NA</v>
      </c>
      <c r="G103" s="3081" t="str">
        <f t="shared" si="48"/>
        <v>NA</v>
      </c>
      <c r="H103" s="1938">
        <f t="shared" si="49"/>
        <v>0.74870586536569761</v>
      </c>
      <c r="I103" s="1938" t="str">
        <f t="shared" si="49"/>
        <v>NO</v>
      </c>
      <c r="J103" s="3064" t="str">
        <f t="shared" si="49"/>
        <v>NO</v>
      </c>
    </row>
    <row r="104" spans="2:10" ht="18" customHeight="1" x14ac:dyDescent="0.2">
      <c r="B104" s="282" t="s">
        <v>249</v>
      </c>
      <c r="C104" s="1938">
        <f>IF(SUM(C110,C121)=0,"NO",SUM(C110,C121))</f>
        <v>6.4924956846590298</v>
      </c>
      <c r="D104" s="1934" t="s">
        <v>97</v>
      </c>
      <c r="E104" s="3081">
        <f t="shared" si="47"/>
        <v>67.260000000000019</v>
      </c>
      <c r="F104" s="3081">
        <f t="shared" si="48"/>
        <v>793.00000000000034</v>
      </c>
      <c r="G104" s="3081">
        <f t="shared" si="48"/>
        <v>3.0000000000000009</v>
      </c>
      <c r="H104" s="1938">
        <f t="shared" si="49"/>
        <v>0.43668525975016648</v>
      </c>
      <c r="I104" s="1938">
        <f t="shared" si="49"/>
        <v>5.1485490779346124E-3</v>
      </c>
      <c r="J104" s="3064">
        <f t="shared" si="49"/>
        <v>1.9477487053977096E-5</v>
      </c>
    </row>
    <row r="105" spans="2:10" ht="18" customHeight="1" x14ac:dyDescent="0.2">
      <c r="B105" s="1243" t="s">
        <v>311</v>
      </c>
      <c r="C105" s="1938">
        <f>IF(SUM(C106:C110)=0,"NO",SUM(C106:C110))</f>
        <v>9818.3047029999998</v>
      </c>
      <c r="D105" s="1934" t="s">
        <v>97</v>
      </c>
      <c r="E105" s="615"/>
      <c r="F105" s="615"/>
      <c r="G105" s="615"/>
      <c r="H105" s="1938">
        <f>IF(SUM(H106:H109)=0,"NO",SUM(H106:H109))</f>
        <v>504.77787962065747</v>
      </c>
      <c r="I105" s="1938">
        <f>IF(SUM(I106:I110)=0,"NO",SUM(I106:I110))</f>
        <v>7.7022134610748874E-2</v>
      </c>
      <c r="J105" s="3064">
        <f>IF(SUM(J106:J110)=0,"NO",SUM(J106:J110))</f>
        <v>9.8183047030000027E-4</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9818.3047029999998</v>
      </c>
      <c r="D108" s="1934" t="s">
        <v>97</v>
      </c>
      <c r="E108" s="3081">
        <f t="shared" si="50"/>
        <v>51.411918339265</v>
      </c>
      <c r="F108" s="3081">
        <f t="shared" si="51"/>
        <v>7.8447488584474909</v>
      </c>
      <c r="G108" s="3081">
        <f t="shared" si="51"/>
        <v>0.10000000000000002</v>
      </c>
      <c r="H108" s="699">
        <v>504.77787962065747</v>
      </c>
      <c r="I108" s="699">
        <v>7.7022134610748874E-2</v>
      </c>
      <c r="J108" s="2921">
        <v>9.8183047030000027E-4</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664.09047835293507</v>
      </c>
      <c r="D111" s="1934" t="s">
        <v>97</v>
      </c>
      <c r="E111" s="615"/>
      <c r="F111" s="615"/>
      <c r="G111" s="615"/>
      <c r="H111" s="1938">
        <f>H112</f>
        <v>44.382368214729361</v>
      </c>
      <c r="I111" s="1938">
        <f>I112</f>
        <v>3.751773479704712E-2</v>
      </c>
      <c r="J111" s="3064">
        <f>J112</f>
        <v>1.4895422993042713E-4</v>
      </c>
    </row>
    <row r="112" spans="2:10" ht="18" customHeight="1" x14ac:dyDescent="0.2">
      <c r="B112" s="3068" t="s">
        <v>313</v>
      </c>
      <c r="C112" s="3077">
        <f>IF(SUM(C113:C116,C118:C121)=0,"NO",SUM(C113:C116,C118:C121))</f>
        <v>664.09047835293507</v>
      </c>
      <c r="D112" s="3077" t="s">
        <v>97</v>
      </c>
      <c r="E112" s="615"/>
      <c r="F112" s="615"/>
      <c r="G112" s="615"/>
      <c r="H112" s="3077">
        <f>IF(SUM(H113:H116,H118:H120)=0,"NO",SUM(H113:H116,H118:H120))</f>
        <v>44.382368214729361</v>
      </c>
      <c r="I112" s="3077">
        <f>IF(SUM(I113:I116,I118:I121)=0,"NO",SUM(I113:I116,I118:I121))</f>
        <v>3.751773479704712E-2</v>
      </c>
      <c r="J112" s="3078">
        <f>IF(SUM(J113:J116,J118:J121)=0,"NO",SUM(J113:J116,J118:J121))</f>
        <v>1.4895422993042713E-4</v>
      </c>
    </row>
    <row r="113" spans="2:10" ht="18" customHeight="1" x14ac:dyDescent="0.2">
      <c r="B113" s="282" t="s">
        <v>281</v>
      </c>
      <c r="C113" s="699">
        <v>647.3837143822501</v>
      </c>
      <c r="D113" s="1938" t="s">
        <v>97</v>
      </c>
      <c r="E113" s="1938">
        <f t="shared" ref="E113:E115" si="52">IFERROR(H113*1000/$C113,"NA")</f>
        <v>67.400000000000006</v>
      </c>
      <c r="F113" s="1938">
        <f t="shared" ref="F113:G115" si="53">IFERROR(I113*1000000/$C113,"NA")</f>
        <v>50.000000000000007</v>
      </c>
      <c r="G113" s="1938">
        <f t="shared" si="53"/>
        <v>0.2</v>
      </c>
      <c r="H113" s="699">
        <v>43.633662349363661</v>
      </c>
      <c r="I113" s="699">
        <v>3.2369185719112507E-2</v>
      </c>
      <c r="J113" s="2921">
        <v>1.2947674287645003E-4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10.214268286025892</v>
      </c>
      <c r="D120" s="1934" t="s">
        <v>97</v>
      </c>
      <c r="E120" s="3081">
        <f t="shared" si="54"/>
        <v>73.299999999999983</v>
      </c>
      <c r="F120" s="3081" t="str">
        <f t="shared" si="55"/>
        <v>NA</v>
      </c>
      <c r="G120" s="3081" t="str">
        <f t="shared" si="55"/>
        <v>NA</v>
      </c>
      <c r="H120" s="699">
        <v>0.74870586536569761</v>
      </c>
      <c r="I120" s="699" t="s">
        <v>221</v>
      </c>
      <c r="J120" s="2921" t="s">
        <v>221</v>
      </c>
    </row>
    <row r="121" spans="2:10" ht="18" customHeight="1" thickBot="1" x14ac:dyDescent="0.25">
      <c r="B121" s="2210" t="s">
        <v>249</v>
      </c>
      <c r="C121" s="1562">
        <v>6.4924956846590298</v>
      </c>
      <c r="D121" s="2891" t="s">
        <v>97</v>
      </c>
      <c r="E121" s="3082">
        <f t="shared" si="54"/>
        <v>67.260000000000019</v>
      </c>
      <c r="F121" s="3082">
        <f t="shared" si="55"/>
        <v>793.00000000000034</v>
      </c>
      <c r="G121" s="3082">
        <f t="shared" si="55"/>
        <v>3.0000000000000009</v>
      </c>
      <c r="H121" s="1562">
        <v>0.43668525975016648</v>
      </c>
      <c r="I121" s="1562">
        <v>5.1485490779346124E-3</v>
      </c>
      <c r="J121" s="1564">
        <v>1.9477487053977096E-5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406063.74546938168</v>
      </c>
      <c r="D10" s="3087" t="s">
        <v>97</v>
      </c>
      <c r="E10" s="2161"/>
      <c r="F10" s="2161"/>
      <c r="G10" s="2161"/>
      <c r="H10" s="3087">
        <f>IF(SUM(H11:H15)=0,"NO",SUM(H11:H15))</f>
        <v>20619.970448276905</v>
      </c>
      <c r="I10" s="3087">
        <f>IF(SUM(I11:I16)=0,"NO",SUM(I11:I16))</f>
        <v>39.259914661009276</v>
      </c>
      <c r="J10" s="3087">
        <f>IF(SUM(J11:J16)=0,"NO",SUM(J11:J16))</f>
        <v>0.66614365804568554</v>
      </c>
      <c r="K10" s="416" t="str">
        <f>IF(SUM(K11:K16)=0,"NO",SUM(K11:K16))</f>
        <v>NO</v>
      </c>
    </row>
    <row r="11" spans="2:12" ht="18" customHeight="1" x14ac:dyDescent="0.2">
      <c r="B11" s="282" t="s">
        <v>243</v>
      </c>
      <c r="C11" s="1938">
        <f>IF(SUM(C18,C39,C60)=0,"NO",SUM(C18,C39,C60))</f>
        <v>148053.33598818025</v>
      </c>
      <c r="D11" s="3087" t="s">
        <v>97</v>
      </c>
      <c r="E11" s="1938">
        <f t="shared" ref="E11:E16" si="0">IFERROR(H11*1000/$C11,"NA")</f>
        <v>68.269742630219071</v>
      </c>
      <c r="F11" s="1938">
        <f t="shared" ref="F11:G16" si="1">IFERROR(I11*1000000/$C11,"NA")</f>
        <v>9.518255986350713</v>
      </c>
      <c r="G11" s="1938">
        <f t="shared" si="1"/>
        <v>2.5665466089667506</v>
      </c>
      <c r="H11" s="1938">
        <f>IF(SUM(H18,H39,H60)=0,"NO",SUM(H18,H39,H60))</f>
        <v>10107.563143458417</v>
      </c>
      <c r="I11" s="1938">
        <f>IF(SUM(I18,I39,I60)=0,"NO",SUM(I18,I39,I60))</f>
        <v>1.40920955156869</v>
      </c>
      <c r="J11" s="1938">
        <f>IF(SUM(J18,J39,J60)=0,"NO",SUM(J18,J39,J60))</f>
        <v>0.37998578742667899</v>
      </c>
      <c r="K11" s="3064" t="str">
        <f>IF(SUM(K18,K39,K60)=0,"NO",SUM(K18,K39,K60))</f>
        <v>NO</v>
      </c>
    </row>
    <row r="12" spans="2:12" ht="18" customHeight="1" x14ac:dyDescent="0.2">
      <c r="B12" s="282" t="s">
        <v>245</v>
      </c>
      <c r="C12" s="1938">
        <f t="shared" ref="C12:C16" si="2">IF(SUM(C19,C40,C61)=0,"NO",SUM(C19,C40,C61))</f>
        <v>961.32093178383218</v>
      </c>
      <c r="D12" s="3087" t="s">
        <v>97</v>
      </c>
      <c r="E12" s="1938">
        <f t="shared" si="0"/>
        <v>94.229767196671418</v>
      </c>
      <c r="F12" s="1938">
        <f t="shared" si="1"/>
        <v>0.95238095238095244</v>
      </c>
      <c r="G12" s="1938">
        <f t="shared" si="1"/>
        <v>0.66666666666666663</v>
      </c>
      <c r="H12" s="1938">
        <f t="shared" ref="H12:K16" si="3">IF(SUM(H19,H40,H61)=0,"NO",SUM(H19,H40,H61))</f>
        <v>90.585047603277758</v>
      </c>
      <c r="I12" s="1938">
        <f t="shared" si="3"/>
        <v>9.1554374455603065E-4</v>
      </c>
      <c r="J12" s="1938">
        <f t="shared" si="3"/>
        <v>6.408806211892214E-4</v>
      </c>
      <c r="K12" s="3064" t="str">
        <f t="shared" si="3"/>
        <v>NO</v>
      </c>
    </row>
    <row r="13" spans="2:12" ht="18" customHeight="1" x14ac:dyDescent="0.2">
      <c r="B13" s="282" t="s">
        <v>246</v>
      </c>
      <c r="C13" s="1938">
        <f t="shared" si="2"/>
        <v>202685.10989298043</v>
      </c>
      <c r="D13" s="3087" t="s">
        <v>97</v>
      </c>
      <c r="E13" s="1938">
        <f t="shared" si="0"/>
        <v>51.418785833443934</v>
      </c>
      <c r="F13" s="1938">
        <f t="shared" si="1"/>
        <v>0.90909090909090928</v>
      </c>
      <c r="G13" s="1938">
        <f t="shared" si="1"/>
        <v>0.90909090909090928</v>
      </c>
      <c r="H13" s="1938">
        <f t="shared" si="3"/>
        <v>10421.82225721521</v>
      </c>
      <c r="I13" s="1938">
        <f t="shared" si="3"/>
        <v>0.18425919081180042</v>
      </c>
      <c r="J13" s="1938">
        <f t="shared" si="3"/>
        <v>0.18425919081180042</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54363.978656437219</v>
      </c>
      <c r="D16" s="3087" t="s">
        <v>97</v>
      </c>
      <c r="E16" s="1938">
        <f t="shared" si="0"/>
        <v>76.99044454924514</v>
      </c>
      <c r="F16" s="1938">
        <f t="shared" si="1"/>
        <v>692.83984185407417</v>
      </c>
      <c r="G16" s="1938">
        <f t="shared" si="1"/>
        <v>1.8625899297388349</v>
      </c>
      <c r="H16" s="1938">
        <f t="shared" si="3"/>
        <v>4185.5068842247756</v>
      </c>
      <c r="I16" s="1938">
        <f t="shared" si="3"/>
        <v>37.665530374884227</v>
      </c>
      <c r="J16" s="1938">
        <f t="shared" si="3"/>
        <v>0.10125779918601692</v>
      </c>
      <c r="K16" s="3064" t="str">
        <f t="shared" si="3"/>
        <v>NO</v>
      </c>
    </row>
    <row r="17" spans="2:11" ht="18" customHeight="1" x14ac:dyDescent="0.2">
      <c r="B17" s="1240" t="s">
        <v>322</v>
      </c>
      <c r="C17" s="3087">
        <f>IF(SUM(C18:C23)=0,"NO",SUM(C18:C23))</f>
        <v>92080.921960650085</v>
      </c>
      <c r="D17" s="3087" t="s">
        <v>97</v>
      </c>
      <c r="E17" s="615"/>
      <c r="F17" s="615"/>
      <c r="G17" s="615"/>
      <c r="H17" s="3057">
        <f>IF(SUM(H18:H22)=0,"NO",SUM(H18:H22))</f>
        <v>5353.5481620515729</v>
      </c>
      <c r="I17" s="3057">
        <f>IF(SUM(I18:I23)=0,"NO",SUM(I18:I23))</f>
        <v>0.1174916808038028</v>
      </c>
      <c r="J17" s="3088">
        <f>IF(SUM(J18:J23)=0,"NO",SUM(J18:J23))</f>
        <v>9.7868896520849333E-2</v>
      </c>
      <c r="K17" s="3064" t="str">
        <f>IF(SUM(K18:K23)=0,"NO",SUM(K18:K23))</f>
        <v>NO</v>
      </c>
    </row>
    <row r="18" spans="2:11" ht="18" customHeight="1" x14ac:dyDescent="0.2">
      <c r="B18" s="282" t="s">
        <v>243</v>
      </c>
      <c r="C18" s="3087">
        <f>IF(SUM(C26,C33)=0,"NO",SUM(C26,C33))</f>
        <v>38383.570654246272</v>
      </c>
      <c r="D18" s="3087" t="s">
        <v>97</v>
      </c>
      <c r="E18" s="1938">
        <f t="shared" ref="E18" si="4">IFERROR(H18*1000/$C18,"NA")</f>
        <v>68.518038503843627</v>
      </c>
      <c r="F18" s="1938">
        <f t="shared" ref="F18:G23" si="5">IFERROR(I18*1000000/$C18,"NA")</f>
        <v>1.7252431269899036</v>
      </c>
      <c r="G18" s="1938">
        <f t="shared" si="5"/>
        <v>1.2463503947272869</v>
      </c>
      <c r="H18" s="3087">
        <f>IF(SUM(H26,H33)=0,"NO",SUM(H26,H33))</f>
        <v>2629.9669720026482</v>
      </c>
      <c r="I18" s="3087">
        <f>IF(SUM(I26,I33)=0,"NO",SUM(I26,I33))</f>
        <v>6.6220991460569742E-2</v>
      </c>
      <c r="J18" s="3087">
        <f>IF(SUM(J26,J33)=0,"NO",SUM(J26,J33))</f>
        <v>4.7839378435962553E-2</v>
      </c>
      <c r="K18" s="3064" t="str">
        <f>IF(SUM(K26,K33)=0,"NO",SUM(K26,K33))</f>
        <v>NO</v>
      </c>
    </row>
    <row r="19" spans="2:11" ht="18" customHeight="1" x14ac:dyDescent="0.2">
      <c r="B19" s="282" t="s">
        <v>245</v>
      </c>
      <c r="C19" s="3087">
        <f t="shared" ref="C19:C21" si="6">IF(SUM(C27,C34)=0,"NO",SUM(C27,C34))</f>
        <v>940.32093178383218</v>
      </c>
      <c r="D19" s="3087" t="s">
        <v>97</v>
      </c>
      <c r="E19" s="1938">
        <f t="shared" ref="E19:E23" si="7">IFERROR(H19*1000/$C19,"NA")</f>
        <v>94.212565740952229</v>
      </c>
      <c r="F19" s="1938">
        <f t="shared" si="5"/>
        <v>0.95238095238095233</v>
      </c>
      <c r="G19" s="1938">
        <f t="shared" si="5"/>
        <v>0.66666666666666663</v>
      </c>
      <c r="H19" s="3087">
        <f t="shared" ref="H19:K21" si="8">IF(SUM(H27,H34)=0,"NO",SUM(H27,H34))</f>
        <v>88.590047603277753</v>
      </c>
      <c r="I19" s="3087">
        <f t="shared" si="8"/>
        <v>8.955437445560306E-4</v>
      </c>
      <c r="J19" s="3087">
        <f t="shared" si="8"/>
        <v>6.2688062118922139E-4</v>
      </c>
      <c r="K19" s="3064" t="str">
        <f t="shared" si="8"/>
        <v>NO</v>
      </c>
    </row>
    <row r="20" spans="2:11" ht="18" customHeight="1" x14ac:dyDescent="0.2">
      <c r="B20" s="282" t="s">
        <v>246</v>
      </c>
      <c r="C20" s="3087">
        <f t="shared" si="6"/>
        <v>51238.109892980428</v>
      </c>
      <c r="D20" s="3087" t="s">
        <v>97</v>
      </c>
      <c r="E20" s="1938">
        <f t="shared" si="7"/>
        <v>51.426392346424912</v>
      </c>
      <c r="F20" s="1938">
        <f t="shared" si="5"/>
        <v>0.90909090909090895</v>
      </c>
      <c r="G20" s="1938">
        <f t="shared" si="5"/>
        <v>0.90909090909090895</v>
      </c>
      <c r="H20" s="3087">
        <f t="shared" si="8"/>
        <v>2634.9911424456473</v>
      </c>
      <c r="I20" s="3087">
        <f t="shared" si="8"/>
        <v>4.6580099902709476E-2</v>
      </c>
      <c r="J20" s="3087">
        <f t="shared" si="8"/>
        <v>4.6580099902709476E-2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1518.9204816395541</v>
      </c>
      <c r="D23" s="3087" t="s">
        <v>97</v>
      </c>
      <c r="E23" s="1938">
        <f t="shared" si="7"/>
        <v>58.386931732187385</v>
      </c>
      <c r="F23" s="1938">
        <f t="shared" si="5"/>
        <v>2.4985150584519791</v>
      </c>
      <c r="G23" s="1938">
        <f t="shared" si="5"/>
        <v>1.8582523542913763</v>
      </c>
      <c r="H23" s="3087">
        <f>IF(SUM(H31,H37)=0,"NO",SUM(H31,H37))</f>
        <v>88.685106468109822</v>
      </c>
      <c r="I23" s="3087">
        <f>IF(SUM(I31,I37)=0,"NO",SUM(I31,I37))</f>
        <v>3.7950456959675591E-3</v>
      </c>
      <c r="J23" s="3087">
        <f>IF(SUM(J31,J37)=0,"NO",SUM(J31,J37))</f>
        <v>2.8225375609880923E-3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92080.921960650085</v>
      </c>
      <c r="D25" s="3057" t="s">
        <v>97</v>
      </c>
      <c r="E25" s="615"/>
      <c r="F25" s="615"/>
      <c r="G25" s="615"/>
      <c r="H25" s="3057">
        <f>IF(SUM(H26:H30)=0,"NO",SUM(H26:H30))</f>
        <v>5353.5481620515729</v>
      </c>
      <c r="I25" s="3057">
        <f>IF(SUM(I26:I31)=0,"NO",SUM(I26:I31))</f>
        <v>0.1174916808038028</v>
      </c>
      <c r="J25" s="3088">
        <f>IF(SUM(J26:J31)=0,"NO",SUM(J26:J31))</f>
        <v>9.7868896520849333E-2</v>
      </c>
      <c r="K25" s="3064" t="str">
        <f>IF(SUM(K26:K31)=0,"NO",SUM(K26:K31))</f>
        <v>NO</v>
      </c>
    </row>
    <row r="26" spans="2:11" ht="18" customHeight="1" x14ac:dyDescent="0.2">
      <c r="B26" s="282" t="s">
        <v>243</v>
      </c>
      <c r="C26" s="699">
        <v>38383.570654246272</v>
      </c>
      <c r="D26" s="3057" t="s">
        <v>97</v>
      </c>
      <c r="E26" s="1938">
        <f t="shared" ref="E26:E31" si="9">IFERROR(H26*1000/$C26,"NA")</f>
        <v>68.518038503843627</v>
      </c>
      <c r="F26" s="1938">
        <f t="shared" ref="F26:G31" si="10">IFERROR(I26*1000000/$C26,"NA")</f>
        <v>1.7252431269899036</v>
      </c>
      <c r="G26" s="1938">
        <f t="shared" si="10"/>
        <v>1.2463503947272869</v>
      </c>
      <c r="H26" s="699">
        <v>2629.9669720026482</v>
      </c>
      <c r="I26" s="699">
        <v>6.6220991460569742E-2</v>
      </c>
      <c r="J26" s="699">
        <v>4.7839378435962553E-2</v>
      </c>
      <c r="K26" s="2921" t="s">
        <v>199</v>
      </c>
    </row>
    <row r="27" spans="2:11" ht="18" customHeight="1" x14ac:dyDescent="0.2">
      <c r="B27" s="282" t="s">
        <v>245</v>
      </c>
      <c r="C27" s="699">
        <v>940.32093178383218</v>
      </c>
      <c r="D27" s="3057" t="s">
        <v>97</v>
      </c>
      <c r="E27" s="1938">
        <f t="shared" si="9"/>
        <v>94.212565740952229</v>
      </c>
      <c r="F27" s="1938">
        <f t="shared" si="10"/>
        <v>0.95238095238095233</v>
      </c>
      <c r="G27" s="1938">
        <f t="shared" si="10"/>
        <v>0.66666666666666663</v>
      </c>
      <c r="H27" s="699">
        <v>88.590047603277753</v>
      </c>
      <c r="I27" s="699">
        <v>8.955437445560306E-4</v>
      </c>
      <c r="J27" s="699">
        <v>6.2688062118922139E-4</v>
      </c>
      <c r="K27" s="2921" t="s">
        <v>199</v>
      </c>
    </row>
    <row r="28" spans="2:11" ht="18" customHeight="1" x14ac:dyDescent="0.2">
      <c r="B28" s="282" t="s">
        <v>246</v>
      </c>
      <c r="C28" s="699">
        <v>51238.109892980428</v>
      </c>
      <c r="D28" s="3057" t="s">
        <v>97</v>
      </c>
      <c r="E28" s="1938">
        <f t="shared" si="9"/>
        <v>51.426392346424912</v>
      </c>
      <c r="F28" s="1938">
        <f t="shared" si="10"/>
        <v>0.90909090909090895</v>
      </c>
      <c r="G28" s="1938">
        <f t="shared" si="10"/>
        <v>0.90909090909090895</v>
      </c>
      <c r="H28" s="699">
        <v>2634.9911424456473</v>
      </c>
      <c r="I28" s="699">
        <v>4.6580099902709476E-2</v>
      </c>
      <c r="J28" s="699">
        <v>4.6580099902709476E-2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1518.9204816395541</v>
      </c>
      <c r="D31" s="3057" t="s">
        <v>97</v>
      </c>
      <c r="E31" s="1938">
        <f t="shared" si="9"/>
        <v>58.386931732187385</v>
      </c>
      <c r="F31" s="1938">
        <f t="shared" si="10"/>
        <v>2.4985150584519791</v>
      </c>
      <c r="G31" s="1938">
        <f t="shared" si="10"/>
        <v>1.8582523542913763</v>
      </c>
      <c r="H31" s="699">
        <v>88.685106468109822</v>
      </c>
      <c r="I31" s="699">
        <v>3.7950456959675591E-3</v>
      </c>
      <c r="J31" s="699">
        <v>2.8225375609880923E-3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224149.22350873169</v>
      </c>
      <c r="D38" s="3057" t="s">
        <v>97</v>
      </c>
      <c r="E38" s="615"/>
      <c r="F38" s="615"/>
      <c r="G38" s="615"/>
      <c r="H38" s="1938">
        <f>IF(SUM(H39:H43)=0,"NO",SUM(H39:H43))</f>
        <v>9031.4804270169334</v>
      </c>
      <c r="I38" s="1938">
        <f>IF(SUM(I39:I44)=0,"NO",SUM(I39:I44))</f>
        <v>38.540732509209803</v>
      </c>
      <c r="J38" s="1938">
        <f>IF(SUM(J39:J44)=0,"NO",SUM(J39:J44))</f>
        <v>0.24745356671964142</v>
      </c>
      <c r="K38" s="3064" t="str">
        <f>IF(SUM(K39:K44)=0,"NO",SUM(K39:K44))</f>
        <v>NO</v>
      </c>
    </row>
    <row r="39" spans="2:11" ht="18" customHeight="1" x14ac:dyDescent="0.2">
      <c r="B39" s="282" t="s">
        <v>243</v>
      </c>
      <c r="C39" s="3087">
        <f>IF(SUM(C47,C54)=0,"NO",SUM(C47,C54))</f>
        <v>20409.165333933997</v>
      </c>
      <c r="D39" s="3057" t="s">
        <v>97</v>
      </c>
      <c r="E39" s="1938">
        <f t="shared" ref="E39:E44" si="13">IFERROR(H39*1000/$C39,"NA")</f>
        <v>62.330493219173754</v>
      </c>
      <c r="F39" s="1938">
        <f t="shared" ref="F39:G44" si="14">IFERROR(I39*1000000/$C39,"NA")</f>
        <v>36.347346207732826</v>
      </c>
      <c r="G39" s="1938">
        <f t="shared" si="14"/>
        <v>0.5804315405654723</v>
      </c>
      <c r="H39" s="1938">
        <f>IF(SUM(H47,H54)=0,"NO",SUM(H47,H54))</f>
        <v>1272.1133414557689</v>
      </c>
      <c r="I39" s="1938">
        <f>IF(SUM(I47,I54)=0,"NO",SUM(I47,I54))</f>
        <v>0.74181899820335817</v>
      </c>
      <c r="J39" s="1938">
        <f>IF(SUM(J47,J54)=0,"NO",SUM(J47,J54))</f>
        <v>1.1846123276430743E-2</v>
      </c>
      <c r="K39" s="3064" t="str">
        <f>IF(SUM(K47,K54)=0,"NO",SUM(K47,K54))</f>
        <v>NO</v>
      </c>
    </row>
    <row r="40" spans="2:11" ht="18" customHeight="1" x14ac:dyDescent="0.2">
      <c r="B40" s="282" t="s">
        <v>245</v>
      </c>
      <c r="C40" s="3087">
        <f t="shared" ref="C40:C42" si="15">IF(SUM(C48,C55)=0,"NO",SUM(C48,C55))</f>
        <v>21.000000000000004</v>
      </c>
      <c r="D40" s="3057" t="s">
        <v>97</v>
      </c>
      <c r="E40" s="1938">
        <f t="shared" si="13"/>
        <v>95</v>
      </c>
      <c r="F40" s="1938">
        <f t="shared" si="14"/>
        <v>0.95238095238095244</v>
      </c>
      <c r="G40" s="1938">
        <f t="shared" si="14"/>
        <v>0.66666666666666663</v>
      </c>
      <c r="H40" s="1938">
        <f t="shared" ref="H40:K42" si="16">IF(SUM(H48,H55)=0,"NO",SUM(H48,H55))</f>
        <v>1.9950000000000003</v>
      </c>
      <c r="I40" s="1938">
        <f t="shared" si="16"/>
        <v>2.0000000000000005E-5</v>
      </c>
      <c r="J40" s="1938">
        <f t="shared" si="16"/>
        <v>1.4000000000000001E-5</v>
      </c>
      <c r="K40" s="3064" t="str">
        <f t="shared" si="16"/>
        <v>NO</v>
      </c>
    </row>
    <row r="41" spans="2:11" ht="18" customHeight="1" x14ac:dyDescent="0.2">
      <c r="B41" s="282" t="s">
        <v>246</v>
      </c>
      <c r="C41" s="3087">
        <f t="shared" si="15"/>
        <v>150874</v>
      </c>
      <c r="D41" s="3057" t="s">
        <v>97</v>
      </c>
      <c r="E41" s="1938">
        <f t="shared" si="13"/>
        <v>51.416228677977408</v>
      </c>
      <c r="F41" s="1938">
        <f t="shared" si="14"/>
        <v>0.90909090909090928</v>
      </c>
      <c r="G41" s="1938">
        <f t="shared" si="14"/>
        <v>0.90909090909090928</v>
      </c>
      <c r="H41" s="1938">
        <f t="shared" si="16"/>
        <v>7757.3720855611637</v>
      </c>
      <c r="I41" s="1938">
        <f t="shared" si="16"/>
        <v>0.13715818181818185</v>
      </c>
      <c r="J41" s="1938">
        <f t="shared" si="16"/>
        <v>0.13715818181818185</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52845.058174797668</v>
      </c>
      <c r="D44" s="3057" t="s">
        <v>97</v>
      </c>
      <c r="E44" s="1938">
        <f t="shared" si="13"/>
        <v>77.525163548982164</v>
      </c>
      <c r="F44" s="1938">
        <f t="shared" si="14"/>
        <v>712.68225695982892</v>
      </c>
      <c r="G44" s="1938">
        <f t="shared" si="14"/>
        <v>1.8627146042574247</v>
      </c>
      <c r="H44" s="1938">
        <f>IF(SUM(H52,H58)=0,"NO",SUM(H52,H58))</f>
        <v>4096.8217777566661</v>
      </c>
      <c r="I44" s="1938">
        <f>IF(SUM(I52,I58)=0,"NO",SUM(I52,I58))</f>
        <v>37.661735329188261</v>
      </c>
      <c r="J44" s="1938">
        <f>IF(SUM(J52,J58)=0,"NO",SUM(J52,J58))</f>
        <v>9.843526162502883E-2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220080.6604238709</v>
      </c>
      <c r="D46" s="3057" t="s">
        <v>97</v>
      </c>
      <c r="E46" s="615"/>
      <c r="F46" s="615"/>
      <c r="G46" s="615"/>
      <c r="H46" s="1938">
        <f>IF(SUM(H47:H51)=0,"NO",SUM(H47:H51))</f>
        <v>8755.9889855611636</v>
      </c>
      <c r="I46" s="1938">
        <f>IF(SUM(I47:I52)=0,"NO",SUM(I47:I52))</f>
        <v>37.785768413415873</v>
      </c>
      <c r="J46" s="1938">
        <f>IF(SUM(J47:J52)=0,"NO",SUM(J47:J52))</f>
        <v>0.24564031183143398</v>
      </c>
      <c r="K46" s="3064" t="str">
        <f>IF(SUM(K47:K52)=0,"NO",SUM(K47:K52))</f>
        <v>NO</v>
      </c>
    </row>
    <row r="47" spans="2:11" ht="18" customHeight="1" x14ac:dyDescent="0.2">
      <c r="B47" s="282" t="s">
        <v>243</v>
      </c>
      <c r="C47" s="699">
        <v>16380.999999999996</v>
      </c>
      <c r="D47" s="3057" t="s">
        <v>97</v>
      </c>
      <c r="E47" s="1938">
        <f t="shared" ref="E47:E52" si="17">IFERROR(H47*1000/$C47,"NA")</f>
        <v>60.840113546181584</v>
      </c>
      <c r="F47" s="1938">
        <f t="shared" ref="F47:G52" si="18">IFERROR(I47*1000000/$C47,"NA")</f>
        <v>1.0224795858151583</v>
      </c>
      <c r="G47" s="1938">
        <f t="shared" si="18"/>
        <v>0.62480050930084519</v>
      </c>
      <c r="H47" s="699">
        <v>996.62190000000021</v>
      </c>
      <c r="I47" s="699">
        <v>1.6749238095238102E-2</v>
      </c>
      <c r="J47" s="699">
        <v>1.0234857142857143E-2</v>
      </c>
      <c r="K47" s="2921" t="s">
        <v>199</v>
      </c>
    </row>
    <row r="48" spans="2:11" ht="18" customHeight="1" x14ac:dyDescent="0.2">
      <c r="B48" s="282" t="s">
        <v>245</v>
      </c>
      <c r="C48" s="699">
        <v>21.000000000000004</v>
      </c>
      <c r="D48" s="3057" t="s">
        <v>97</v>
      </c>
      <c r="E48" s="1938">
        <f t="shared" si="17"/>
        <v>95</v>
      </c>
      <c r="F48" s="1938">
        <f t="shared" si="18"/>
        <v>0.95238095238095244</v>
      </c>
      <c r="G48" s="1938">
        <f t="shared" si="18"/>
        <v>0.66666666666666663</v>
      </c>
      <c r="H48" s="699">
        <v>1.9950000000000003</v>
      </c>
      <c r="I48" s="699">
        <v>2.0000000000000005E-5</v>
      </c>
      <c r="J48" s="699">
        <v>1.4000000000000001E-5</v>
      </c>
      <c r="K48" s="2921" t="s">
        <v>199</v>
      </c>
    </row>
    <row r="49" spans="2:11" ht="18" customHeight="1" x14ac:dyDescent="0.2">
      <c r="B49" s="282" t="s">
        <v>246</v>
      </c>
      <c r="C49" s="699">
        <v>150874</v>
      </c>
      <c r="D49" s="3057" t="s">
        <v>97</v>
      </c>
      <c r="E49" s="1938">
        <f t="shared" si="17"/>
        <v>51.416228677977408</v>
      </c>
      <c r="F49" s="1938">
        <f t="shared" si="18"/>
        <v>0.90909090909090928</v>
      </c>
      <c r="G49" s="1938">
        <f t="shared" si="18"/>
        <v>0.90909090909090928</v>
      </c>
      <c r="H49" s="699">
        <v>7757.3720855611637</v>
      </c>
      <c r="I49" s="699">
        <v>0.13715818181818185</v>
      </c>
      <c r="J49" s="699">
        <v>0.13715818181818185</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52804.660423870904</v>
      </c>
      <c r="D52" s="3057" t="s">
        <v>97</v>
      </c>
      <c r="E52" s="1938">
        <f t="shared" si="17"/>
        <v>77.533016823995112</v>
      </c>
      <c r="F52" s="1938">
        <f t="shared" si="18"/>
        <v>712.6613577556609</v>
      </c>
      <c r="G52" s="1938">
        <f t="shared" si="18"/>
        <v>1.8603144510704512</v>
      </c>
      <c r="H52" s="699">
        <v>4094.1046250293321</v>
      </c>
      <c r="I52" s="699">
        <v>37.63184099350245</v>
      </c>
      <c r="J52" s="699">
        <v>9.8233272870394989E-2</v>
      </c>
      <c r="K52" s="2921" t="s">
        <v>199</v>
      </c>
    </row>
    <row r="53" spans="2:11" ht="18" customHeight="1" x14ac:dyDescent="0.2">
      <c r="B53" s="1241" t="s">
        <v>329</v>
      </c>
      <c r="C53" s="3057">
        <f>IF(SUM(C54:C58)=0,"NO",SUM(C54:C58))</f>
        <v>4068.5630848607675</v>
      </c>
      <c r="D53" s="3057" t="s">
        <v>97</v>
      </c>
      <c r="E53" s="615"/>
      <c r="F53" s="615"/>
      <c r="G53" s="615"/>
      <c r="H53" s="3057">
        <f>IF(SUM(H54:H57)=0,"NO",SUM(H54:H57))</f>
        <v>275.49144145576867</v>
      </c>
      <c r="I53" s="3057">
        <f>IF(SUM(I54:I58)=0,"NO",SUM(I54:I58))</f>
        <v>0.75496409579392787</v>
      </c>
      <c r="J53" s="3057">
        <f>IF(SUM(J54:J58)=0,"NO",SUM(J54:J58))</f>
        <v>1.8132548882074367E-3</v>
      </c>
      <c r="K53" s="2931"/>
    </row>
    <row r="54" spans="2:11" ht="18" customHeight="1" x14ac:dyDescent="0.2">
      <c r="B54" s="282" t="s">
        <v>243</v>
      </c>
      <c r="C54" s="699">
        <v>4028.165333934</v>
      </c>
      <c r="D54" s="3057" t="s">
        <v>97</v>
      </c>
      <c r="E54" s="1938">
        <f t="shared" ref="E54:E58" si="19">IFERROR(H54*1000/$C54,"NA")</f>
        <v>68.391294452335032</v>
      </c>
      <c r="F54" s="1938">
        <f t="shared" ref="F54:G58" si="20">IFERROR(I54*1000000/$C54,"NA")</f>
        <v>180</v>
      </c>
      <c r="G54" s="1938">
        <f t="shared" si="20"/>
        <v>0.4</v>
      </c>
      <c r="H54" s="699">
        <v>275.49144145576867</v>
      </c>
      <c r="I54" s="699">
        <v>0.72506976010812008</v>
      </c>
      <c r="J54" s="699">
        <v>1.6112661335736002E-3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40.397750926767308</v>
      </c>
      <c r="D58" s="3057" t="s">
        <v>97</v>
      </c>
      <c r="E58" s="1938">
        <f t="shared" si="19"/>
        <v>67.259999999999991</v>
      </c>
      <c r="F58" s="1938">
        <f t="shared" si="20"/>
        <v>739.99999999999989</v>
      </c>
      <c r="G58" s="1938">
        <f t="shared" si="20"/>
        <v>4.9999999999999991</v>
      </c>
      <c r="H58" s="699">
        <v>2.7171527273343692</v>
      </c>
      <c r="I58" s="699">
        <v>2.9894335685807804E-2</v>
      </c>
      <c r="J58" s="699">
        <v>2.0198875463383649E-4</v>
      </c>
      <c r="K58" s="2931"/>
    </row>
    <row r="59" spans="2:11" ht="18" customHeight="1" x14ac:dyDescent="0.2">
      <c r="B59" s="1244" t="s">
        <v>330</v>
      </c>
      <c r="C59" s="3057">
        <f>IF(SUM(C60:C65)=0,"NO",SUM(C60:C65))</f>
        <v>89833.599999999991</v>
      </c>
      <c r="D59" s="3057" t="s">
        <v>97</v>
      </c>
      <c r="E59" s="615"/>
      <c r="F59" s="615"/>
      <c r="G59" s="615"/>
      <c r="H59" s="1938">
        <f>IF(SUM(H60:H64)=0,"NO",SUM(H60:H64))</f>
        <v>6234.9418592083994</v>
      </c>
      <c r="I59" s="1938">
        <f>IF(SUM(I60:I65)=0,"NO",SUM(I60:I65))</f>
        <v>0.60169047099567108</v>
      </c>
      <c r="J59" s="1938">
        <f>IF(SUM(J60:J65)=0,"NO",SUM(J60:J65))</f>
        <v>0.32082119480519478</v>
      </c>
      <c r="K59" s="3064" t="str">
        <f>IF(SUM(K60:K65)=0,"NO",SUM(K60:K65))</f>
        <v>NO</v>
      </c>
    </row>
    <row r="60" spans="2:11" ht="18" customHeight="1" x14ac:dyDescent="0.2">
      <c r="B60" s="282" t="s">
        <v>243</v>
      </c>
      <c r="C60" s="1938">
        <f>IF(SUM(C67,C74:C77,C84:C87)=0,"NO",SUM(C67,C74:C77,C84:C87))</f>
        <v>89260.599999999991</v>
      </c>
      <c r="D60" s="3057" t="s">
        <v>97</v>
      </c>
      <c r="E60" s="1938">
        <f t="shared" ref="E60:E65" si="21">IFERROR(H60*1000/$C60,"NA")</f>
        <v>69.520962552346745</v>
      </c>
      <c r="F60" s="1938">
        <f t="shared" ref="F60:G65" si="22">IFERROR(I60*1000000/$C60,"NA")</f>
        <v>6.7349935123084776</v>
      </c>
      <c r="G60" s="1938">
        <f t="shared" si="22"/>
        <v>3.5883725374273276</v>
      </c>
      <c r="H60" s="1938">
        <f>IF(SUM(H67,H74:H77,H84:H87)=0,"NO",SUM(H67,H74:H77,H84:H87))</f>
        <v>6205.4828300000008</v>
      </c>
      <c r="I60" s="1938">
        <f>IF(SUM(I67,I74:I77,I84:I87)=0,"NO",SUM(I67,I74:I77,I84:I87))</f>
        <v>0.60116956190476201</v>
      </c>
      <c r="J60" s="1938">
        <f>IF(SUM(J67,J74:J77,J84:J87)=0,"NO",SUM(J67,J74:J77,J84:J87))</f>
        <v>0.3203002857142857</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573</v>
      </c>
      <c r="D62" s="3057" t="s">
        <v>97</v>
      </c>
      <c r="E62" s="1938">
        <f t="shared" si="21"/>
        <v>51.411918339265</v>
      </c>
      <c r="F62" s="1938">
        <f t="shared" si="22"/>
        <v>0.90909090909090906</v>
      </c>
      <c r="G62" s="1938">
        <f t="shared" si="22"/>
        <v>0.90909090909090906</v>
      </c>
      <c r="H62" s="1938">
        <f>IF(SUM(H69,H79,H89)=0,"NO",SUM(H69,H79,H89))</f>
        <v>29.459029208398846</v>
      </c>
      <c r="I62" s="1938">
        <f>IF(SUM(I69,I79,I89)=0,"NO",SUM(I69,I79,I89))</f>
        <v>5.2090909090909087E-4</v>
      </c>
      <c r="J62" s="1938">
        <f>IF(SUM(J69,J79,J89)=0,"NO",SUM(J69,J79,J89))</f>
        <v>5.2090909090909087E-4</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89833.599999999991</v>
      </c>
      <c r="D66" s="3057" t="s">
        <v>97</v>
      </c>
      <c r="E66" s="2135"/>
      <c r="F66" s="2135"/>
      <c r="G66" s="2135"/>
      <c r="H66" s="1938">
        <f>IF(SUM(H67:H71)=0,"NO",SUM(H67:H71))</f>
        <v>6234.9418592083994</v>
      </c>
      <c r="I66" s="1938">
        <f>IF(SUM(I67:I72)=0,"NO",SUM(I67:I72))</f>
        <v>0.60169047099567108</v>
      </c>
      <c r="J66" s="1938">
        <f>IF(SUM(J67:J72)=0,"NO",SUM(J67:J72))</f>
        <v>0.32082119480519478</v>
      </c>
      <c r="K66" s="3064" t="str">
        <f>IF(SUM(K67:K72)=0,"NO",SUM(K67:K72))</f>
        <v>NO</v>
      </c>
    </row>
    <row r="67" spans="2:11" ht="18" customHeight="1" x14ac:dyDescent="0.2">
      <c r="B67" s="282" t="s">
        <v>243</v>
      </c>
      <c r="C67" s="699">
        <v>89260.599999999991</v>
      </c>
      <c r="D67" s="3057" t="s">
        <v>97</v>
      </c>
      <c r="E67" s="1938">
        <f t="shared" ref="E67:E72" si="23">IFERROR(H67*1000/$C67,"NA")</f>
        <v>69.520962552346745</v>
      </c>
      <c r="F67" s="1938">
        <f t="shared" ref="F67:G72" si="24">IFERROR(I67*1000000/$C67,"NA")</f>
        <v>6.7349935123084776</v>
      </c>
      <c r="G67" s="1938">
        <f t="shared" si="24"/>
        <v>3.5883725374273276</v>
      </c>
      <c r="H67" s="699">
        <v>6205.4828300000008</v>
      </c>
      <c r="I67" s="699">
        <v>0.60116956190476201</v>
      </c>
      <c r="J67" s="699">
        <v>0.3203002857142857</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573</v>
      </c>
      <c r="D69" s="3057" t="s">
        <v>97</v>
      </c>
      <c r="E69" s="1938">
        <f t="shared" si="23"/>
        <v>51.411918339265</v>
      </c>
      <c r="F69" s="1938">
        <f t="shared" si="24"/>
        <v>0.90909090909090906</v>
      </c>
      <c r="G69" s="1938">
        <f t="shared" si="24"/>
        <v>0.90909090909090906</v>
      </c>
      <c r="H69" s="699">
        <v>29.459029208398846</v>
      </c>
      <c r="I69" s="699">
        <v>5.2090909090909087E-4</v>
      </c>
      <c r="J69" s="699">
        <v>5.2090909090909087E-4</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12400.916928873001</v>
      </c>
      <c r="D93" s="3057" t="s">
        <v>97</v>
      </c>
      <c r="E93" s="2160"/>
      <c r="F93" s="2160"/>
      <c r="G93" s="2160"/>
      <c r="H93" s="3087">
        <f>IF(SUM(H94:H98)=0,"NO",SUM(H94:H98))</f>
        <v>864.17412252301722</v>
      </c>
      <c r="I93" s="3087">
        <f>IF(SUM(I94:I99)=0,"NO",SUM(I94:I99))</f>
        <v>3.1587553449673587E-2</v>
      </c>
      <c r="J93" s="3091">
        <f>IF(SUM(J94:J99)=0,"NO",SUM(J94:J99))</f>
        <v>2.4425380337021515E-2</v>
      </c>
      <c r="K93" s="442" t="str">
        <f>IF(SUM(K94:K99)=0,"NO",SUM(K94:K99))</f>
        <v>NO</v>
      </c>
    </row>
    <row r="94" spans="2:11" ht="18" customHeight="1" x14ac:dyDescent="0.2">
      <c r="B94" s="282" t="s">
        <v>243</v>
      </c>
      <c r="C94" s="1938">
        <f>IF(SUM(C102,C110)=0,"NO",SUM(C102,C110))</f>
        <v>12400.494140927305</v>
      </c>
      <c r="D94" s="1938" t="s">
        <v>97</v>
      </c>
      <c r="E94" s="1938">
        <f t="shared" ref="E94:E99" si="32">IFERROR(H94*1000/$C94,"NA")</f>
        <v>69.688684394507078</v>
      </c>
      <c r="F94" s="1938">
        <f t="shared" ref="F94:G99" si="33">IFERROR(I94*1000000/$C94,"NA")</f>
        <v>2.52024493972303</v>
      </c>
      <c r="G94" s="1938">
        <f t="shared" si="33"/>
        <v>1.9696079604258414</v>
      </c>
      <c r="H94" s="1938">
        <f t="shared" ref="H94:K97" si="34">IF(SUM(H102,H110)=0,"NO",SUM(H102,H110))</f>
        <v>864.17412252301722</v>
      </c>
      <c r="I94" s="1938">
        <f t="shared" si="34"/>
        <v>3.1252282608737122E-2</v>
      </c>
      <c r="J94" s="1938">
        <f t="shared" si="34"/>
        <v>2.4424111973184427E-2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0.422787945695417</v>
      </c>
      <c r="D99" s="1938" t="s">
        <v>97</v>
      </c>
      <c r="E99" s="1938">
        <f t="shared" si="32"/>
        <v>67.259999999999991</v>
      </c>
      <c r="F99" s="1938">
        <f t="shared" si="33"/>
        <v>792.99999999999966</v>
      </c>
      <c r="G99" s="1938">
        <f t="shared" si="33"/>
        <v>2.9999999999999991</v>
      </c>
      <c r="H99" s="1938">
        <f>IF(SUM(H107,H114)=0,"NO",SUM(H107,H114))</f>
        <v>2.8436717227473741E-2</v>
      </c>
      <c r="I99" s="1938">
        <f>IF(SUM(I107,I114)=0,"NO",SUM(I107,I114))</f>
        <v>3.3527084093646557E-4</v>
      </c>
      <c r="J99" s="1938">
        <f>IF(SUM(J107,J114)=0,"NO",SUM(J107,J114))</f>
        <v>1.2683638370862506E-6</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12400.916928873001</v>
      </c>
      <c r="D108" s="1938" t="s">
        <v>97</v>
      </c>
      <c r="E108" s="1957"/>
      <c r="F108" s="1957"/>
      <c r="G108" s="1957"/>
      <c r="H108" s="3057">
        <f>H109</f>
        <v>864.17412252301722</v>
      </c>
      <c r="I108" s="3057">
        <f>I109</f>
        <v>3.1587553449673587E-2</v>
      </c>
      <c r="J108" s="3088">
        <f>J109</f>
        <v>2.4425380337021515E-2</v>
      </c>
      <c r="K108" s="2931"/>
    </row>
    <row r="109" spans="2:11" ht="18" customHeight="1" x14ac:dyDescent="0.2">
      <c r="B109" s="3103" t="s">
        <v>339</v>
      </c>
      <c r="C109" s="3077">
        <f>IF(SUM(C110:C114)=0,"NO",SUM(C110:C114))</f>
        <v>12400.916928873001</v>
      </c>
      <c r="D109" s="1938" t="s">
        <v>97</v>
      </c>
      <c r="E109" s="615"/>
      <c r="F109" s="615"/>
      <c r="G109" s="615"/>
      <c r="H109" s="3077">
        <f>IF(SUM(H110:H113)=0,"NO",SUM(H110:H113))</f>
        <v>864.17412252301722</v>
      </c>
      <c r="I109" s="3077">
        <f>IF(SUM(I110:I114)=0,"NO",SUM(I110:I114))</f>
        <v>3.1587553449673587E-2</v>
      </c>
      <c r="J109" s="3077">
        <f>IF(SUM(J110:J114)=0,"NO",SUM(J110:J114))</f>
        <v>2.4425380337021515E-2</v>
      </c>
      <c r="K109" s="2931"/>
    </row>
    <row r="110" spans="2:11" ht="18" customHeight="1" x14ac:dyDescent="0.2">
      <c r="B110" s="282" t="s">
        <v>243</v>
      </c>
      <c r="C110" s="699">
        <v>12400.494140927305</v>
      </c>
      <c r="D110" s="1938" t="s">
        <v>97</v>
      </c>
      <c r="E110" s="1938">
        <f t="shared" ref="E110:E114" si="37">IFERROR(H110*1000/$C110,"NA")</f>
        <v>69.688684394507078</v>
      </c>
      <c r="F110" s="1938">
        <f t="shared" ref="F110:G114" si="38">IFERROR(I110*1000000/$C110,"NA")</f>
        <v>2.52024493972303</v>
      </c>
      <c r="G110" s="1938">
        <f t="shared" si="38"/>
        <v>1.9696079604258414</v>
      </c>
      <c r="H110" s="699">
        <v>864.17412252301722</v>
      </c>
      <c r="I110" s="699">
        <v>3.1252282608737122E-2</v>
      </c>
      <c r="J110" s="699">
        <v>2.4424111973184427E-2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0.422787945695417</v>
      </c>
      <c r="D114" s="2891" t="s">
        <v>97</v>
      </c>
      <c r="E114" s="2891">
        <f t="shared" si="37"/>
        <v>67.259999999999991</v>
      </c>
      <c r="F114" s="2891">
        <f t="shared" si="38"/>
        <v>792.99999999999966</v>
      </c>
      <c r="G114" s="2891">
        <f t="shared" si="38"/>
        <v>2.9999999999999991</v>
      </c>
      <c r="H114" s="1562">
        <v>2.8436717227473741E-2</v>
      </c>
      <c r="I114" s="1562">
        <v>3.3527084093646557E-4</v>
      </c>
      <c r="J114" s="1562">
        <v>1.2683638370862506E-6</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890523.25200000009</v>
      </c>
      <c r="G11" s="3326">
        <v>1141400</v>
      </c>
      <c r="H11" s="3326">
        <v>645200</v>
      </c>
      <c r="I11" s="3346"/>
      <c r="J11" s="3326">
        <v>-12678.015869999988</v>
      </c>
      <c r="K11" s="3334">
        <f t="shared" ref="K11:K28" si="0">IF((SUM(F11:G11)-SUM(H11:J11))=0,"NO",(SUM(F11:G11)-SUM(H11:J11)))</f>
        <v>1399401.2678700001</v>
      </c>
      <c r="L11" s="2597">
        <f>IF(K11="NO","NA",1)</f>
        <v>1</v>
      </c>
      <c r="M11" s="5" t="s">
        <v>97</v>
      </c>
      <c r="N11" s="3334">
        <f>K11</f>
        <v>1399401.2678700001</v>
      </c>
      <c r="O11" s="3307">
        <v>18.980716253443529</v>
      </c>
      <c r="P11" s="3334">
        <f>IFERROR(N11*O11/1000,"NA")</f>
        <v>26561.638390149594</v>
      </c>
      <c r="Q11" s="3334" t="str">
        <f>'Table1.A(d)'!G11</f>
        <v>NA</v>
      </c>
      <c r="R11" s="3334">
        <f>IF(SUM(P11,-SUM(Q11))=0,"NO",SUM(P11,-SUM(Q11)))</f>
        <v>26561.638390149594</v>
      </c>
      <c r="S11" s="2597">
        <f>IF(R11="NO","NA",1)</f>
        <v>1</v>
      </c>
      <c r="T11" s="3340">
        <f>IF(R11="NO","NO",R11*S11*44/12)</f>
        <v>97392.674097215175</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124216.79649999998</v>
      </c>
      <c r="G13" s="3326" t="s">
        <v>199</v>
      </c>
      <c r="H13" s="3326" t="s">
        <v>199</v>
      </c>
      <c r="I13" s="3346"/>
      <c r="J13" s="3326" t="s">
        <v>199</v>
      </c>
      <c r="K13" s="3334">
        <f t="shared" si="0"/>
        <v>124216.79649999998</v>
      </c>
      <c r="L13" s="2597">
        <f t="shared" si="1"/>
        <v>1</v>
      </c>
      <c r="M13" s="5" t="s">
        <v>97</v>
      </c>
      <c r="N13" s="3334">
        <f t="shared" si="2"/>
        <v>124216.79649999998</v>
      </c>
      <c r="O13" s="3307">
        <v>16.223803471589001</v>
      </c>
      <c r="P13" s="3334">
        <f t="shared" si="3"/>
        <v>2015.268894286364</v>
      </c>
      <c r="Q13" s="3334" t="str">
        <f>'Table1.A(d)'!G13</f>
        <v>NA</v>
      </c>
      <c r="R13" s="3334">
        <f>IF(SUM(P13,-SUM(Q13))=0,"NO",SUM(P13,-SUM(Q13)))</f>
        <v>2015.268894286364</v>
      </c>
      <c r="S13" s="2597">
        <f t="shared" si="4"/>
        <v>1</v>
      </c>
      <c r="T13" s="3340">
        <f t="shared" si="5"/>
        <v>7389.3192790500007</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121690.88438999999</v>
      </c>
      <c r="H15" s="3326">
        <v>6800</v>
      </c>
      <c r="I15" s="3326" t="s">
        <v>199</v>
      </c>
      <c r="J15" s="3326">
        <v>-558.86668000000111</v>
      </c>
      <c r="K15" s="3334">
        <f t="shared" si="0"/>
        <v>115449.75107</v>
      </c>
      <c r="L15" s="2597">
        <f>IF(K15="NO","NA",1)</f>
        <v>1</v>
      </c>
      <c r="M15" s="5" t="s">
        <v>97</v>
      </c>
      <c r="N15" s="3334">
        <f t="shared" si="2"/>
        <v>115449.75107</v>
      </c>
      <c r="O15" s="3307">
        <v>18.382236568675651</v>
      </c>
      <c r="P15" s="3334">
        <f t="shared" si="3"/>
        <v>2122.2246359634551</v>
      </c>
      <c r="Q15" s="3334" t="str">
        <f>'Table1.A(d)'!G15</f>
        <v>NA</v>
      </c>
      <c r="R15" s="3334">
        <f>IF(SUM(P15,-SUM(Q15))=0,"NO",SUM(P15,-SUM(Q15)))</f>
        <v>2122.2246359634551</v>
      </c>
      <c r="S15" s="2597">
        <f>IF(R15="NO","NA",1)</f>
        <v>1</v>
      </c>
      <c r="T15" s="3340">
        <f>IF(R15="NO","NO",R15*S15*44/12)</f>
        <v>7781.4903318660026</v>
      </c>
    </row>
    <row r="16" spans="2:20" ht="18" customHeight="1" x14ac:dyDescent="0.2">
      <c r="B16" s="1730"/>
      <c r="C16" s="1570"/>
      <c r="D16" s="36" t="s">
        <v>293</v>
      </c>
      <c r="E16" s="2595" t="s">
        <v>374</v>
      </c>
      <c r="F16" s="3347"/>
      <c r="G16" s="3326">
        <v>82900</v>
      </c>
      <c r="H16" s="3326">
        <v>100</v>
      </c>
      <c r="I16" s="3326">
        <v>150460</v>
      </c>
      <c r="J16" s="3326">
        <v>-393.93600000000038</v>
      </c>
      <c r="K16" s="3334">
        <f t="shared" si="0"/>
        <v>-67266.064000000013</v>
      </c>
      <c r="L16" s="2597">
        <f t="shared" ref="L16:L28" si="6">IF(K16="NO","NA",1)</f>
        <v>1</v>
      </c>
      <c r="M16" s="5" t="s">
        <v>97</v>
      </c>
      <c r="N16" s="3334">
        <f t="shared" si="2"/>
        <v>-67266.064000000013</v>
      </c>
      <c r="O16" s="3307">
        <v>18.981818181818181</v>
      </c>
      <c r="P16" s="3334">
        <f t="shared" si="3"/>
        <v>-1276.8321966545457</v>
      </c>
      <c r="Q16" s="3334" t="str">
        <f>'Table1.A(d)'!G16</f>
        <v>NA</v>
      </c>
      <c r="R16" s="3334">
        <f t="shared" ref="R16:R44" si="7">IF(SUM(P16,-SUM(Q16))=0,"NO",SUM(P16,-SUM(Q16)))</f>
        <v>-1276.8321966545457</v>
      </c>
      <c r="S16" s="2597">
        <f t="shared" ref="S16:S28" si="8">IF(R16="NO","NA",1)</f>
        <v>1</v>
      </c>
      <c r="T16" s="3340">
        <f t="shared" ref="T16:T28" si="9">IF(R16="NO","NO",R16*S16*44/12)</f>
        <v>-4681.7180544000012</v>
      </c>
    </row>
    <row r="17" spans="2:20" ht="18" customHeight="1" x14ac:dyDescent="0.2">
      <c r="B17" s="1730"/>
      <c r="C17" s="1570"/>
      <c r="D17" s="36" t="s">
        <v>379</v>
      </c>
      <c r="E17" s="2595" t="s">
        <v>374</v>
      </c>
      <c r="F17" s="3346"/>
      <c r="G17" s="3326">
        <v>24.56999999999999</v>
      </c>
      <c r="H17" s="3326" t="s">
        <v>199</v>
      </c>
      <c r="I17" s="3326" t="s">
        <v>199</v>
      </c>
      <c r="J17" s="3326">
        <v>48.355350000000008</v>
      </c>
      <c r="K17" s="3334">
        <f t="shared" si="0"/>
        <v>-23.785350000000019</v>
      </c>
      <c r="L17" s="2597">
        <f t="shared" si="6"/>
        <v>1</v>
      </c>
      <c r="M17" s="5" t="s">
        <v>97</v>
      </c>
      <c r="N17" s="3334">
        <f t="shared" si="2"/>
        <v>-23.785350000000019</v>
      </c>
      <c r="O17" s="3307">
        <v>18.790909090909089</v>
      </c>
      <c r="P17" s="3334">
        <f t="shared" si="3"/>
        <v>-0.44694834954545487</v>
      </c>
      <c r="Q17" s="3334" t="str">
        <f>'Table1.A(d)'!G17</f>
        <v>NA</v>
      </c>
      <c r="R17" s="3334">
        <f t="shared" si="7"/>
        <v>-0.44694834954545487</v>
      </c>
      <c r="S17" s="2597">
        <f t="shared" si="8"/>
        <v>1</v>
      </c>
      <c r="T17" s="3340">
        <f t="shared" si="9"/>
        <v>-1.6388106150000012</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433300</v>
      </c>
      <c r="H19" s="3326">
        <v>5000</v>
      </c>
      <c r="I19" s="3326">
        <v>1665</v>
      </c>
      <c r="J19" s="3326">
        <v>3544.5290400000008</v>
      </c>
      <c r="K19" s="3334">
        <f t="shared" si="0"/>
        <v>423090.47096000001</v>
      </c>
      <c r="L19" s="2597">
        <f t="shared" si="6"/>
        <v>1</v>
      </c>
      <c r="M19" s="5" t="s">
        <v>97</v>
      </c>
      <c r="N19" s="3334">
        <f t="shared" si="2"/>
        <v>423090.47096000001</v>
      </c>
      <c r="O19" s="3307">
        <v>19.06363636363637</v>
      </c>
      <c r="P19" s="3334">
        <f t="shared" si="3"/>
        <v>8065.6428873010937</v>
      </c>
      <c r="Q19" s="3334" t="str">
        <f>'Table1.A(d)'!G19</f>
        <v>NA</v>
      </c>
      <c r="R19" s="3334">
        <f t="shared" si="7"/>
        <v>8065.6428873010937</v>
      </c>
      <c r="S19" s="2597">
        <f t="shared" si="8"/>
        <v>1</v>
      </c>
      <c r="T19" s="3340">
        <f t="shared" si="9"/>
        <v>29574.023920104009</v>
      </c>
    </row>
    <row r="20" spans="2:20" ht="18" customHeight="1" x14ac:dyDescent="0.2">
      <c r="B20" s="1730"/>
      <c r="C20" s="1570"/>
      <c r="D20" s="36" t="s">
        <v>306</v>
      </c>
      <c r="E20" s="2595" t="s">
        <v>374</v>
      </c>
      <c r="F20" s="3346"/>
      <c r="G20" s="3326">
        <v>64400.000000000007</v>
      </c>
      <c r="H20" s="3326">
        <v>19300</v>
      </c>
      <c r="I20" s="3326">
        <v>31659.999999999996</v>
      </c>
      <c r="J20" s="3326">
        <v>-767.9751</v>
      </c>
      <c r="K20" s="3334">
        <f t="shared" si="0"/>
        <v>14207.975100000011</v>
      </c>
      <c r="L20" s="2597">
        <f t="shared" si="6"/>
        <v>1</v>
      </c>
      <c r="M20" s="5" t="s">
        <v>97</v>
      </c>
      <c r="N20" s="3334">
        <f t="shared" si="2"/>
        <v>14207.975100000011</v>
      </c>
      <c r="O20" s="3307">
        <v>20.072727272727271</v>
      </c>
      <c r="P20" s="3334">
        <f t="shared" si="3"/>
        <v>285.19280928000018</v>
      </c>
      <c r="Q20" s="3334" t="str">
        <f>'Table1.A(d)'!G20</f>
        <v>NA</v>
      </c>
      <c r="R20" s="3334">
        <f t="shared" si="7"/>
        <v>285.19280928000018</v>
      </c>
      <c r="S20" s="2597">
        <f t="shared" si="8"/>
        <v>1</v>
      </c>
      <c r="T20" s="3340">
        <f t="shared" si="9"/>
        <v>1045.7069673600006</v>
      </c>
    </row>
    <row r="21" spans="2:20" ht="18" customHeight="1" x14ac:dyDescent="0.2">
      <c r="B21" s="1730"/>
      <c r="C21" s="1570"/>
      <c r="D21" s="36" t="s">
        <v>283</v>
      </c>
      <c r="E21" s="2595" t="s">
        <v>374</v>
      </c>
      <c r="F21" s="3346"/>
      <c r="G21" s="3326">
        <v>27600</v>
      </c>
      <c r="H21" s="3326">
        <v>57100</v>
      </c>
      <c r="I21" s="3346"/>
      <c r="J21" s="3326">
        <v>2327.5990400000005</v>
      </c>
      <c r="K21" s="3334">
        <f t="shared" si="0"/>
        <v>-31827.599040000001</v>
      </c>
      <c r="L21" s="2597">
        <f t="shared" si="6"/>
        <v>1</v>
      </c>
      <c r="M21" s="5" t="s">
        <v>97</v>
      </c>
      <c r="N21" s="3334">
        <f t="shared" si="2"/>
        <v>-31827.599040000001</v>
      </c>
      <c r="O21" s="3307">
        <v>16.418181818181822</v>
      </c>
      <c r="P21" s="3334">
        <f t="shared" si="3"/>
        <v>-522.55130787490918</v>
      </c>
      <c r="Q21" s="3334" t="str">
        <f>'Table1.A(d)'!G21</f>
        <v>NA</v>
      </c>
      <c r="R21" s="3334">
        <f t="shared" si="7"/>
        <v>-522.55130787490918</v>
      </c>
      <c r="S21" s="2597">
        <f t="shared" si="8"/>
        <v>1</v>
      </c>
      <c r="T21" s="3340">
        <f t="shared" si="9"/>
        <v>-1916.0214622080002</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331.33007877272735</v>
      </c>
      <c r="R22" s="3334">
        <f t="shared" si="7"/>
        <v>-331.33007877272735</v>
      </c>
      <c r="S22" s="2597">
        <f t="shared" si="8"/>
        <v>1</v>
      </c>
      <c r="T22" s="3340">
        <f t="shared" si="9"/>
        <v>-1214.8769555000001</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22800</v>
      </c>
      <c r="H24" s="3326">
        <v>66.97296</v>
      </c>
      <c r="I24" s="3346"/>
      <c r="J24" s="3326">
        <v>1774.0825199999999</v>
      </c>
      <c r="K24" s="3334">
        <f t="shared" si="0"/>
        <v>20958.944520000001</v>
      </c>
      <c r="L24" s="2597">
        <f t="shared" si="6"/>
        <v>1</v>
      </c>
      <c r="M24" s="5" t="s">
        <v>97</v>
      </c>
      <c r="N24" s="3334">
        <f t="shared" si="2"/>
        <v>20958.944520000001</v>
      </c>
      <c r="O24" s="3307">
        <v>22.009090909090911</v>
      </c>
      <c r="P24" s="3334">
        <f t="shared" si="3"/>
        <v>461.28731529927279</v>
      </c>
      <c r="Q24" s="3334">
        <f>'Table1.A(d)'!G24</f>
        <v>708.69272727272732</v>
      </c>
      <c r="R24" s="3334">
        <f t="shared" si="7"/>
        <v>-247.40541197345453</v>
      </c>
      <c r="S24" s="2597">
        <f t="shared" si="8"/>
        <v>1</v>
      </c>
      <c r="T24" s="3340">
        <f t="shared" si="9"/>
        <v>-907.15317723599992</v>
      </c>
    </row>
    <row r="25" spans="2:20" ht="18" customHeight="1" x14ac:dyDescent="0.2">
      <c r="B25" s="1730"/>
      <c r="C25" s="1570"/>
      <c r="D25" s="36" t="s">
        <v>297</v>
      </c>
      <c r="E25" s="2595" t="s">
        <v>374</v>
      </c>
      <c r="F25" s="3346"/>
      <c r="G25" s="3326">
        <v>20500</v>
      </c>
      <c r="H25" s="3326">
        <v>11200</v>
      </c>
      <c r="I25" s="3326" t="s">
        <v>199</v>
      </c>
      <c r="J25" s="3326">
        <v>-1115.8834399999998</v>
      </c>
      <c r="K25" s="3334">
        <f t="shared" si="0"/>
        <v>10415.88344</v>
      </c>
      <c r="L25" s="2597">
        <f t="shared" si="6"/>
        <v>1</v>
      </c>
      <c r="M25" s="5" t="s">
        <v>97</v>
      </c>
      <c r="N25" s="3334">
        <f t="shared" si="2"/>
        <v>10415.88344</v>
      </c>
      <c r="O25" s="3307">
        <v>18.991363636363641</v>
      </c>
      <c r="P25" s="3334">
        <f t="shared" si="3"/>
        <v>197.81183000301823</v>
      </c>
      <c r="Q25" s="3334">
        <f>'Table1.A(d)'!G25</f>
        <v>258.28254545454547</v>
      </c>
      <c r="R25" s="3334">
        <f t="shared" si="7"/>
        <v>-60.470715451527241</v>
      </c>
      <c r="S25" s="2597">
        <f t="shared" si="8"/>
        <v>1</v>
      </c>
      <c r="T25" s="3340">
        <f t="shared" si="9"/>
        <v>-221.7259566555999</v>
      </c>
    </row>
    <row r="26" spans="2:20" ht="18" customHeight="1" x14ac:dyDescent="0.2">
      <c r="B26" s="1730"/>
      <c r="C26" s="1570"/>
      <c r="D26" s="36" t="s">
        <v>384</v>
      </c>
      <c r="E26" s="2595" t="s">
        <v>374</v>
      </c>
      <c r="F26" s="3346"/>
      <c r="G26" s="3326">
        <v>28679.712402387668</v>
      </c>
      <c r="H26" s="3326" t="s">
        <v>199</v>
      </c>
      <c r="I26" s="3346"/>
      <c r="J26" s="3326" t="s">
        <v>199</v>
      </c>
      <c r="K26" s="3334">
        <f t="shared" si="0"/>
        <v>28679.712402387668</v>
      </c>
      <c r="L26" s="2597">
        <f t="shared" si="6"/>
        <v>1</v>
      </c>
      <c r="M26" s="5" t="s">
        <v>97</v>
      </c>
      <c r="N26" s="3334">
        <f t="shared" si="2"/>
        <v>28679.712402387668</v>
      </c>
      <c r="O26" s="3307">
        <v>25.26136363636364</v>
      </c>
      <c r="P26" s="3334">
        <f t="shared" si="3"/>
        <v>724.48864398304318</v>
      </c>
      <c r="Q26" s="3334">
        <f>'Table1.A(d)'!G26</f>
        <v>724.48864398304318</v>
      </c>
      <c r="R26" s="3334" t="str">
        <f t="shared" si="7"/>
        <v>NO</v>
      </c>
      <c r="S26" s="2597" t="str">
        <f t="shared" si="8"/>
        <v>NA</v>
      </c>
      <c r="T26" s="3340" t="str">
        <f t="shared" si="9"/>
        <v>NO</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47400</v>
      </c>
      <c r="H28" s="3326">
        <v>1600</v>
      </c>
      <c r="I28" s="3346"/>
      <c r="J28" s="3326">
        <v>4690.9341399999976</v>
      </c>
      <c r="K28" s="3334">
        <f t="shared" si="0"/>
        <v>41109.065860000002</v>
      </c>
      <c r="L28" s="2597">
        <f t="shared" si="6"/>
        <v>1</v>
      </c>
      <c r="M28" s="5" t="s">
        <v>97</v>
      </c>
      <c r="N28" s="3334">
        <f t="shared" si="2"/>
        <v>41109.065860000002</v>
      </c>
      <c r="O28" s="3307">
        <v>19.036361677817549</v>
      </c>
      <c r="P28" s="3334">
        <f t="shared" si="3"/>
        <v>782.56704594818177</v>
      </c>
      <c r="Q28" s="3334">
        <f>'Table1.A(d)'!G28</f>
        <v>398.32787721818181</v>
      </c>
      <c r="R28" s="3334">
        <f t="shared" si="7"/>
        <v>384.23916872999996</v>
      </c>
      <c r="S28" s="2597">
        <f t="shared" si="8"/>
        <v>1</v>
      </c>
      <c r="T28" s="3340">
        <f t="shared" si="9"/>
        <v>1408.8769520099997</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2078412.4193323876</v>
      </c>
      <c r="O31" s="3329"/>
      <c r="P31" s="3336">
        <f>SUM(P11:P29)</f>
        <v>39416.291999335037</v>
      </c>
      <c r="Q31" s="3336">
        <f>SUM(Q11:Q29)</f>
        <v>2421.1218727012251</v>
      </c>
      <c r="R31" s="3334">
        <f t="shared" si="7"/>
        <v>36995.170126633813</v>
      </c>
      <c r="S31" s="2598"/>
      <c r="T31" s="3342">
        <f>SUM(T11:T29)</f>
        <v>135648.9571309906</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9883644.2646736018</v>
      </c>
      <c r="G35" s="3326" t="s">
        <v>199</v>
      </c>
      <c r="H35" s="3326">
        <v>8496730</v>
      </c>
      <c r="I35" s="3326" t="s">
        <v>199</v>
      </c>
      <c r="J35" s="3326">
        <v>41581.5</v>
      </c>
      <c r="K35" s="3334">
        <f t="shared" si="10"/>
        <v>1345332.7646736018</v>
      </c>
      <c r="L35" s="2597">
        <f t="shared" si="11"/>
        <v>1</v>
      </c>
      <c r="M35" s="55" t="s">
        <v>97</v>
      </c>
      <c r="N35" s="3334">
        <f t="shared" si="12"/>
        <v>1345332.7646736018</v>
      </c>
      <c r="O35" s="3307">
        <v>24.40200859879868</v>
      </c>
      <c r="P35" s="3334">
        <f t="shared" si="13"/>
        <v>32828.821691810837</v>
      </c>
      <c r="Q35" s="3334">
        <f>'Table1.A(d)'!G35</f>
        <v>495.81044710363642</v>
      </c>
      <c r="R35" s="3334">
        <f t="shared" si="7"/>
        <v>32333.011244707202</v>
      </c>
      <c r="S35" s="2597">
        <f t="shared" si="14"/>
        <v>1</v>
      </c>
      <c r="T35" s="3340">
        <f t="shared" si="15"/>
        <v>118554.37456392641</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746610.03694580006</v>
      </c>
      <c r="G37" s="3326" t="s">
        <v>199</v>
      </c>
      <c r="H37" s="3326" t="s">
        <v>199</v>
      </c>
      <c r="I37" s="3346"/>
      <c r="J37" s="3326">
        <v>7313.9000000000005</v>
      </c>
      <c r="K37" s="3334">
        <f t="shared" si="10"/>
        <v>739296.13694580004</v>
      </c>
      <c r="L37" s="2597">
        <f t="shared" si="11"/>
        <v>1</v>
      </c>
      <c r="M37" s="55" t="s">
        <v>97</v>
      </c>
      <c r="N37" s="3334">
        <f t="shared" si="12"/>
        <v>739296.13694580004</v>
      </c>
      <c r="O37" s="3307">
        <v>25.439209302968461</v>
      </c>
      <c r="P37" s="3334">
        <f t="shared" si="13"/>
        <v>18807.109164640242</v>
      </c>
      <c r="Q37" s="3334">
        <f>'Table1.A(d)'!G37</f>
        <v>1.5465680454545501</v>
      </c>
      <c r="R37" s="3334">
        <f t="shared" si="7"/>
        <v>18805.562596594787</v>
      </c>
      <c r="S37" s="2597">
        <f t="shared" si="14"/>
        <v>1</v>
      </c>
      <c r="T37" s="3340">
        <f t="shared" si="15"/>
        <v>68953.729520847555</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1130</v>
      </c>
      <c r="H41" s="3326">
        <v>16300</v>
      </c>
      <c r="I41" s="3346"/>
      <c r="J41" s="3326">
        <v>28.7</v>
      </c>
      <c r="K41" s="3334">
        <f t="shared" si="16"/>
        <v>-15198.7</v>
      </c>
      <c r="L41" s="2597">
        <f t="shared" si="17"/>
        <v>1</v>
      </c>
      <c r="M41" s="55" t="s">
        <v>97</v>
      </c>
      <c r="N41" s="3334">
        <f t="shared" si="18"/>
        <v>-15198.7</v>
      </c>
      <c r="O41" s="3307">
        <v>29.206287134517279</v>
      </c>
      <c r="P41" s="3334">
        <f t="shared" si="19"/>
        <v>-443.89759627138778</v>
      </c>
      <c r="Q41" s="3334">
        <f>'Table1.A(d)'!G41</f>
        <v>1561.0505538816219</v>
      </c>
      <c r="R41" s="3334">
        <f t="shared" si="7"/>
        <v>-2004.9481501530097</v>
      </c>
      <c r="S41" s="2597">
        <f t="shared" si="20"/>
        <v>1</v>
      </c>
      <c r="T41" s="3340">
        <f t="shared" si="21"/>
        <v>-7351.4765505610349</v>
      </c>
    </row>
    <row r="42" spans="2:20" ht="18" customHeight="1" x14ac:dyDescent="0.2">
      <c r="B42" s="1730"/>
      <c r="C42" s="1571"/>
      <c r="D42" s="31" t="s">
        <v>398</v>
      </c>
      <c r="E42" s="2595" t="s">
        <v>374</v>
      </c>
      <c r="F42" s="3346"/>
      <c r="G42" s="3326" t="s">
        <v>199</v>
      </c>
      <c r="H42" s="3326" t="s">
        <v>199</v>
      </c>
      <c r="I42" s="3346"/>
      <c r="J42" s="3326">
        <v>1365.2</v>
      </c>
      <c r="K42" s="3334">
        <f t="shared" si="16"/>
        <v>-1365.2</v>
      </c>
      <c r="L42" s="2597">
        <f t="shared" si="17"/>
        <v>1</v>
      </c>
      <c r="M42" s="55" t="s">
        <v>97</v>
      </c>
      <c r="N42" s="3334">
        <f t="shared" si="18"/>
        <v>-1365.2</v>
      </c>
      <c r="O42" s="3307">
        <v>22.309090909090909</v>
      </c>
      <c r="P42" s="3334">
        <f t="shared" si="19"/>
        <v>-30.456370909090911</v>
      </c>
      <c r="Q42" s="3334">
        <f>'Table1.A(d)'!G42</f>
        <v>218.97478786771208</v>
      </c>
      <c r="R42" s="3334">
        <f t="shared" si="7"/>
        <v>-249.43115877680299</v>
      </c>
      <c r="S42" s="2597">
        <f t="shared" si="20"/>
        <v>1</v>
      </c>
      <c r="T42" s="3340">
        <f t="shared" si="21"/>
        <v>-914.58091551494419</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2068065.0016194019</v>
      </c>
      <c r="O45" s="3329"/>
      <c r="P45" s="3336">
        <f>SUM(P33:P43)</f>
        <v>51161.576889270596</v>
      </c>
      <c r="Q45" s="3336">
        <f>SUM(Q33:Q43)</f>
        <v>2277.3823568984249</v>
      </c>
      <c r="R45" s="3336">
        <f>SUM(R33:R43)</f>
        <v>48884.194532372174</v>
      </c>
      <c r="S45" s="41"/>
      <c r="T45" s="3342">
        <f>SUM(T33:T43)</f>
        <v>179242.04661869802</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2103264.3769999999</v>
      </c>
      <c r="G47" s="3326">
        <v>217900</v>
      </c>
      <c r="H47" s="3326">
        <v>1026300</v>
      </c>
      <c r="I47" s="3326" t="s">
        <v>199</v>
      </c>
      <c r="J47" s="3326">
        <v>-32415.7</v>
      </c>
      <c r="K47" s="3334">
        <f t="shared" ref="K47" si="22">IF((SUM(F47:G47)-SUM(H47:J47))=0,"NO",(SUM(F47:G47)-SUM(H47:J47)))</f>
        <v>1327280.0769999998</v>
      </c>
      <c r="L47" s="2597">
        <f t="shared" ref="L47" si="23">IF(K47="NO","NA",1)</f>
        <v>1</v>
      </c>
      <c r="M47" s="55" t="s">
        <v>97</v>
      </c>
      <c r="N47" s="3334">
        <f t="shared" ref="N47" si="24">K47</f>
        <v>1327280.0769999998</v>
      </c>
      <c r="O47" s="3307">
        <v>13.98867567159048</v>
      </c>
      <c r="P47" s="3334">
        <f t="shared" ref="P47" si="25">IFERROR(N47*O47/1000,"NA")</f>
        <v>18566.890522516638</v>
      </c>
      <c r="Q47" s="3334">
        <f>'Table1.A(d)'!G47</f>
        <v>620.94069866978271</v>
      </c>
      <c r="R47" s="3334">
        <f t="shared" ref="R47" si="26">IF(SUM(P47,-SUM(Q47))=0,"NO",SUM(P47,-SUM(Q47)))</f>
        <v>17945.949823846855</v>
      </c>
      <c r="S47" s="2597">
        <f t="shared" ref="S47" si="27">IF(R47="NO","NA",1)</f>
        <v>1</v>
      </c>
      <c r="T47" s="3340">
        <f t="shared" ref="T47" si="28">IF(R47="NO","NO",R47*S47*44/12)</f>
        <v>65801.816020771803</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1327280.0769999998</v>
      </c>
      <c r="O50" s="3331"/>
      <c r="P50" s="3336">
        <f>SUM(P47:P48)</f>
        <v>18566.890522516638</v>
      </c>
      <c r="Q50" s="3336">
        <f>SUM(Q47:Q48)</f>
        <v>620.94069866978271</v>
      </c>
      <c r="R50" s="3336">
        <f>SUM(R47:R48)</f>
        <v>17945.949823846855</v>
      </c>
      <c r="S50" s="2379"/>
      <c r="T50" s="3342">
        <f>SUM(T47:T48)</f>
        <v>65801.816020771803</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274</v>
      </c>
      <c r="G52" s="3355" t="s">
        <v>274</v>
      </c>
      <c r="H52" s="3355" t="s">
        <v>274</v>
      </c>
      <c r="I52" s="3326" t="s">
        <v>199</v>
      </c>
      <c r="J52" s="3355">
        <v>-551.23</v>
      </c>
      <c r="K52" s="3334">
        <f t="shared" ref="K52:K53" si="29">IF((SUM(F52:G52)-SUM(H52:J52))=0,"NO",(SUM(F52:G52)-SUM(H52:J52)))</f>
        <v>551.23</v>
      </c>
      <c r="L52" s="2597">
        <f t="shared" ref="L52:L53" si="30">IF(K52="NO","NA",1)</f>
        <v>1</v>
      </c>
      <c r="M52" s="55" t="s">
        <v>97</v>
      </c>
      <c r="N52" s="3334">
        <f t="shared" ref="N52:N53" si="31">K52</f>
        <v>551.23</v>
      </c>
      <c r="O52" s="3307">
        <v>0.70151432731428731</v>
      </c>
      <c r="P52" s="3334">
        <f t="shared" ref="P52:P53" si="32">IFERROR(N52*O52/1000,"NA")</f>
        <v>0.38669574264545464</v>
      </c>
      <c r="Q52" s="3339" t="str">
        <f>'Table1.A(d)'!G52</f>
        <v>NA</v>
      </c>
      <c r="R52" s="3334">
        <f t="shared" ref="R52:R53" si="33">IF(SUM(P52,-SUM(Q52))=0,"NO",SUM(P52,-SUM(Q52)))</f>
        <v>0.38669574264545464</v>
      </c>
      <c r="S52" s="2597">
        <f t="shared" ref="S52:S53" si="34">IF(R52="NO","NA",1)</f>
        <v>1</v>
      </c>
      <c r="T52" s="3340">
        <f t="shared" ref="T52:T53" si="35">IF(R52="NO","NO",R52*S52*44/12)</f>
        <v>1.4178843897000004</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551.23</v>
      </c>
      <c r="O54" s="3332"/>
      <c r="P54" s="3338">
        <f>SUM(P51:P53)</f>
        <v>0.38669574264545464</v>
      </c>
      <c r="Q54" s="3338">
        <f>SUM(Q51:Q53)</f>
        <v>0</v>
      </c>
      <c r="R54" s="3338">
        <f>SUM(R51:R53)</f>
        <v>0.38669574264545464</v>
      </c>
      <c r="S54" s="2399"/>
      <c r="T54" s="3344">
        <f>SUM(T51:T53)</f>
        <v>1.4178843897000004</v>
      </c>
    </row>
    <row r="55" spans="2:20" ht="18" customHeight="1" thickBot="1" x14ac:dyDescent="0.25">
      <c r="B55" s="2395" t="s">
        <v>409</v>
      </c>
      <c r="C55" s="2396"/>
      <c r="D55" s="2396"/>
      <c r="E55" s="100"/>
      <c r="F55" s="3356"/>
      <c r="G55" s="3356"/>
      <c r="H55" s="3356"/>
      <c r="I55" s="3356"/>
      <c r="J55" s="3356"/>
      <c r="K55" s="3357"/>
      <c r="L55" s="2397"/>
      <c r="M55" s="2398"/>
      <c r="N55" s="3338">
        <f>SUM(N31,N45,N50,N54)</f>
        <v>5474308.7279517893</v>
      </c>
      <c r="O55" s="3332"/>
      <c r="P55" s="3338">
        <f>SUM(P31,P45,P50,P54)</f>
        <v>109145.14610686492</v>
      </c>
      <c r="Q55" s="3338">
        <f>SUM(Q31,Q45,Q50,Q54)</f>
        <v>5319.4449282694331</v>
      </c>
      <c r="R55" s="3338">
        <f>SUM(R31,R45,R50,R54)</f>
        <v>103825.70117859548</v>
      </c>
      <c r="S55" s="2399"/>
      <c r="T55" s="3344">
        <f>SUM(T31,T45,T50,T54)</f>
        <v>380694.23765485012</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2078.4124193323878</v>
      </c>
      <c r="D10" s="4127">
        <f>C10-'Table1.A(d)'!E31/1000</f>
        <v>1950.4242713629426</v>
      </c>
      <c r="E10" s="4126">
        <f>'Table1.A(b)'!T31</f>
        <v>135648.9571309906</v>
      </c>
      <c r="F10" s="4126">
        <f>'Table1.A(a)s1'!C11/1000</f>
        <v>1907.3013980105902</v>
      </c>
      <c r="G10" s="4126">
        <f>'Table1.A(a)s1'!H11</f>
        <v>130218.32133912346</v>
      </c>
      <c r="H10" s="4126">
        <f>100*((D10-F10)/F10)</f>
        <v>2.2609364936937428</v>
      </c>
      <c r="I10" s="4128">
        <f>100*((E10-G10)/G10)</f>
        <v>4.1704083849493871</v>
      </c>
      <c r="L10"/>
    </row>
    <row r="11" spans="2:12" ht="18" customHeight="1" x14ac:dyDescent="0.2">
      <c r="B11" s="50" t="s">
        <v>430</v>
      </c>
      <c r="C11" s="4126">
        <f>'Table1.A(b)'!N45/1000</f>
        <v>2068.0650016194018</v>
      </c>
      <c r="D11" s="4126">
        <f>C11-'Table1.A(d)'!E45/1000</f>
        <v>1948.8944363213175</v>
      </c>
      <c r="E11" s="4126">
        <f>'Table1.A(b)'!T45</f>
        <v>179242.04661869802</v>
      </c>
      <c r="F11" s="4126">
        <f>'Table1.A(a)s1'!C12/1000</f>
        <v>1990.9600409535065</v>
      </c>
      <c r="G11" s="4126">
        <f>'Table1.A(a)s1'!H12</f>
        <v>179824.34194858858</v>
      </c>
      <c r="H11" s="4126">
        <f t="shared" ref="H11:H13" si="0">100*((D11-F11)/F11)</f>
        <v>-2.1128301807625935</v>
      </c>
      <c r="I11" s="4128">
        <f t="shared" ref="I11:I13" si="1">100*((E11-G11)/G11)</f>
        <v>-0.32381340789615692</v>
      </c>
      <c r="L11"/>
    </row>
    <row r="12" spans="2:12" ht="18" customHeight="1" x14ac:dyDescent="0.2">
      <c r="B12" s="50" t="s">
        <v>431</v>
      </c>
      <c r="C12" s="4126">
        <f>'Table1.A(b)'!N50/1000</f>
        <v>1327.2800769999999</v>
      </c>
      <c r="D12" s="4126">
        <f>C12-'Table1.A(d)'!E50/1000</f>
        <v>1278.1753639369999</v>
      </c>
      <c r="E12" s="4126">
        <f>'Table1.A(b)'!T50</f>
        <v>65801.816020771803</v>
      </c>
      <c r="F12" s="4126">
        <f>'Table1.A(a)s1'!C13/1000</f>
        <v>1251.3158428052652</v>
      </c>
      <c r="G12" s="4126">
        <f>'Table1.A(a)s1'!H13</f>
        <v>64101.136807511662</v>
      </c>
      <c r="H12" s="4126">
        <f t="shared" si="0"/>
        <v>2.1465021230387071</v>
      </c>
      <c r="I12" s="4128">
        <f t="shared" si="1"/>
        <v>2.6531186465024548</v>
      </c>
      <c r="L12"/>
    </row>
    <row r="13" spans="2:12" ht="18" customHeight="1" x14ac:dyDescent="0.2">
      <c r="B13" s="50" t="s">
        <v>432</v>
      </c>
      <c r="C13" s="4126">
        <f>'Table1.A(b)'!N54/1000</f>
        <v>0.55123</v>
      </c>
      <c r="D13" s="4126">
        <f>C13-SUM('Table1.A(d)'!E54)/1000</f>
        <v>0.55123</v>
      </c>
      <c r="E13" s="4126">
        <f>'Table1.A(b)'!T54</f>
        <v>1.4178843897000004</v>
      </c>
      <c r="F13" s="4126">
        <f>'Table1.A(a)s1'!C14/1000</f>
        <v>3.0862589024745288</v>
      </c>
      <c r="G13" s="4126">
        <f>'Table1.A(a)s1'!H14</f>
        <v>229.319869441083</v>
      </c>
      <c r="H13" s="4126">
        <f t="shared" si="0"/>
        <v>-82.139217174617798</v>
      </c>
      <c r="I13" s="4128">
        <f t="shared" si="1"/>
        <v>-99.381700158317827</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5474.3087279517886</v>
      </c>
      <c r="D15" s="4196">
        <f>SUM(D10:D14)</f>
        <v>5178.0453016212605</v>
      </c>
      <c r="E15" s="4196">
        <f>SUM(E10:E14)</f>
        <v>380694.23765485012</v>
      </c>
      <c r="F15" s="4196">
        <f>SUM(F10:F14)</f>
        <v>5152.663540671836</v>
      </c>
      <c r="G15" s="4196">
        <f>SUM(G10:G14)</f>
        <v>374373.1199646648</v>
      </c>
      <c r="H15" s="4197">
        <f t="shared" ref="H15" si="2">100*((D15-F15)/F15)</f>
        <v>0.49259496082127324</v>
      </c>
      <c r="I15" s="4198">
        <f t="shared" ref="I15" si="3">100*((E15-G15)/G15)</f>
        <v>1.6884539388890785</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3.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2024-04-12T01:05:30Z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