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3" documentId="13_ncr:1_{FBA2A6B7-E9A4-4964-AA8E-5445EDA62C50}" xr6:coauthVersionLast="47" xr6:coauthVersionMax="47" xr10:uidLastSave="{1900B6F3-CCDF-4386-B2A9-400039030B72}"/>
  <bookViews>
    <workbookView xWindow="285" yWindow="765" windowWidth="27480" windowHeight="1287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22" l="1"/>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E11" i="125"/>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29" i="125"/>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AL10" i="125" l="1"/>
  <c r="AH10" i="75"/>
  <c r="AH72" i="75" s="1"/>
  <c r="AH22" i="125" s="1"/>
  <c r="AH35" i="125" s="1"/>
  <c r="AO10" i="125"/>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E22" i="125"/>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AH71" i="75" l="1"/>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C12" i="70" l="1"/>
  <c r="O22" i="70"/>
  <c r="Q26" i="70"/>
  <c r="I18" i="70"/>
  <c r="C41" i="70"/>
  <c r="I41" i="70"/>
  <c r="I30" i="70"/>
  <c r="I22" i="70" l="1"/>
  <c r="O12" i="70"/>
  <c r="O41" i="70"/>
  <c r="C30" i="70"/>
  <c r="I50" i="70"/>
  <c r="O50" i="70"/>
  <c r="C18" i="70"/>
  <c r="O30" i="70"/>
  <c r="O18" i="70"/>
  <c r="I12" i="70"/>
  <c r="I11" i="70" s="1"/>
  <c r="I10" i="70" s="1"/>
  <c r="C11" i="70"/>
  <c r="C10" i="70" s="1"/>
  <c r="S26" i="70"/>
  <c r="R26" i="70"/>
  <c r="T26" i="70"/>
  <c r="C22" i="70"/>
  <c r="O11" i="70" l="1"/>
  <c r="O10" i="70" s="1"/>
  <c r="C10" i="73" l="1"/>
  <c r="E34" i="73" s="1"/>
  <c r="E35" i="73" s="1"/>
  <c r="D282" i="56" l="1"/>
  <c r="D281" i="56"/>
  <c r="D302" i="56"/>
  <c r="D423" i="56"/>
  <c r="D415" i="56"/>
  <c r="C17" i="124"/>
  <c r="C11" i="124"/>
  <c r="C10" i="124" l="1"/>
  <c r="D411" i="56"/>
  <c r="D331" i="56"/>
  <c r="D327" i="56" s="1"/>
  <c r="D277" i="56"/>
  <c r="R18" i="50"/>
  <c r="R13" i="50" s="1"/>
  <c r="R10" i="50" s="1"/>
  <c r="Q17" i="52"/>
  <c r="Q11" i="52" s="1"/>
  <c r="Q10" i="52" s="1"/>
  <c r="Q11" i="53"/>
  <c r="P11" i="53"/>
  <c r="R21" i="51"/>
  <c r="R15" i="51" s="1"/>
  <c r="R10" i="51" s="1"/>
  <c r="I35" i="47"/>
  <c r="F18" i="50" l="1"/>
  <c r="L19" i="50"/>
  <c r="N11" i="53"/>
  <c r="D22" i="51"/>
  <c r="E21" i="51"/>
  <c r="K21" i="51" s="1"/>
  <c r="K22" i="51"/>
  <c r="F21" i="51"/>
  <c r="L22" i="51"/>
  <c r="K15" i="52"/>
  <c r="D15" i="52"/>
  <c r="E14" i="52"/>
  <c r="D16" i="52"/>
  <c r="K16" i="52"/>
  <c r="D18" i="52"/>
  <c r="K18" i="52"/>
  <c r="S19" i="50"/>
  <c r="S18" i="50" s="1"/>
  <c r="Q18" i="50"/>
  <c r="K19" i="50"/>
  <c r="D19" i="50"/>
  <c r="E18" i="50"/>
  <c r="S22" i="51"/>
  <c r="S21" i="51" s="1"/>
  <c r="Q21" i="51"/>
  <c r="K12" i="51"/>
  <c r="D12" i="51"/>
  <c r="P17" i="52"/>
  <c r="P11" i="52" s="1"/>
  <c r="P10" i="52" s="1"/>
  <c r="P11" i="51"/>
  <c r="J15" i="52" l="1"/>
  <c r="D14" i="52"/>
  <c r="G15" i="52"/>
  <c r="H15" i="52"/>
  <c r="I15" i="52"/>
  <c r="N11" i="51"/>
  <c r="P14" i="49"/>
  <c r="N17" i="52"/>
  <c r="N11" i="52" s="1"/>
  <c r="P22" i="49"/>
  <c r="U22" i="49" s="1"/>
  <c r="O18" i="52"/>
  <c r="F15" i="51"/>
  <c r="L21" i="51"/>
  <c r="G12" i="51"/>
  <c r="H12" i="51"/>
  <c r="J12" i="51"/>
  <c r="I22" i="51"/>
  <c r="D21" i="51"/>
  <c r="J22" i="51"/>
  <c r="H22" i="51"/>
  <c r="G22" i="51"/>
  <c r="M11" i="53"/>
  <c r="O12" i="53"/>
  <c r="K18" i="50"/>
  <c r="J18" i="52"/>
  <c r="G18" i="52"/>
  <c r="I18" i="52"/>
  <c r="H18" i="52"/>
  <c r="D18" i="50"/>
  <c r="G19" i="50"/>
  <c r="J19" i="50"/>
  <c r="H19" i="50"/>
  <c r="I19" i="50"/>
  <c r="G16" i="52"/>
  <c r="J16" i="52"/>
  <c r="H16" i="52"/>
  <c r="I16" i="52"/>
  <c r="O12" i="51"/>
  <c r="K14" i="52"/>
  <c r="F13" i="50"/>
  <c r="L18" i="50"/>
  <c r="G45" i="59"/>
  <c r="G22" i="59"/>
  <c r="G16" i="59"/>
  <c r="I12" i="51" l="1"/>
  <c r="S12" i="51"/>
  <c r="F38" i="59"/>
  <c r="G39" i="59"/>
  <c r="O18" i="51"/>
  <c r="S18" i="51" s="1"/>
  <c r="O19" i="52"/>
  <c r="S19" i="52" s="1"/>
  <c r="P15" i="49"/>
  <c r="U15" i="49" s="1"/>
  <c r="S12" i="53"/>
  <c r="S11" i="53" s="1"/>
  <c r="O11" i="53"/>
  <c r="M11" i="51"/>
  <c r="O14" i="51"/>
  <c r="S14" i="51" s="1"/>
  <c r="G24" i="59"/>
  <c r="F23" i="59"/>
  <c r="G23" i="59" s="1"/>
  <c r="G14" i="59"/>
  <c r="L15" i="51"/>
  <c r="F10" i="51"/>
  <c r="L10" i="51" s="1"/>
  <c r="F17" i="59"/>
  <c r="G17" i="59" s="1"/>
  <c r="G18" i="59"/>
  <c r="F50" i="59"/>
  <c r="G51" i="59"/>
  <c r="M17" i="52"/>
  <c r="M11" i="52" s="1"/>
  <c r="H18" i="50"/>
  <c r="J18" i="50"/>
  <c r="I18" i="50"/>
  <c r="G18" i="50"/>
  <c r="S18" i="52"/>
  <c r="I14" i="52"/>
  <c r="H14" i="52"/>
  <c r="J14" i="52"/>
  <c r="G14" i="52"/>
  <c r="F10" i="50"/>
  <c r="L10" i="50" s="1"/>
  <c r="L13" i="50"/>
  <c r="G21" i="51"/>
  <c r="H21" i="51"/>
  <c r="I21" i="51"/>
  <c r="J21" i="51"/>
  <c r="C24" i="47" l="1"/>
  <c r="F49" i="59"/>
  <c r="G50" i="59"/>
  <c r="O17" i="52"/>
  <c r="O11" i="52" s="1"/>
  <c r="G38" i="59"/>
  <c r="F37" i="59"/>
  <c r="S17" i="52"/>
  <c r="S11" i="52" s="1"/>
  <c r="O11" i="51"/>
  <c r="T23" i="49"/>
  <c r="T16" i="49" s="1"/>
  <c r="T10" i="49" s="1"/>
  <c r="Q16" i="51"/>
  <c r="Q15" i="51" s="1"/>
  <c r="D21" i="49"/>
  <c r="Q14" i="53"/>
  <c r="Q13" i="53" s="1"/>
  <c r="Q10" i="53" s="1"/>
  <c r="R14" i="53"/>
  <c r="R13" i="53" s="1"/>
  <c r="R10" i="53" s="1"/>
  <c r="Q14" i="50"/>
  <c r="Q13" i="50" s="1"/>
  <c r="S25" i="49"/>
  <c r="S17" i="49"/>
  <c r="S11" i="49"/>
  <c r="E16" i="51" l="1"/>
  <c r="D17" i="51"/>
  <c r="K17" i="51"/>
  <c r="C21" i="47"/>
  <c r="L13" i="49"/>
  <c r="D13" i="49"/>
  <c r="F23" i="49"/>
  <c r="D24" i="49"/>
  <c r="M24" i="49"/>
  <c r="G33" i="59"/>
  <c r="F32" i="59"/>
  <c r="G37" i="59"/>
  <c r="D18" i="49"/>
  <c r="E17" i="49"/>
  <c r="L18" i="49"/>
  <c r="K16" i="53"/>
  <c r="D16" i="53"/>
  <c r="E14" i="53"/>
  <c r="D12" i="49"/>
  <c r="L12" i="49"/>
  <c r="D15" i="50"/>
  <c r="E14" i="50"/>
  <c r="K15" i="50"/>
  <c r="F66" i="59"/>
  <c r="G67" i="59"/>
  <c r="F43" i="59"/>
  <c r="G44" i="59"/>
  <c r="G49" i="59"/>
  <c r="F48" i="59"/>
  <c r="G48" i="59" s="1"/>
  <c r="K37" i="52"/>
  <c r="E36" i="52"/>
  <c r="D37" i="52"/>
  <c r="H21" i="59"/>
  <c r="G21" i="59"/>
  <c r="I21" i="59"/>
  <c r="F20" i="59"/>
  <c r="E25" i="49"/>
  <c r="D26" i="49"/>
  <c r="L26" i="49"/>
  <c r="D15" i="53"/>
  <c r="F14" i="53"/>
  <c r="L15" i="53"/>
  <c r="Q17" i="49"/>
  <c r="R25" i="49"/>
  <c r="R17" i="49"/>
  <c r="O25" i="49"/>
  <c r="N14" i="50"/>
  <c r="N13" i="50" s="1"/>
  <c r="N16" i="51"/>
  <c r="N15" i="51" s="1"/>
  <c r="N10" i="51" s="1"/>
  <c r="N36" i="52"/>
  <c r="N35" i="52" s="1"/>
  <c r="N23" i="52" s="1"/>
  <c r="N10" i="52" s="1"/>
  <c r="O17" i="49"/>
  <c r="P14" i="50"/>
  <c r="P13" i="50" s="1"/>
  <c r="P10" i="50" s="1"/>
  <c r="O23" i="49"/>
  <c r="Q23" i="49"/>
  <c r="Q25" i="49"/>
  <c r="Q19" i="49"/>
  <c r="J21" i="49"/>
  <c r="R23" i="49"/>
  <c r="K21" i="49"/>
  <c r="L21" i="49"/>
  <c r="O11" i="49"/>
  <c r="O17" i="51" l="1"/>
  <c r="M16" i="51"/>
  <c r="M15" i="51" s="1"/>
  <c r="M10" i="51" s="1"/>
  <c r="E35" i="52"/>
  <c r="K36" i="52"/>
  <c r="F65" i="59"/>
  <c r="G66" i="59"/>
  <c r="K24" i="49"/>
  <c r="G24" i="49"/>
  <c r="D23" i="49"/>
  <c r="H24" i="49"/>
  <c r="J24" i="49"/>
  <c r="S19" i="49"/>
  <c r="S16" i="49" s="1"/>
  <c r="S10" i="49" s="1"/>
  <c r="F13" i="53"/>
  <c r="L14" i="53"/>
  <c r="L17" i="49"/>
  <c r="C15" i="57"/>
  <c r="F16" i="49"/>
  <c r="M23" i="49"/>
  <c r="N25" i="49"/>
  <c r="P26" i="49"/>
  <c r="G15" i="53"/>
  <c r="H15" i="53"/>
  <c r="D14" i="53"/>
  <c r="D17" i="49"/>
  <c r="H18" i="49"/>
  <c r="J18" i="49"/>
  <c r="G18" i="49"/>
  <c r="K18" i="49"/>
  <c r="H13" i="49"/>
  <c r="G13" i="49"/>
  <c r="K13" i="49"/>
  <c r="J13" i="49"/>
  <c r="N23" i="49"/>
  <c r="P24" i="49"/>
  <c r="J16" i="53"/>
  <c r="L20" i="49"/>
  <c r="E19" i="49"/>
  <c r="E16" i="49" s="1"/>
  <c r="L16" i="49" s="1"/>
  <c r="D20" i="49"/>
  <c r="O16" i="53"/>
  <c r="D25" i="49"/>
  <c r="G26" i="49"/>
  <c r="K26" i="49"/>
  <c r="J26" i="49"/>
  <c r="H26" i="49"/>
  <c r="E13" i="50"/>
  <c r="K13" i="50" s="1"/>
  <c r="K14" i="50"/>
  <c r="C23" i="57"/>
  <c r="N11" i="49"/>
  <c r="P12" i="49"/>
  <c r="R19" i="49"/>
  <c r="N14" i="53"/>
  <c r="N13" i="53" s="1"/>
  <c r="N10" i="53" s="1"/>
  <c r="P16" i="51"/>
  <c r="P15" i="51" s="1"/>
  <c r="P10" i="51" s="1"/>
  <c r="L25" i="49"/>
  <c r="C18" i="57"/>
  <c r="J15" i="50"/>
  <c r="I15" i="50"/>
  <c r="D14" i="50"/>
  <c r="G15" i="50"/>
  <c r="H15" i="50"/>
  <c r="J15" i="53"/>
  <c r="J37" i="52"/>
  <c r="D36" i="52"/>
  <c r="G37" i="52"/>
  <c r="H37" i="52"/>
  <c r="M14" i="50"/>
  <c r="M13" i="50" s="1"/>
  <c r="O15" i="50"/>
  <c r="M14" i="53"/>
  <c r="M13" i="53" s="1"/>
  <c r="M10" i="53" s="1"/>
  <c r="O15" i="53"/>
  <c r="N17" i="49"/>
  <c r="P18" i="49"/>
  <c r="I18" i="49" s="1"/>
  <c r="R16" i="49"/>
  <c r="F19" i="59"/>
  <c r="G20" i="59"/>
  <c r="G15" i="59"/>
  <c r="F13" i="59"/>
  <c r="H16" i="53"/>
  <c r="G16" i="53"/>
  <c r="P13" i="49"/>
  <c r="U13" i="49" s="1"/>
  <c r="O37" i="52"/>
  <c r="M36" i="52"/>
  <c r="M35" i="52" s="1"/>
  <c r="M23" i="52" s="1"/>
  <c r="M10" i="52" s="1"/>
  <c r="D22" i="52"/>
  <c r="F21" i="52"/>
  <c r="L22" i="52"/>
  <c r="R11" i="49"/>
  <c r="R10" i="49" s="1"/>
  <c r="H21" i="49"/>
  <c r="G43" i="59"/>
  <c r="F42" i="59"/>
  <c r="K12" i="49"/>
  <c r="H12" i="49"/>
  <c r="J12" i="49"/>
  <c r="G12" i="49"/>
  <c r="I12" i="49"/>
  <c r="D16" i="51"/>
  <c r="I17" i="51"/>
  <c r="H17" i="51"/>
  <c r="G17" i="51"/>
  <c r="J17" i="51"/>
  <c r="Q16" i="49"/>
  <c r="C50" i="57"/>
  <c r="K14" i="53"/>
  <c r="E13" i="53"/>
  <c r="K13" i="53" s="1"/>
  <c r="G32" i="59"/>
  <c r="F31" i="59"/>
  <c r="K16" i="51"/>
  <c r="C32" i="57"/>
  <c r="E15" i="51"/>
  <c r="K15" i="51" s="1"/>
  <c r="O19" i="49"/>
  <c r="O16" i="49" s="1"/>
  <c r="O10" i="49" s="1"/>
  <c r="H23" i="49" l="1"/>
  <c r="K23" i="49"/>
  <c r="J23" i="49"/>
  <c r="G23" i="49"/>
  <c r="G36" i="52"/>
  <c r="H36" i="52"/>
  <c r="D35" i="52"/>
  <c r="J36" i="52"/>
  <c r="G25" i="49"/>
  <c r="J25" i="49"/>
  <c r="H25" i="49"/>
  <c r="K25" i="49"/>
  <c r="G31" i="59"/>
  <c r="F25" i="59"/>
  <c r="G25" i="59" s="1"/>
  <c r="L21" i="52"/>
  <c r="F17" i="52"/>
  <c r="I16" i="53"/>
  <c r="S16" i="53"/>
  <c r="F10" i="49"/>
  <c r="M10" i="49" s="1"/>
  <c r="M16" i="49"/>
  <c r="D15" i="51"/>
  <c r="G16" i="51"/>
  <c r="J16" i="51"/>
  <c r="H16" i="51"/>
  <c r="I26" i="49"/>
  <c r="P25" i="49"/>
  <c r="I25" i="49" s="1"/>
  <c r="U26" i="49"/>
  <c r="U25" i="49" s="1"/>
  <c r="D21" i="52"/>
  <c r="I22" i="52"/>
  <c r="J22" i="52"/>
  <c r="G22" i="52"/>
  <c r="H22" i="52"/>
  <c r="P14" i="53"/>
  <c r="P13" i="53" s="1"/>
  <c r="P10" i="53" s="1"/>
  <c r="H20" i="49"/>
  <c r="D19" i="49"/>
  <c r="J20" i="49"/>
  <c r="K20" i="49"/>
  <c r="G20" i="49"/>
  <c r="U18" i="49"/>
  <c r="U17" i="49" s="1"/>
  <c r="P17" i="49"/>
  <c r="P11" i="49"/>
  <c r="U12" i="49"/>
  <c r="L19" i="49"/>
  <c r="C16" i="57"/>
  <c r="C13" i="57"/>
  <c r="C48" i="57"/>
  <c r="O36" i="52"/>
  <c r="O35" i="52" s="1"/>
  <c r="O23" i="52" s="1"/>
  <c r="O10" i="52" s="1"/>
  <c r="S37" i="52"/>
  <c r="S36" i="52" s="1"/>
  <c r="S35" i="52" s="1"/>
  <c r="S23" i="52" s="1"/>
  <c r="N19" i="49"/>
  <c r="N16" i="49" s="1"/>
  <c r="N10" i="49" s="1"/>
  <c r="P20" i="49"/>
  <c r="I15" i="53"/>
  <c r="S15" i="53"/>
  <c r="S14" i="53" s="1"/>
  <c r="S13" i="53" s="1"/>
  <c r="O14" i="53"/>
  <c r="O13" i="53" s="1"/>
  <c r="O10" i="53" s="1"/>
  <c r="C21" i="57"/>
  <c r="F59" i="59"/>
  <c r="G65" i="59"/>
  <c r="U24" i="49"/>
  <c r="U23" i="49" s="1"/>
  <c r="P23" i="49"/>
  <c r="I23" i="49" s="1"/>
  <c r="G17" i="49"/>
  <c r="J17" i="49"/>
  <c r="K17" i="49"/>
  <c r="H17" i="49"/>
  <c r="F10" i="53"/>
  <c r="L10" i="53" s="1"/>
  <c r="L13" i="53"/>
  <c r="G42" i="59"/>
  <c r="F36" i="59"/>
  <c r="G36" i="59" s="1"/>
  <c r="S15" i="50"/>
  <c r="S14" i="50" s="1"/>
  <c r="S13" i="50" s="1"/>
  <c r="C16" i="47" s="1"/>
  <c r="O14" i="50"/>
  <c r="O13" i="50" s="1"/>
  <c r="J14" i="50"/>
  <c r="H14" i="50"/>
  <c r="G14" i="50"/>
  <c r="D13" i="50"/>
  <c r="D13" i="53"/>
  <c r="H14" i="53"/>
  <c r="G14" i="53"/>
  <c r="J14" i="53"/>
  <c r="I14" i="53"/>
  <c r="K35" i="52"/>
  <c r="E23" i="52"/>
  <c r="K23" i="52" s="1"/>
  <c r="I24" i="49"/>
  <c r="C30" i="57"/>
  <c r="I13" i="49"/>
  <c r="P21" i="49"/>
  <c r="G21" i="49"/>
  <c r="G13" i="59"/>
  <c r="F12" i="59"/>
  <c r="I37" i="52"/>
  <c r="O16" i="51"/>
  <c r="O15" i="51" s="1"/>
  <c r="O10" i="51" s="1"/>
  <c r="S17" i="51"/>
  <c r="S16" i="51" s="1"/>
  <c r="S15" i="51" s="1"/>
  <c r="C19" i="47" s="1"/>
  <c r="I20" i="49" l="1"/>
  <c r="U20" i="49"/>
  <c r="P19" i="49"/>
  <c r="I19" i="49" s="1"/>
  <c r="P16" i="49"/>
  <c r="J21" i="52"/>
  <c r="G21" i="52"/>
  <c r="H21" i="52"/>
  <c r="I21" i="52"/>
  <c r="I36" i="52"/>
  <c r="C22" i="47"/>
  <c r="C20" i="47" s="1"/>
  <c r="S10" i="52"/>
  <c r="L17" i="52"/>
  <c r="F11" i="52"/>
  <c r="J35" i="52"/>
  <c r="G35" i="52"/>
  <c r="D23" i="52"/>
  <c r="H35" i="52"/>
  <c r="I35" i="52"/>
  <c r="I16" i="51"/>
  <c r="C25" i="47"/>
  <c r="S10" i="53"/>
  <c r="J13" i="53"/>
  <c r="H13" i="53"/>
  <c r="G13" i="53"/>
  <c r="I13" i="53"/>
  <c r="G59" i="59"/>
  <c r="U21" i="49"/>
  <c r="I21" i="49"/>
  <c r="I14" i="50"/>
  <c r="I17" i="49"/>
  <c r="G12" i="59"/>
  <c r="F11" i="59"/>
  <c r="H19" i="49"/>
  <c r="G19" i="49"/>
  <c r="K19" i="49"/>
  <c r="J19" i="49"/>
  <c r="G13" i="50"/>
  <c r="I13" i="50"/>
  <c r="J13" i="50"/>
  <c r="H13" i="50"/>
  <c r="D16" i="49"/>
  <c r="C20" i="57"/>
  <c r="E11" i="53"/>
  <c r="D12" i="53"/>
  <c r="K12" i="53"/>
  <c r="H15" i="51"/>
  <c r="I15" i="51"/>
  <c r="G15" i="51"/>
  <c r="J15" i="51"/>
  <c r="H20" i="48"/>
  <c r="J20" i="48"/>
  <c r="F20" i="48"/>
  <c r="M17" i="48"/>
  <c r="M12" i="48"/>
  <c r="E20" i="48"/>
  <c r="M15" i="48" l="1"/>
  <c r="C46" i="109"/>
  <c r="D20" i="52"/>
  <c r="K20" i="52"/>
  <c r="E17" i="52"/>
  <c r="C20" i="48"/>
  <c r="M10" i="48"/>
  <c r="C23" i="47"/>
  <c r="M13" i="48"/>
  <c r="K20" i="48"/>
  <c r="K21" i="48" s="1"/>
  <c r="M18" i="48"/>
  <c r="E10" i="54"/>
  <c r="D11" i="54"/>
  <c r="D10" i="54" s="1"/>
  <c r="D11" i="53"/>
  <c r="H12" i="53"/>
  <c r="J12" i="53"/>
  <c r="I12" i="53"/>
  <c r="G12" i="53"/>
  <c r="E21" i="48"/>
  <c r="D13" i="51"/>
  <c r="E11" i="51"/>
  <c r="K11" i="53"/>
  <c r="C47" i="57"/>
  <c r="E10" i="53"/>
  <c r="K10" i="53" s="1"/>
  <c r="G23" i="52"/>
  <c r="J23" i="52"/>
  <c r="H23" i="52"/>
  <c r="I23" i="52"/>
  <c r="I16" i="49"/>
  <c r="F21" i="48"/>
  <c r="H21" i="48"/>
  <c r="F10" i="59"/>
  <c r="F10" i="52"/>
  <c r="L10" i="52" s="1"/>
  <c r="L11" i="52"/>
  <c r="U19" i="49"/>
  <c r="U16" i="49" s="1"/>
  <c r="C13" i="47" s="1"/>
  <c r="J21" i="48"/>
  <c r="H16" i="49"/>
  <c r="G16" i="49"/>
  <c r="J16" i="49"/>
  <c r="K16" i="49"/>
  <c r="H30" i="57"/>
  <c r="D32" i="57"/>
  <c r="D30" i="57" s="1"/>
  <c r="D14" i="49"/>
  <c r="L14" i="49"/>
  <c r="E11" i="49"/>
  <c r="E11" i="50"/>
  <c r="D12" i="50"/>
  <c r="P10" i="49"/>
  <c r="G72" i="34"/>
  <c r="H72" i="34"/>
  <c r="I72" i="34"/>
  <c r="H74" i="34"/>
  <c r="G67" i="34"/>
  <c r="H67" i="34"/>
  <c r="G71" i="34"/>
  <c r="I76" i="34"/>
  <c r="I67" i="34"/>
  <c r="G73" i="34"/>
  <c r="H66" i="34"/>
  <c r="H73" i="34"/>
  <c r="H75" i="34"/>
  <c r="G65" i="34"/>
  <c r="I66" i="34"/>
  <c r="G68" i="34"/>
  <c r="I73" i="34"/>
  <c r="H68" i="34"/>
  <c r="G70" i="34"/>
  <c r="G80" i="34"/>
  <c r="G82" i="34"/>
  <c r="G84" i="34"/>
  <c r="G86" i="34"/>
  <c r="G88" i="34"/>
  <c r="H80" i="34"/>
  <c r="H84" i="34"/>
  <c r="H88" i="34"/>
  <c r="I80" i="34"/>
  <c r="I82" i="34"/>
  <c r="G79" i="34"/>
  <c r="G81" i="34"/>
  <c r="G83" i="34"/>
  <c r="G85" i="34"/>
  <c r="G87" i="34"/>
  <c r="G89" i="34"/>
  <c r="H85" i="34"/>
  <c r="H89" i="34"/>
  <c r="I83" i="34"/>
  <c r="I87" i="34"/>
  <c r="I55" i="34"/>
  <c r="I57" i="34"/>
  <c r="G61" i="34"/>
  <c r="H61" i="34"/>
  <c r="G63" i="34"/>
  <c r="I61" i="34"/>
  <c r="I52" i="34"/>
  <c r="G54" i="34"/>
  <c r="G56" i="34"/>
  <c r="H54" i="34"/>
  <c r="H56" i="34"/>
  <c r="H58" i="34"/>
  <c r="K51" i="34"/>
  <c r="I54" i="34"/>
  <c r="I56" i="34"/>
  <c r="H62" i="34"/>
  <c r="I62" i="34"/>
  <c r="H53" i="34"/>
  <c r="G55" i="34"/>
  <c r="G57" i="34"/>
  <c r="I53" i="34"/>
  <c r="H55" i="34"/>
  <c r="H57" i="34"/>
  <c r="G59" i="34"/>
  <c r="I92" i="34"/>
  <c r="I94" i="34"/>
  <c r="I96" i="34"/>
  <c r="I100" i="34"/>
  <c r="J109" i="34"/>
  <c r="J113" i="34"/>
  <c r="J115" i="34"/>
  <c r="K107" i="34"/>
  <c r="K109" i="34"/>
  <c r="K111" i="34"/>
  <c r="K113" i="34"/>
  <c r="K115" i="34"/>
  <c r="M107" i="34"/>
  <c r="M109" i="34"/>
  <c r="M111" i="34"/>
  <c r="M113" i="34"/>
  <c r="M115" i="34"/>
  <c r="I93" i="34"/>
  <c r="I95" i="34"/>
  <c r="I97" i="34"/>
  <c r="I101" i="34"/>
  <c r="J112" i="34"/>
  <c r="J114" i="34"/>
  <c r="J116" i="34"/>
  <c r="K106" i="34"/>
  <c r="K108" i="34"/>
  <c r="K110" i="34"/>
  <c r="K112" i="34"/>
  <c r="K114" i="34"/>
  <c r="K116" i="34"/>
  <c r="M106" i="34"/>
  <c r="M108" i="34"/>
  <c r="M110" i="34"/>
  <c r="M112" i="34"/>
  <c r="M114" i="34"/>
  <c r="M116" i="34"/>
  <c r="T29" i="25"/>
  <c r="H118" i="34"/>
  <c r="H125" i="34"/>
  <c r="I121" i="34"/>
  <c r="I123" i="34"/>
  <c r="I127" i="34"/>
  <c r="I129" i="34"/>
  <c r="G119" i="34"/>
  <c r="G127" i="34"/>
  <c r="G120" i="34"/>
  <c r="G122" i="34"/>
  <c r="I119" i="34"/>
  <c r="H120" i="34"/>
  <c r="H124" i="34"/>
  <c r="H126" i="34"/>
  <c r="H128" i="34"/>
  <c r="I120" i="34"/>
  <c r="I122" i="34"/>
  <c r="I124" i="34"/>
  <c r="I126" i="34"/>
  <c r="I128" i="34"/>
  <c r="G121" i="34"/>
  <c r="I118" i="34"/>
  <c r="H132" i="34"/>
  <c r="G30" i="25"/>
  <c r="G137" i="34"/>
  <c r="G134" i="34"/>
  <c r="H142" i="34"/>
  <c r="H134" i="34"/>
  <c r="G139" i="34"/>
  <c r="H139" i="34"/>
  <c r="G132" i="34"/>
  <c r="H136" i="34"/>
  <c r="H141" i="34"/>
  <c r="M131" i="34"/>
  <c r="M130" i="34" s="1"/>
  <c r="G136" i="34"/>
  <c r="G141" i="34"/>
  <c r="G133" i="34"/>
  <c r="G138" i="34"/>
  <c r="G140" i="34"/>
  <c r="H30" i="25"/>
  <c r="H138" i="34"/>
  <c r="R30" i="25"/>
  <c r="G143" i="34"/>
  <c r="G135" i="34"/>
  <c r="H143" i="34"/>
  <c r="H135" i="34"/>
  <c r="K30" i="25"/>
  <c r="G142" i="34"/>
  <c r="H147" i="34"/>
  <c r="I147" i="34"/>
  <c r="I156" i="34"/>
  <c r="H149" i="34"/>
  <c r="H158" i="34"/>
  <c r="I149" i="34"/>
  <c r="I153" i="34"/>
  <c r="H155" i="34"/>
  <c r="I155" i="34"/>
  <c r="H148" i="34"/>
  <c r="I150" i="34"/>
  <c r="H152" i="34"/>
  <c r="H154" i="34"/>
  <c r="I16" i="59"/>
  <c r="D18" i="57"/>
  <c r="J47" i="34"/>
  <c r="M48" i="34"/>
  <c r="K50" i="34"/>
  <c r="L41" i="34"/>
  <c r="M50" i="34"/>
  <c r="M41" i="34"/>
  <c r="K43" i="34"/>
  <c r="J45" i="34"/>
  <c r="M43" i="34"/>
  <c r="K45" i="34"/>
  <c r="K47" i="34"/>
  <c r="M47" i="34"/>
  <c r="K42" i="34"/>
  <c r="M45" i="34"/>
  <c r="L47" i="34"/>
  <c r="K49" i="34"/>
  <c r="J40" i="34"/>
  <c r="K40" i="34"/>
  <c r="M49" i="34"/>
  <c r="M40" i="34"/>
  <c r="K41" i="34"/>
  <c r="L50" i="34"/>
  <c r="M42" i="34"/>
  <c r="K44" i="34"/>
  <c r="M46" i="34"/>
  <c r="L44" i="34"/>
  <c r="K46" i="34"/>
  <c r="M44" i="34"/>
  <c r="K48" i="34"/>
  <c r="J50" i="34"/>
  <c r="U27" i="25" s="1"/>
  <c r="L42" i="34"/>
  <c r="L45" i="34"/>
  <c r="L43" i="34"/>
  <c r="L48" i="34"/>
  <c r="L49" i="34"/>
  <c r="L46" i="34"/>
  <c r="L40" i="34"/>
  <c r="I27" i="34"/>
  <c r="H31" i="34"/>
  <c r="G37" i="34"/>
  <c r="H26" i="34"/>
  <c r="G28" i="34"/>
  <c r="H28" i="34"/>
  <c r="G30" i="34"/>
  <c r="I28" i="34"/>
  <c r="H30" i="34"/>
  <c r="H32" i="34"/>
  <c r="I35" i="34"/>
  <c r="I30" i="34"/>
  <c r="I32" i="34"/>
  <c r="H34" i="34"/>
  <c r="G36" i="34"/>
  <c r="G26" i="34"/>
  <c r="M25" i="34"/>
  <c r="I34" i="34"/>
  <c r="I36" i="34"/>
  <c r="G27" i="34"/>
  <c r="G31" i="34"/>
  <c r="D16" i="57"/>
  <c r="I22" i="59"/>
  <c r="I45" i="59"/>
  <c r="K20" i="59"/>
  <c r="I15" i="59"/>
  <c r="H16" i="59"/>
  <c r="H22" i="59"/>
  <c r="H15" i="59"/>
  <c r="H45" i="59"/>
  <c r="D12" i="57"/>
  <c r="L20" i="59"/>
  <c r="I12" i="57"/>
  <c r="K13" i="51"/>
  <c r="Q11" i="50"/>
  <c r="Q10" i="50" s="1"/>
  <c r="H22" i="34" l="1"/>
  <c r="E48" i="34"/>
  <c r="H48" i="34" s="1"/>
  <c r="I19" i="34"/>
  <c r="F45" i="34"/>
  <c r="I45" i="34" s="1"/>
  <c r="O27" i="25"/>
  <c r="M146" i="34"/>
  <c r="I154" i="34"/>
  <c r="D114" i="34"/>
  <c r="G114" i="34" s="1"/>
  <c r="G101" i="34"/>
  <c r="G102" i="34"/>
  <c r="D115" i="34"/>
  <c r="G115" i="34" s="1"/>
  <c r="M51" i="34"/>
  <c r="I86" i="34"/>
  <c r="G74" i="34"/>
  <c r="F30" i="57"/>
  <c r="E10" i="51"/>
  <c r="C29" i="57"/>
  <c r="J48" i="34"/>
  <c r="R27" i="25" s="1"/>
  <c r="R26" i="25" s="1"/>
  <c r="J43" i="34"/>
  <c r="H27" i="25"/>
  <c r="F39" i="34"/>
  <c r="I39" i="34" s="1"/>
  <c r="I13" i="34"/>
  <c r="G148" i="34"/>
  <c r="D31" i="25"/>
  <c r="I158" i="34"/>
  <c r="I31" i="25"/>
  <c r="G152" i="34"/>
  <c r="F30" i="25"/>
  <c r="H122" i="34"/>
  <c r="I125" i="34"/>
  <c r="I99" i="34"/>
  <c r="D112" i="34"/>
  <c r="G112" i="34" s="1"/>
  <c r="G99" i="34"/>
  <c r="I98" i="34"/>
  <c r="G100" i="34"/>
  <c r="D113" i="34"/>
  <c r="G113" i="34" s="1"/>
  <c r="G58" i="34"/>
  <c r="H59" i="34"/>
  <c r="I85" i="34"/>
  <c r="I84" i="34"/>
  <c r="K64" i="34"/>
  <c r="G69" i="34"/>
  <c r="G21" i="57"/>
  <c r="I23" i="57"/>
  <c r="E23" i="57"/>
  <c r="I24" i="34"/>
  <c r="F50" i="34"/>
  <c r="I50" i="34" s="1"/>
  <c r="D110" i="34"/>
  <c r="G110" i="34" s="1"/>
  <c r="G97" i="34"/>
  <c r="D111" i="34"/>
  <c r="G111" i="34" s="1"/>
  <c r="G98" i="34"/>
  <c r="H70" i="34"/>
  <c r="H13" i="51"/>
  <c r="J13" i="51"/>
  <c r="I13" i="51"/>
  <c r="G13" i="51"/>
  <c r="D11" i="51"/>
  <c r="C47" i="109"/>
  <c r="K38" i="59"/>
  <c r="H39" i="59"/>
  <c r="H29" i="34"/>
  <c r="H35" i="34"/>
  <c r="M12" i="34"/>
  <c r="M39" i="34"/>
  <c r="M38" i="34" s="1"/>
  <c r="M117" i="34"/>
  <c r="D108" i="34"/>
  <c r="G108" i="34" s="1"/>
  <c r="G95" i="34"/>
  <c r="G96" i="34"/>
  <c r="D109" i="34"/>
  <c r="G109" i="34" s="1"/>
  <c r="H60" i="34"/>
  <c r="I81" i="34"/>
  <c r="I71" i="34"/>
  <c r="I65" i="34"/>
  <c r="I68" i="34"/>
  <c r="G15" i="34"/>
  <c r="D41" i="34"/>
  <c r="G41" i="34" s="1"/>
  <c r="G147" i="34"/>
  <c r="C31" i="25"/>
  <c r="F50" i="22" s="1"/>
  <c r="J146" i="34"/>
  <c r="E49" i="34"/>
  <c r="H49" i="34" s="1"/>
  <c r="H23" i="34"/>
  <c r="E40" i="34"/>
  <c r="H40" i="34" s="1"/>
  <c r="H14" i="34"/>
  <c r="L43" i="59"/>
  <c r="I44" i="59"/>
  <c r="H27" i="34"/>
  <c r="H33" i="34"/>
  <c r="F44" i="34"/>
  <c r="I44" i="34" s="1"/>
  <c r="I18" i="34"/>
  <c r="F40" i="34"/>
  <c r="I40" i="34" s="1"/>
  <c r="I14" i="34"/>
  <c r="K27" i="25"/>
  <c r="E45" i="34"/>
  <c r="H45" i="34" s="1"/>
  <c r="H19" i="34"/>
  <c r="G154" i="34"/>
  <c r="M31" i="25"/>
  <c r="D30" i="25"/>
  <c r="G129" i="34"/>
  <c r="J117" i="34"/>
  <c r="C29" i="25"/>
  <c r="D106" i="34"/>
  <c r="G106" i="34" s="1"/>
  <c r="G93" i="34"/>
  <c r="K105" i="34"/>
  <c r="K104" i="34" s="1"/>
  <c r="K91" i="34"/>
  <c r="G94" i="34"/>
  <c r="D107" i="34"/>
  <c r="G107" i="34" s="1"/>
  <c r="I79" i="34"/>
  <c r="K77" i="34"/>
  <c r="I78" i="34"/>
  <c r="I75" i="34"/>
  <c r="G76" i="34"/>
  <c r="L25" i="34"/>
  <c r="E42" i="34"/>
  <c r="H42" i="34" s="1"/>
  <c r="H16" i="34"/>
  <c r="L38" i="59"/>
  <c r="I39" i="59"/>
  <c r="I33" i="34"/>
  <c r="L146" i="34"/>
  <c r="H151" i="34"/>
  <c r="U29" i="25"/>
  <c r="R29" i="25"/>
  <c r="U28" i="25"/>
  <c r="H103" i="34"/>
  <c r="E116" i="34"/>
  <c r="H116" i="34" s="1"/>
  <c r="T28" i="25"/>
  <c r="H102" i="34"/>
  <c r="E115" i="34"/>
  <c r="H115" i="34" s="1"/>
  <c r="G53" i="34"/>
  <c r="I63" i="34"/>
  <c r="L77" i="34"/>
  <c r="M20" i="48"/>
  <c r="M21" i="48"/>
  <c r="C21" i="48"/>
  <c r="H20" i="34"/>
  <c r="E46" i="34"/>
  <c r="H46" i="34" s="1"/>
  <c r="I157" i="34"/>
  <c r="I31" i="34"/>
  <c r="J42" i="34"/>
  <c r="G27" i="25" s="1"/>
  <c r="G26" i="25" s="1"/>
  <c r="K13" i="59"/>
  <c r="H14" i="59"/>
  <c r="H37" i="34"/>
  <c r="I37" i="34"/>
  <c r="H13" i="34"/>
  <c r="E39" i="34"/>
  <c r="H39" i="34" s="1"/>
  <c r="H21" i="34"/>
  <c r="E47" i="34"/>
  <c r="H47" i="34" s="1"/>
  <c r="G31" i="25"/>
  <c r="G150" i="34"/>
  <c r="U31" i="25"/>
  <c r="G158" i="34"/>
  <c r="U30" i="25"/>
  <c r="O29" i="25"/>
  <c r="M29" i="25"/>
  <c r="H127" i="34"/>
  <c r="R28" i="25"/>
  <c r="E114" i="34"/>
  <c r="H114" i="34" s="1"/>
  <c r="H101" i="34"/>
  <c r="O28" i="25"/>
  <c r="E113" i="34"/>
  <c r="H113" i="34" s="1"/>
  <c r="H100" i="34"/>
  <c r="H52" i="34"/>
  <c r="H87" i="34"/>
  <c r="H86" i="34"/>
  <c r="G75" i="34"/>
  <c r="M64" i="34"/>
  <c r="H69" i="34"/>
  <c r="K12" i="50"/>
  <c r="K17" i="52"/>
  <c r="E11" i="52"/>
  <c r="I29" i="34"/>
  <c r="D15" i="57"/>
  <c r="D13" i="57" s="1"/>
  <c r="H13" i="57"/>
  <c r="H11" i="57" s="1"/>
  <c r="G22" i="34"/>
  <c r="D48" i="34"/>
  <c r="G48" i="34" s="1"/>
  <c r="J25" i="34"/>
  <c r="H31" i="25"/>
  <c r="G151" i="34"/>
  <c r="E41" i="34"/>
  <c r="H41" i="34" s="1"/>
  <c r="H15" i="34"/>
  <c r="D50" i="34"/>
  <c r="G50" i="34" s="1"/>
  <c r="G24" i="34"/>
  <c r="L13" i="59"/>
  <c r="I14" i="59"/>
  <c r="D11" i="57"/>
  <c r="L17" i="59"/>
  <c r="I17" i="59" s="1"/>
  <c r="I18" i="59"/>
  <c r="H36" i="34"/>
  <c r="K25" i="34"/>
  <c r="G32" i="34"/>
  <c r="L39" i="34"/>
  <c r="L38" i="34" s="1"/>
  <c r="L12" i="34"/>
  <c r="I17" i="34"/>
  <c r="F43" i="34"/>
  <c r="I43" i="34" s="1"/>
  <c r="D27" i="25"/>
  <c r="D40" i="34"/>
  <c r="G40" i="34" s="1"/>
  <c r="G14" i="34"/>
  <c r="G21" i="34"/>
  <c r="D47" i="34"/>
  <c r="G47" i="34" s="1"/>
  <c r="H150" i="34"/>
  <c r="G153" i="34"/>
  <c r="K31" i="25"/>
  <c r="K146" i="34"/>
  <c r="M30" i="25"/>
  <c r="T30" i="25"/>
  <c r="I30" i="25"/>
  <c r="C30" i="25"/>
  <c r="J131" i="34"/>
  <c r="J130" i="34" s="1"/>
  <c r="L117" i="34"/>
  <c r="K29" i="25"/>
  <c r="G126" i="34"/>
  <c r="G125" i="34"/>
  <c r="I29" i="25"/>
  <c r="M28" i="25"/>
  <c r="E112" i="34"/>
  <c r="H112" i="34" s="1"/>
  <c r="H99" i="34"/>
  <c r="J111" i="34"/>
  <c r="K28" i="25" s="1"/>
  <c r="E111" i="34"/>
  <c r="H111" i="34" s="1"/>
  <c r="H98" i="34"/>
  <c r="L51" i="34"/>
  <c r="I59" i="34"/>
  <c r="J12" i="50"/>
  <c r="D11" i="50"/>
  <c r="K17" i="59"/>
  <c r="H17" i="59" s="1"/>
  <c r="H18" i="59"/>
  <c r="G16" i="34"/>
  <c r="D42" i="34"/>
  <c r="G42" i="34" s="1"/>
  <c r="K19" i="59"/>
  <c r="H20" i="59"/>
  <c r="U26" i="25"/>
  <c r="I15" i="34"/>
  <c r="F41" i="34"/>
  <c r="I41" i="34" s="1"/>
  <c r="J44" i="34"/>
  <c r="I27" i="25" s="1"/>
  <c r="I26" i="25" s="1"/>
  <c r="G13" i="34"/>
  <c r="D39" i="34"/>
  <c r="G39" i="34" s="1"/>
  <c r="H140" i="34"/>
  <c r="H137" i="34"/>
  <c r="F29" i="25"/>
  <c r="H29" i="25"/>
  <c r="G124" i="34"/>
  <c r="H119" i="34"/>
  <c r="G29" i="25"/>
  <c r="H123" i="34"/>
  <c r="J110" i="34"/>
  <c r="I28" i="25" s="1"/>
  <c r="E110" i="34"/>
  <c r="H110" i="34" s="1"/>
  <c r="H97" i="34"/>
  <c r="H28" i="25"/>
  <c r="E109" i="34"/>
  <c r="H109" i="34" s="1"/>
  <c r="H96" i="34"/>
  <c r="I60" i="34"/>
  <c r="H83" i="34"/>
  <c r="H82" i="34"/>
  <c r="J64" i="34"/>
  <c r="I70" i="34"/>
  <c r="K11" i="50"/>
  <c r="E10" i="50"/>
  <c r="K10" i="50" s="1"/>
  <c r="H11" i="53"/>
  <c r="D10" i="53"/>
  <c r="J11" i="53"/>
  <c r="I11" i="53"/>
  <c r="G11" i="53"/>
  <c r="H20" i="52"/>
  <c r="G20" i="52"/>
  <c r="I20" i="52"/>
  <c r="J20" i="52"/>
  <c r="D17" i="52"/>
  <c r="L23" i="59"/>
  <c r="I23" i="59" s="1"/>
  <c r="I24" i="59"/>
  <c r="H153" i="34"/>
  <c r="H133" i="34"/>
  <c r="G118" i="34"/>
  <c r="D29" i="25"/>
  <c r="H121" i="34"/>
  <c r="J108" i="34"/>
  <c r="G28" i="25" s="1"/>
  <c r="H95" i="34"/>
  <c r="E108" i="34"/>
  <c r="H108" i="34" s="1"/>
  <c r="J107" i="34"/>
  <c r="F28" i="25"/>
  <c r="E107" i="34"/>
  <c r="H107" i="34" s="1"/>
  <c r="H94" i="34"/>
  <c r="G62" i="34"/>
  <c r="J51" i="34"/>
  <c r="H81" i="34"/>
  <c r="L64" i="34"/>
  <c r="H76" i="34"/>
  <c r="E10" i="49"/>
  <c r="L10" i="49" s="1"/>
  <c r="L11" i="49"/>
  <c r="C12" i="57"/>
  <c r="D44" i="34"/>
  <c r="G44" i="34" s="1"/>
  <c r="G18" i="34"/>
  <c r="S13" i="51"/>
  <c r="S11" i="51" s="1"/>
  <c r="Q11" i="51"/>
  <c r="Q10" i="51" s="1"/>
  <c r="I18" i="57"/>
  <c r="E18" i="57"/>
  <c r="D46" i="34"/>
  <c r="G46" i="34" s="1"/>
  <c r="G20" i="34"/>
  <c r="D45" i="34"/>
  <c r="G45" i="34" s="1"/>
  <c r="G19" i="34"/>
  <c r="T31" i="25"/>
  <c r="G157" i="34"/>
  <c r="I148" i="34"/>
  <c r="H21" i="57"/>
  <c r="H20" i="57" s="1"/>
  <c r="D23" i="57"/>
  <c r="D21" i="57" s="1"/>
  <c r="G35" i="34"/>
  <c r="E50" i="34"/>
  <c r="H50" i="34" s="1"/>
  <c r="H24" i="34"/>
  <c r="K39" i="34"/>
  <c r="K38" i="34" s="1"/>
  <c r="K12" i="34"/>
  <c r="K11" i="34" s="1"/>
  <c r="I16" i="34"/>
  <c r="F42" i="34"/>
  <c r="I42" i="34" s="1"/>
  <c r="H17" i="34"/>
  <c r="E43" i="34"/>
  <c r="H43" i="34" s="1"/>
  <c r="G156" i="34"/>
  <c r="R31" i="25"/>
  <c r="G13" i="57"/>
  <c r="I15" i="57"/>
  <c r="E15" i="57"/>
  <c r="I16" i="57"/>
  <c r="E16" i="57"/>
  <c r="G29" i="34"/>
  <c r="I26" i="34"/>
  <c r="G33" i="34"/>
  <c r="F48" i="34"/>
  <c r="I48" i="34" s="1"/>
  <c r="I22" i="34"/>
  <c r="F46" i="34"/>
  <c r="I46" i="34" s="1"/>
  <c r="I20" i="34"/>
  <c r="H18" i="34"/>
  <c r="E44" i="34"/>
  <c r="H44" i="34" s="1"/>
  <c r="I23" i="34"/>
  <c r="F49" i="34"/>
  <c r="I49" i="34" s="1"/>
  <c r="G23" i="34"/>
  <c r="D49" i="34"/>
  <c r="G49" i="34" s="1"/>
  <c r="J41" i="34"/>
  <c r="F27" i="25" s="1"/>
  <c r="F26" i="25" s="1"/>
  <c r="H157" i="34"/>
  <c r="I151" i="34"/>
  <c r="K131" i="34"/>
  <c r="K130" i="34" s="1"/>
  <c r="K117" i="34"/>
  <c r="G123" i="34"/>
  <c r="L91" i="34"/>
  <c r="L90" i="34" s="1"/>
  <c r="J106" i="34"/>
  <c r="D28" i="25" s="1"/>
  <c r="H93" i="34"/>
  <c r="E106" i="34"/>
  <c r="H106" i="34" s="1"/>
  <c r="M105" i="34"/>
  <c r="M104" i="34" s="1"/>
  <c r="M91" i="34"/>
  <c r="J91" i="34"/>
  <c r="J105" i="34"/>
  <c r="E105" i="34"/>
  <c r="H105" i="34" s="1"/>
  <c r="H92" i="34"/>
  <c r="G60" i="34"/>
  <c r="H79" i="34"/>
  <c r="M77" i="34"/>
  <c r="J77" i="34"/>
  <c r="H78" i="34"/>
  <c r="H71" i="34"/>
  <c r="I74" i="34"/>
  <c r="H65" i="34"/>
  <c r="C46" i="57"/>
  <c r="C46" i="65"/>
  <c r="G30" i="57"/>
  <c r="G28" i="57" s="1"/>
  <c r="I32" i="57"/>
  <c r="E32" i="57"/>
  <c r="K23" i="59"/>
  <c r="H23" i="59" s="1"/>
  <c r="H24" i="59"/>
  <c r="O30" i="25"/>
  <c r="I20" i="59"/>
  <c r="L19" i="59"/>
  <c r="I19" i="59" s="1"/>
  <c r="U14" i="49"/>
  <c r="U11" i="49" s="1"/>
  <c r="Q11" i="49"/>
  <c r="Q10" i="49" s="1"/>
  <c r="G34" i="34"/>
  <c r="D43" i="34"/>
  <c r="G43" i="34" s="1"/>
  <c r="G17" i="34"/>
  <c r="J46" i="34"/>
  <c r="M27" i="25"/>
  <c r="M26" i="25" s="1"/>
  <c r="J49" i="34"/>
  <c r="T27" i="25"/>
  <c r="T26" i="25" s="1"/>
  <c r="F47" i="34"/>
  <c r="I47" i="34" s="1"/>
  <c r="I21" i="34"/>
  <c r="J12" i="34"/>
  <c r="J39" i="34"/>
  <c r="I152" i="34"/>
  <c r="O31" i="25"/>
  <c r="G155" i="34"/>
  <c r="G149" i="34"/>
  <c r="F31" i="25"/>
  <c r="H156" i="34"/>
  <c r="G128" i="34"/>
  <c r="H129" i="34"/>
  <c r="I103" i="34"/>
  <c r="D116" i="34"/>
  <c r="G116" i="34" s="1"/>
  <c r="G103" i="34"/>
  <c r="I102" i="34"/>
  <c r="D105" i="34"/>
  <c r="G105" i="34" s="1"/>
  <c r="G92" i="34"/>
  <c r="G52" i="34"/>
  <c r="I58" i="34"/>
  <c r="H63" i="34"/>
  <c r="I89" i="34"/>
  <c r="I88" i="34"/>
  <c r="G78" i="34"/>
  <c r="G66" i="34"/>
  <c r="I69" i="34"/>
  <c r="J14" i="49"/>
  <c r="K14" i="49"/>
  <c r="G14" i="49"/>
  <c r="I14" i="49"/>
  <c r="H14" i="49"/>
  <c r="D11" i="49"/>
  <c r="F14" i="124"/>
  <c r="D14" i="124" s="1"/>
  <c r="F43" i="25" l="1"/>
  <c r="F39" i="25" s="1"/>
  <c r="F10" i="25"/>
  <c r="R43" i="25"/>
  <c r="R39" i="25" s="1"/>
  <c r="R10" i="25"/>
  <c r="I43" i="25"/>
  <c r="I39" i="25" s="1"/>
  <c r="I10" i="25"/>
  <c r="G43" i="25"/>
  <c r="G39" i="25" s="1"/>
  <c r="G10" i="25"/>
  <c r="L50" i="59"/>
  <c r="I51" i="59"/>
  <c r="L32" i="59"/>
  <c r="I33" i="59"/>
  <c r="J282" i="56"/>
  <c r="G307" i="56"/>
  <c r="G282" i="56" s="1"/>
  <c r="J38" i="34"/>
  <c r="J11" i="34" s="1"/>
  <c r="C12" i="47"/>
  <c r="U10" i="49"/>
  <c r="K50" i="59"/>
  <c r="H51" i="59"/>
  <c r="E12" i="57"/>
  <c r="C11" i="57"/>
  <c r="J11" i="50"/>
  <c r="D10" i="50"/>
  <c r="J10" i="50" s="1"/>
  <c r="K12" i="59"/>
  <c r="H13" i="59"/>
  <c r="C47" i="65"/>
  <c r="G10" i="53"/>
  <c r="H10" i="53"/>
  <c r="J10" i="53"/>
  <c r="I10" i="53"/>
  <c r="K32" i="59"/>
  <c r="H33" i="59"/>
  <c r="I31" i="47"/>
  <c r="E30" i="47"/>
  <c r="E50" i="109" s="1"/>
  <c r="E50" i="65" s="1"/>
  <c r="P49" i="70" s="1"/>
  <c r="Q49" i="70" s="1"/>
  <c r="M90" i="34"/>
  <c r="U10" i="25"/>
  <c r="U43" i="25"/>
  <c r="U39" i="25" s="1"/>
  <c r="L37" i="59"/>
  <c r="I38" i="59"/>
  <c r="K90" i="34"/>
  <c r="K10" i="34" s="1"/>
  <c r="K26" i="25"/>
  <c r="D10" i="51"/>
  <c r="J11" i="51"/>
  <c r="I11" i="51"/>
  <c r="H11" i="51"/>
  <c r="G11" i="51"/>
  <c r="H26" i="25"/>
  <c r="O50" i="22"/>
  <c r="D25" i="73"/>
  <c r="E25" i="73" s="1"/>
  <c r="G20" i="57"/>
  <c r="I21" i="57"/>
  <c r="E21" i="57"/>
  <c r="T10" i="25"/>
  <c r="T43" i="25"/>
  <c r="T39" i="25" s="1"/>
  <c r="D13" i="47"/>
  <c r="I13" i="47" s="1"/>
  <c r="H19" i="59"/>
  <c r="F11" i="57"/>
  <c r="I29" i="57"/>
  <c r="D29" i="57"/>
  <c r="D28" i="57" s="1"/>
  <c r="F28" i="57" s="1"/>
  <c r="H28" i="57"/>
  <c r="I28" i="57" s="1"/>
  <c r="I32" i="47"/>
  <c r="C30" i="47"/>
  <c r="F13" i="57"/>
  <c r="F48" i="22"/>
  <c r="C10" i="127"/>
  <c r="F49" i="22"/>
  <c r="D26" i="25"/>
  <c r="L12" i="59"/>
  <c r="I13" i="59"/>
  <c r="I11" i="49"/>
  <c r="H11" i="49"/>
  <c r="G11" i="49"/>
  <c r="K11" i="49"/>
  <c r="J11" i="49"/>
  <c r="D10" i="49"/>
  <c r="K11" i="52"/>
  <c r="E10" i="52"/>
  <c r="K10" i="52" s="1"/>
  <c r="M11" i="34"/>
  <c r="M10" i="34" s="1"/>
  <c r="K11" i="51"/>
  <c r="C28" i="57"/>
  <c r="E28" i="57" s="1"/>
  <c r="E29" i="57"/>
  <c r="O26" i="25"/>
  <c r="I30" i="57"/>
  <c r="E30" i="57"/>
  <c r="J281" i="56"/>
  <c r="J302" i="56"/>
  <c r="G306" i="56"/>
  <c r="G281" i="56" s="1"/>
  <c r="G11" i="57"/>
  <c r="I13" i="57"/>
  <c r="E13" i="47" s="1"/>
  <c r="E13" i="57"/>
  <c r="L11" i="34"/>
  <c r="L10" i="34" s="1"/>
  <c r="K10" i="51"/>
  <c r="M43" i="25"/>
  <c r="M39" i="25" s="1"/>
  <c r="M10" i="25"/>
  <c r="D45" i="70"/>
  <c r="E45" i="70" s="1"/>
  <c r="F21" i="57"/>
  <c r="D20" i="57"/>
  <c r="F20" i="57" s="1"/>
  <c r="S10" i="51"/>
  <c r="C18" i="47"/>
  <c r="L42" i="59"/>
  <c r="I42" i="59" s="1"/>
  <c r="I43" i="59"/>
  <c r="K43" i="59"/>
  <c r="H44" i="59"/>
  <c r="J415" i="56"/>
  <c r="J423" i="56"/>
  <c r="J416" i="56" s="1"/>
  <c r="G427" i="56"/>
  <c r="C27" i="25"/>
  <c r="J104" i="34"/>
  <c r="J90" i="34" s="1"/>
  <c r="K37" i="59"/>
  <c r="H38" i="59"/>
  <c r="C28" i="25"/>
  <c r="F47" i="22" s="1"/>
  <c r="I17" i="52"/>
  <c r="G17" i="52"/>
  <c r="J17" i="52"/>
  <c r="H17" i="52"/>
  <c r="D11" i="52"/>
  <c r="G10" i="126"/>
  <c r="H10" i="126"/>
  <c r="C30" i="128"/>
  <c r="C23" i="128"/>
  <c r="C21" i="128" s="1"/>
  <c r="C10" i="128" s="1"/>
  <c r="C67" i="109"/>
  <c r="F16" i="124"/>
  <c r="D16" i="124" s="1"/>
  <c r="C66" i="65" l="1"/>
  <c r="O67" i="109"/>
  <c r="D18" i="47"/>
  <c r="H37" i="59"/>
  <c r="J277" i="56"/>
  <c r="J295" i="56"/>
  <c r="G302" i="56"/>
  <c r="D23" i="73"/>
  <c r="E23" i="73" s="1"/>
  <c r="O48" i="22"/>
  <c r="H10" i="51"/>
  <c r="J10" i="51"/>
  <c r="I10" i="51"/>
  <c r="G10" i="51"/>
  <c r="L31" i="59"/>
  <c r="I32" i="59"/>
  <c r="K10" i="25"/>
  <c r="K43" i="25"/>
  <c r="K39" i="25" s="1"/>
  <c r="C10" i="57"/>
  <c r="E11" i="57"/>
  <c r="F46" i="22"/>
  <c r="C26" i="25"/>
  <c r="C43" i="25" s="1"/>
  <c r="C50" i="109"/>
  <c r="I30" i="47"/>
  <c r="L49" i="59"/>
  <c r="I50" i="59"/>
  <c r="G423" i="56"/>
  <c r="G415" i="56"/>
  <c r="F45" i="70"/>
  <c r="E19" i="47"/>
  <c r="G11" i="124"/>
  <c r="F13" i="124"/>
  <c r="D10" i="52"/>
  <c r="H11" i="52"/>
  <c r="I11" i="52"/>
  <c r="J11" i="52"/>
  <c r="G11" i="52"/>
  <c r="C11" i="126"/>
  <c r="O10" i="25"/>
  <c r="O43" i="25"/>
  <c r="O39" i="25" s="1"/>
  <c r="I20" i="57"/>
  <c r="E20" i="57"/>
  <c r="E18" i="47"/>
  <c r="I18" i="47" s="1"/>
  <c r="L36" i="59"/>
  <c r="I36" i="59" s="1"/>
  <c r="I37" i="59"/>
  <c r="K49" i="59"/>
  <c r="H50" i="59"/>
  <c r="F25" i="73"/>
  <c r="D46" i="70"/>
  <c r="E46" i="70" s="1"/>
  <c r="L11" i="59"/>
  <c r="I12" i="59"/>
  <c r="E12" i="47"/>
  <c r="E11" i="47" s="1"/>
  <c r="K42" i="59"/>
  <c r="H43" i="59"/>
  <c r="D10" i="25"/>
  <c r="D43" i="25"/>
  <c r="D39" i="25" s="1"/>
  <c r="H10" i="25"/>
  <c r="H43" i="25"/>
  <c r="H39" i="25" s="1"/>
  <c r="K11" i="59"/>
  <c r="D12" i="47"/>
  <c r="D11" i="47" s="1"/>
  <c r="H12" i="59"/>
  <c r="C11" i="47"/>
  <c r="D22" i="73"/>
  <c r="E22" i="73" s="1"/>
  <c r="O47" i="22"/>
  <c r="D24" i="73"/>
  <c r="E24" i="73" s="1"/>
  <c r="O49" i="22"/>
  <c r="R49" i="70"/>
  <c r="J10" i="34"/>
  <c r="J411" i="56"/>
  <c r="J404" i="56" s="1"/>
  <c r="J331" i="56"/>
  <c r="J327" i="56" s="1"/>
  <c r="J320" i="56" s="1"/>
  <c r="D22" i="47" s="1"/>
  <c r="I22" i="47" s="1"/>
  <c r="F11" i="126"/>
  <c r="F10" i="126" s="1"/>
  <c r="D12" i="1" s="1"/>
  <c r="O12" i="50"/>
  <c r="M11" i="50"/>
  <c r="G12" i="50"/>
  <c r="C17" i="47"/>
  <c r="I11" i="57"/>
  <c r="N11" i="50"/>
  <c r="H12" i="50"/>
  <c r="G10" i="49"/>
  <c r="I10" i="49"/>
  <c r="K10" i="49"/>
  <c r="J10" i="49"/>
  <c r="H10" i="49"/>
  <c r="K31" i="59"/>
  <c r="H32" i="59"/>
  <c r="F18" i="124"/>
  <c r="E21" i="47" l="1"/>
  <c r="E20" i="47" s="1"/>
  <c r="E46" i="109" s="1"/>
  <c r="E46" i="65" s="1"/>
  <c r="P45" i="70" s="1"/>
  <c r="Q45" i="70" s="1"/>
  <c r="L48" i="59"/>
  <c r="I48" i="59" s="1"/>
  <c r="I49" i="59"/>
  <c r="D43" i="109"/>
  <c r="D43" i="65" s="1"/>
  <c r="J42" i="70" s="1"/>
  <c r="K42" i="70" s="1"/>
  <c r="K25" i="59"/>
  <c r="H25" i="59" s="1"/>
  <c r="D16" i="47"/>
  <c r="H31" i="59"/>
  <c r="F24" i="73"/>
  <c r="K48" i="59"/>
  <c r="H48" i="59" s="1"/>
  <c r="H49" i="59"/>
  <c r="O50" i="109"/>
  <c r="C50" i="65"/>
  <c r="J10" i="52"/>
  <c r="H10" i="52"/>
  <c r="I10" i="52"/>
  <c r="G10" i="52"/>
  <c r="W43" i="25"/>
  <c r="F22" i="73"/>
  <c r="K36" i="59"/>
  <c r="H36" i="59" s="1"/>
  <c r="D19" i="47"/>
  <c r="I19" i="47" s="1"/>
  <c r="H42" i="59"/>
  <c r="D13" i="124"/>
  <c r="D11" i="124" s="1"/>
  <c r="D10" i="124" s="1"/>
  <c r="F11" i="124"/>
  <c r="D21" i="73"/>
  <c r="E21" i="73" s="1"/>
  <c r="F45" i="22"/>
  <c r="O46" i="22"/>
  <c r="F23" i="73"/>
  <c r="C45" i="109"/>
  <c r="S12" i="50"/>
  <c r="S11" i="50" s="1"/>
  <c r="O11" i="50"/>
  <c r="I12" i="50"/>
  <c r="E17" i="47"/>
  <c r="E45" i="109" s="1"/>
  <c r="E45" i="65" s="1"/>
  <c r="P44" i="70" s="1"/>
  <c r="Q44" i="70" s="1"/>
  <c r="M10" i="50"/>
  <c r="G10" i="50" s="1"/>
  <c r="G11" i="50"/>
  <c r="I12" i="47"/>
  <c r="E43" i="109"/>
  <c r="E43" i="65" s="1"/>
  <c r="P42" i="70" s="1"/>
  <c r="Q42" i="70" s="1"/>
  <c r="C43" i="109"/>
  <c r="I11" i="47"/>
  <c r="D11" i="1"/>
  <c r="J12" i="1"/>
  <c r="I11" i="59"/>
  <c r="J270" i="56"/>
  <c r="J269" i="56" s="1"/>
  <c r="J10" i="56" s="1"/>
  <c r="G277" i="56"/>
  <c r="H11" i="59"/>
  <c r="F46" i="70"/>
  <c r="G331" i="56"/>
  <c r="G327" i="56" s="1"/>
  <c r="G411" i="56"/>
  <c r="C10" i="126"/>
  <c r="E10" i="126" s="1"/>
  <c r="E11" i="126"/>
  <c r="E16" i="47"/>
  <c r="E14" i="47" s="1"/>
  <c r="E44" i="109" s="1"/>
  <c r="E44" i="65" s="1"/>
  <c r="P43" i="70" s="1"/>
  <c r="Q43" i="70" s="1"/>
  <c r="L25" i="59"/>
  <c r="I25" i="59" s="1"/>
  <c r="I31" i="59"/>
  <c r="D18" i="124"/>
  <c r="D17" i="124" s="1"/>
  <c r="F17" i="124"/>
  <c r="G17" i="124" s="1"/>
  <c r="G10" i="124" s="1"/>
  <c r="C29" i="47" s="1"/>
  <c r="N10" i="50"/>
  <c r="H10" i="50" s="1"/>
  <c r="H11" i="50"/>
  <c r="K66" i="65"/>
  <c r="D65" i="70"/>
  <c r="E65" i="70" s="1"/>
  <c r="I29" i="47" l="1"/>
  <c r="C49" i="109"/>
  <c r="R42" i="70"/>
  <c r="D17" i="47"/>
  <c r="F28" i="109"/>
  <c r="O45" i="22"/>
  <c r="D14" i="47"/>
  <c r="I16" i="47"/>
  <c r="F21" i="73"/>
  <c r="R44" i="70"/>
  <c r="F10" i="124"/>
  <c r="R43" i="70"/>
  <c r="K50" i="65"/>
  <c r="D49" i="70"/>
  <c r="E49" i="70" s="1"/>
  <c r="L42" i="70"/>
  <c r="D52" i="109"/>
  <c r="J11" i="1"/>
  <c r="O10" i="50"/>
  <c r="I10" i="50" s="1"/>
  <c r="I11" i="50"/>
  <c r="C43" i="65"/>
  <c r="O43" i="109"/>
  <c r="C45" i="65"/>
  <c r="D21" i="47"/>
  <c r="F65" i="70"/>
  <c r="C15" i="47"/>
  <c r="S10" i="50"/>
  <c r="R45" i="70"/>
  <c r="D44" i="109" l="1"/>
  <c r="D44" i="65" s="1"/>
  <c r="J43" i="70" s="1"/>
  <c r="K43" i="70" s="1"/>
  <c r="G10" i="127"/>
  <c r="E11" i="127"/>
  <c r="D20" i="47"/>
  <c r="I21" i="47"/>
  <c r="F49" i="70"/>
  <c r="F11" i="129"/>
  <c r="D23" i="1"/>
  <c r="J23" i="1" s="1"/>
  <c r="D22" i="128"/>
  <c r="F28" i="65"/>
  <c r="K28" i="65" s="1"/>
  <c r="O28" i="109"/>
  <c r="D45" i="109"/>
  <c r="I17" i="47"/>
  <c r="D22" i="1"/>
  <c r="F10" i="129"/>
  <c r="D44" i="70"/>
  <c r="E44" i="70" s="1"/>
  <c r="H21" i="128"/>
  <c r="E22" i="128"/>
  <c r="D13" i="46"/>
  <c r="D52" i="65"/>
  <c r="O52" i="109"/>
  <c r="K43" i="65"/>
  <c r="D42" i="70"/>
  <c r="E42" i="70" s="1"/>
  <c r="F22" i="128"/>
  <c r="I21" i="128"/>
  <c r="G10" i="129"/>
  <c r="E22" i="1"/>
  <c r="E21" i="1" s="1"/>
  <c r="E55" i="109" s="1"/>
  <c r="E55" i="65" s="1"/>
  <c r="P54" i="70" s="1"/>
  <c r="Q54" i="70" s="1"/>
  <c r="F10" i="127"/>
  <c r="D11" i="127"/>
  <c r="D12" i="43"/>
  <c r="O49" i="109"/>
  <c r="C49" i="65"/>
  <c r="D27" i="128"/>
  <c r="E11" i="43"/>
  <c r="G30" i="128"/>
  <c r="D30" i="128" s="1"/>
  <c r="D31" i="128"/>
  <c r="I15" i="47"/>
  <c r="C14" i="47"/>
  <c r="F12" i="43"/>
  <c r="E36" i="38" s="1"/>
  <c r="J36" i="38" s="1"/>
  <c r="D11" i="46"/>
  <c r="E14" i="43"/>
  <c r="C46" i="38"/>
  <c r="E38" i="38"/>
  <c r="J38" i="38" s="1"/>
  <c r="E37" i="38"/>
  <c r="J37" i="38" s="1"/>
  <c r="E23" i="43"/>
  <c r="D12" i="46"/>
  <c r="E39" i="38"/>
  <c r="J39" i="38" s="1"/>
  <c r="D16" i="1" l="1"/>
  <c r="D10" i="127"/>
  <c r="R54" i="70"/>
  <c r="E21" i="128"/>
  <c r="H10" i="128"/>
  <c r="I10" i="128"/>
  <c r="F21" i="128"/>
  <c r="F44" i="70"/>
  <c r="G23" i="128"/>
  <c r="F42" i="70"/>
  <c r="F21" i="43"/>
  <c r="E42" i="38" s="1"/>
  <c r="J42" i="38" s="1"/>
  <c r="J46" i="38"/>
  <c r="C39" i="109"/>
  <c r="E22" i="43"/>
  <c r="D21" i="1"/>
  <c r="J22" i="1"/>
  <c r="D48" i="70"/>
  <c r="E48" i="70" s="1"/>
  <c r="K49" i="65"/>
  <c r="E16" i="43"/>
  <c r="D46" i="109"/>
  <c r="I20" i="47"/>
  <c r="E40" i="38"/>
  <c r="J40" i="38" s="1"/>
  <c r="E19" i="43"/>
  <c r="D45" i="65"/>
  <c r="O45" i="109"/>
  <c r="E10" i="46"/>
  <c r="C45" i="38" s="1"/>
  <c r="E13" i="43"/>
  <c r="J51" i="70"/>
  <c r="K51" i="70" s="1"/>
  <c r="K52" i="65"/>
  <c r="E18" i="43"/>
  <c r="E16" i="1"/>
  <c r="E15" i="1" s="1"/>
  <c r="E10" i="127"/>
  <c r="E12" i="43"/>
  <c r="E35" i="38"/>
  <c r="F10" i="43"/>
  <c r="I14" i="47"/>
  <c r="C44" i="109"/>
  <c r="C10" i="47"/>
  <c r="E17" i="43"/>
  <c r="L43" i="70"/>
  <c r="C53" i="11"/>
  <c r="P22" i="12"/>
  <c r="K41" i="12"/>
  <c r="K15" i="12"/>
  <c r="K42" i="12"/>
  <c r="K19" i="12"/>
  <c r="K26" i="12"/>
  <c r="F28" i="15"/>
  <c r="E31" i="15"/>
  <c r="K13" i="12"/>
  <c r="K40" i="12"/>
  <c r="K52" i="12"/>
  <c r="P34" i="12"/>
  <c r="E50" i="15"/>
  <c r="K37" i="12"/>
  <c r="F13" i="33"/>
  <c r="L40" i="12" l="1"/>
  <c r="N40" i="12"/>
  <c r="P40" i="12" s="1"/>
  <c r="R40" i="12" s="1"/>
  <c r="S40" i="12" s="1"/>
  <c r="T40" i="12" s="1"/>
  <c r="D23" i="128"/>
  <c r="G21" i="128"/>
  <c r="E64" i="132"/>
  <c r="H64" i="132"/>
  <c r="C31" i="22" s="1"/>
  <c r="H47" i="15"/>
  <c r="G50" i="15"/>
  <c r="H50" i="15" s="1"/>
  <c r="Q47" i="12"/>
  <c r="F41" i="15"/>
  <c r="L13" i="12"/>
  <c r="N13" i="12"/>
  <c r="P13" i="12" s="1"/>
  <c r="R13" i="12" s="1"/>
  <c r="S13" i="12" s="1"/>
  <c r="T13" i="12" s="1"/>
  <c r="K16" i="12"/>
  <c r="F48" i="70"/>
  <c r="H25" i="15"/>
  <c r="Q25" i="12"/>
  <c r="Q42" i="12"/>
  <c r="H42" i="15"/>
  <c r="Q35" i="12"/>
  <c r="H35" i="15"/>
  <c r="L51" i="70"/>
  <c r="N26" i="12"/>
  <c r="P26" i="12" s="1"/>
  <c r="L26" i="12"/>
  <c r="K24" i="12"/>
  <c r="K47" i="12"/>
  <c r="H24" i="15"/>
  <c r="Q24" i="12"/>
  <c r="C42" i="109"/>
  <c r="J21" i="1"/>
  <c r="D55" i="109"/>
  <c r="G31" i="15"/>
  <c r="H22" i="15"/>
  <c r="Q22" i="12"/>
  <c r="C44" i="65"/>
  <c r="O44" i="109"/>
  <c r="J45" i="38"/>
  <c r="C10" i="38"/>
  <c r="C38" i="109"/>
  <c r="E19" i="1"/>
  <c r="E18" i="1" s="1"/>
  <c r="E54" i="109" s="1"/>
  <c r="E54" i="65" s="1"/>
  <c r="P53" i="70" s="1"/>
  <c r="F10" i="128"/>
  <c r="L52" i="12"/>
  <c r="N52" i="12"/>
  <c r="D19" i="1"/>
  <c r="D18" i="1" s="1"/>
  <c r="D54" i="109" s="1"/>
  <c r="D54" i="65" s="1"/>
  <c r="J53" i="70" s="1"/>
  <c r="E10" i="128"/>
  <c r="C13" i="25"/>
  <c r="C12" i="25" s="1"/>
  <c r="C11" i="25" s="1"/>
  <c r="G12" i="33"/>
  <c r="G11" i="33" s="1"/>
  <c r="G10" i="33" s="1"/>
  <c r="L19" i="12"/>
  <c r="N19" i="12"/>
  <c r="P19" i="12" s="1"/>
  <c r="R19" i="12" s="1"/>
  <c r="S19" i="12" s="1"/>
  <c r="T19" i="12" s="1"/>
  <c r="Q26" i="12"/>
  <c r="R26" i="12" s="1"/>
  <c r="S26" i="12" s="1"/>
  <c r="T26" i="12" s="1"/>
  <c r="H26" i="15"/>
  <c r="H28" i="15"/>
  <c r="Q28" i="12"/>
  <c r="I50" i="15"/>
  <c r="F50" i="15" s="1"/>
  <c r="F47" i="15"/>
  <c r="K35" i="12"/>
  <c r="K28" i="12"/>
  <c r="I45" i="15"/>
  <c r="F35" i="15"/>
  <c r="J44" i="70"/>
  <c r="K44" i="70" s="1"/>
  <c r="K45" i="65"/>
  <c r="Q41" i="12"/>
  <c r="H41" i="15"/>
  <c r="H35" i="132"/>
  <c r="C24" i="22" s="1"/>
  <c r="H39" i="132"/>
  <c r="H45" i="132"/>
  <c r="H42" i="132" s="1"/>
  <c r="H36" i="132"/>
  <c r="C25" i="42"/>
  <c r="Q34" i="12"/>
  <c r="G45" i="15"/>
  <c r="H45" i="15" s="1"/>
  <c r="H34" i="15"/>
  <c r="J35" i="38"/>
  <c r="E34" i="38"/>
  <c r="C39" i="65"/>
  <c r="O39" i="109"/>
  <c r="Q37" i="12"/>
  <c r="H37" i="15"/>
  <c r="F26" i="15"/>
  <c r="I31" i="15"/>
  <c r="L15" i="12"/>
  <c r="N15" i="12"/>
  <c r="P15" i="12" s="1"/>
  <c r="R15" i="12" s="1"/>
  <c r="S15" i="12" s="1"/>
  <c r="T15" i="12" s="1"/>
  <c r="K21" i="12"/>
  <c r="K20" i="12"/>
  <c r="K25" i="12"/>
  <c r="F42" i="15"/>
  <c r="L41" i="12"/>
  <c r="N41" i="12"/>
  <c r="P41" i="12" s="1"/>
  <c r="R41" i="12" s="1"/>
  <c r="S41" i="12" s="1"/>
  <c r="T41" i="12" s="1"/>
  <c r="E45" i="15"/>
  <c r="E55" i="15" s="1"/>
  <c r="D46" i="65"/>
  <c r="O46" i="109"/>
  <c r="L37" i="12"/>
  <c r="N37" i="12"/>
  <c r="P37" i="12" s="1"/>
  <c r="R37" i="12" s="1"/>
  <c r="S37" i="12" s="1"/>
  <c r="T37" i="12" s="1"/>
  <c r="K11" i="12"/>
  <c r="K17" i="12"/>
  <c r="L42" i="12"/>
  <c r="N42" i="12"/>
  <c r="P42" i="12" s="1"/>
  <c r="E10" i="1"/>
  <c r="E51" i="109" s="1"/>
  <c r="E51" i="65" s="1"/>
  <c r="P50" i="70" s="1"/>
  <c r="Q50" i="70" s="1"/>
  <c r="E53" i="109"/>
  <c r="E53" i="65" s="1"/>
  <c r="P52" i="70" s="1"/>
  <c r="Q52" i="70" s="1"/>
  <c r="J16" i="1"/>
  <c r="D15" i="1"/>
  <c r="E33" i="132"/>
  <c r="K22" i="132"/>
  <c r="L22" i="132"/>
  <c r="I164" i="34"/>
  <c r="F28" i="33"/>
  <c r="J163" i="34"/>
  <c r="K163" i="34"/>
  <c r="K173" i="34"/>
  <c r="K170" i="34" s="1"/>
  <c r="K165" i="34" s="1"/>
  <c r="M163" i="34"/>
  <c r="M162" i="34" s="1"/>
  <c r="L163" i="34"/>
  <c r="L162" i="34" s="1"/>
  <c r="R34" i="41"/>
  <c r="H20" i="41"/>
  <c r="H15" i="41" s="1"/>
  <c r="H10" i="41" s="1"/>
  <c r="H48" i="41" s="1"/>
  <c r="N20" i="41"/>
  <c r="N15" i="41" s="1"/>
  <c r="N10" i="41" s="1"/>
  <c r="R35" i="41"/>
  <c r="R36" i="41"/>
  <c r="J20" i="41"/>
  <c r="J15" i="41" s="1"/>
  <c r="J10" i="41" s="1"/>
  <c r="J48" i="41" s="1"/>
  <c r="R37" i="41"/>
  <c r="I28" i="41"/>
  <c r="I27" i="41" s="1"/>
  <c r="L20" i="41"/>
  <c r="L15" i="41" s="1"/>
  <c r="L10" i="41" s="1"/>
  <c r="J28" i="41"/>
  <c r="J27" i="41" s="1"/>
  <c r="J30" i="41"/>
  <c r="K28" i="41"/>
  <c r="K27" i="41" s="1"/>
  <c r="K30" i="41"/>
  <c r="R22" i="41"/>
  <c r="L28" i="41"/>
  <c r="L27" i="41" s="1"/>
  <c r="L30" i="41"/>
  <c r="O28" i="41"/>
  <c r="O27" i="41" s="1"/>
  <c r="Q28" i="41"/>
  <c r="Q27" i="41" s="1"/>
  <c r="N30" i="41"/>
  <c r="N48" i="41" s="1"/>
  <c r="N49" i="41" s="1"/>
  <c r="O30" i="41"/>
  <c r="O48" i="41" s="1"/>
  <c r="R33" i="41"/>
  <c r="Q30" i="41"/>
  <c r="Q48" i="41" s="1"/>
  <c r="Q49" i="41" s="1"/>
  <c r="G22" i="40"/>
  <c r="E22" i="41" s="1"/>
  <c r="G29" i="40"/>
  <c r="E29" i="41" s="1"/>
  <c r="G23" i="40"/>
  <c r="E23" i="41" s="1"/>
  <c r="G26" i="40"/>
  <c r="E26" i="41" s="1"/>
  <c r="G21" i="40"/>
  <c r="E21" i="41" s="1"/>
  <c r="J49" i="41"/>
  <c r="K49" i="41"/>
  <c r="L49" i="41"/>
  <c r="V47" i="41"/>
  <c r="C81" i="10"/>
  <c r="C104" i="10"/>
  <c r="H98" i="132"/>
  <c r="C58" i="22" s="1"/>
  <c r="G28" i="39"/>
  <c r="G27" i="39" s="1"/>
  <c r="D19" i="38" s="1"/>
  <c r="J19" i="38" s="1"/>
  <c r="G45" i="39"/>
  <c r="K28" i="40"/>
  <c r="K27" i="40" s="1"/>
  <c r="D29" i="38" s="1"/>
  <c r="C22" i="22"/>
  <c r="O22" i="22" s="1"/>
  <c r="K20" i="40"/>
  <c r="K15" i="40" s="1"/>
  <c r="G25" i="39"/>
  <c r="G24" i="39" s="1"/>
  <c r="D18" i="38" s="1"/>
  <c r="J18" i="38" s="1"/>
  <c r="K25" i="40"/>
  <c r="K24" i="40" s="1"/>
  <c r="D28" i="38" s="1"/>
  <c r="J28" i="38" s="1"/>
  <c r="K45" i="40"/>
  <c r="G39" i="39"/>
  <c r="X30" i="41"/>
  <c r="E30" i="38" s="1"/>
  <c r="Y17" i="25"/>
  <c r="Y16" i="25" s="1"/>
  <c r="C32" i="40" l="1"/>
  <c r="F32" i="39"/>
  <c r="C32" i="41"/>
  <c r="J22" i="132"/>
  <c r="E18" i="22"/>
  <c r="R32" i="41"/>
  <c r="AJ18" i="25"/>
  <c r="AJ16" i="25" s="1"/>
  <c r="I31" i="22"/>
  <c r="C50" i="10"/>
  <c r="C29" i="40"/>
  <c r="F29" i="39"/>
  <c r="C29" i="41"/>
  <c r="C28" i="41" s="1"/>
  <c r="C27" i="41" s="1"/>
  <c r="C28" i="39"/>
  <c r="R29" i="41"/>
  <c r="F28" i="41"/>
  <c r="F31" i="15"/>
  <c r="I55" i="15"/>
  <c r="F55" i="15" s="1"/>
  <c r="L28" i="12"/>
  <c r="N28" i="12"/>
  <c r="P28" i="12" s="1"/>
  <c r="R28" i="12" s="1"/>
  <c r="S28" i="12" s="1"/>
  <c r="T28" i="12" s="1"/>
  <c r="J45" i="70"/>
  <c r="K45" i="70" s="1"/>
  <c r="K46" i="65"/>
  <c r="L35" i="12"/>
  <c r="N35" i="12"/>
  <c r="H31" i="15"/>
  <c r="G55" i="15"/>
  <c r="H55" i="15" s="1"/>
  <c r="F98" i="10"/>
  <c r="G98" i="10"/>
  <c r="C25" i="39"/>
  <c r="C26" i="41"/>
  <c r="C25" i="41" s="1"/>
  <c r="C24" i="41" s="1"/>
  <c r="C26" i="40"/>
  <c r="F26" i="39"/>
  <c r="F20" i="41"/>
  <c r="R21" i="41"/>
  <c r="J15" i="1"/>
  <c r="D53" i="109"/>
  <c r="D10" i="1"/>
  <c r="N54" i="12"/>
  <c r="C13" i="13" s="1"/>
  <c r="D13" i="13" s="1"/>
  <c r="P52" i="12"/>
  <c r="D55" i="65"/>
  <c r="O55" i="109"/>
  <c r="Q50" i="12"/>
  <c r="D27" i="38"/>
  <c r="K10" i="40"/>
  <c r="F14" i="45"/>
  <c r="F10" i="45" s="1"/>
  <c r="F23" i="39"/>
  <c r="C23" i="41"/>
  <c r="U23" i="41" s="1"/>
  <c r="C23" i="40"/>
  <c r="J23" i="40" s="1"/>
  <c r="M20" i="41"/>
  <c r="M15" i="41" s="1"/>
  <c r="M10" i="41" s="1"/>
  <c r="M25" i="41"/>
  <c r="R26" i="41"/>
  <c r="K162" i="34"/>
  <c r="E73" i="132"/>
  <c r="R52" i="70"/>
  <c r="C21" i="10"/>
  <c r="C30" i="10"/>
  <c r="F84" i="10"/>
  <c r="G84" i="10"/>
  <c r="G20" i="39"/>
  <c r="G15" i="39" s="1"/>
  <c r="I35" i="132"/>
  <c r="I45" i="132"/>
  <c r="I42" i="132" s="1"/>
  <c r="C100" i="10"/>
  <c r="C112" i="10"/>
  <c r="C111" i="10" s="1"/>
  <c r="C45" i="39"/>
  <c r="F45" i="39" s="1"/>
  <c r="C46" i="40"/>
  <c r="F46" i="39"/>
  <c r="C46" i="41"/>
  <c r="C45" i="41" s="1"/>
  <c r="I20" i="41"/>
  <c r="I15" i="41" s="1"/>
  <c r="I10" i="41" s="1"/>
  <c r="J162" i="34"/>
  <c r="I53" i="22"/>
  <c r="AJ34" i="25"/>
  <c r="R50" i="70"/>
  <c r="D38" i="70"/>
  <c r="E38" i="70" s="1"/>
  <c r="K39" i="65"/>
  <c r="C42" i="65"/>
  <c r="C22" i="10"/>
  <c r="X20" i="41"/>
  <c r="U21" i="41"/>
  <c r="C16" i="10"/>
  <c r="F22" i="39"/>
  <c r="C22" i="41"/>
  <c r="C22" i="40"/>
  <c r="J22" i="40" s="1"/>
  <c r="R46" i="41"/>
  <c r="M45" i="41"/>
  <c r="R45" i="41" s="1"/>
  <c r="E63" i="132"/>
  <c r="N25" i="12"/>
  <c r="P25" i="12" s="1"/>
  <c r="R25" i="12" s="1"/>
  <c r="S25" i="12" s="1"/>
  <c r="T25" i="12" s="1"/>
  <c r="L25" i="12"/>
  <c r="J34" i="38"/>
  <c r="E33" i="38"/>
  <c r="C38" i="65"/>
  <c r="O38" i="109"/>
  <c r="R42" i="12"/>
  <c r="S42" i="12" s="1"/>
  <c r="T42" i="12" s="1"/>
  <c r="K30" i="40"/>
  <c r="D30" i="38" s="1"/>
  <c r="J30" i="38" s="1"/>
  <c r="H48" i="57"/>
  <c r="D50" i="57"/>
  <c r="D48" i="57" s="1"/>
  <c r="F48" i="57" s="1"/>
  <c r="K39" i="40"/>
  <c r="O58" i="22"/>
  <c r="C57" i="22"/>
  <c r="C27" i="10"/>
  <c r="C15" i="10" s="1"/>
  <c r="C26" i="10"/>
  <c r="W47" i="41"/>
  <c r="C43" i="40"/>
  <c r="C43" i="41"/>
  <c r="F43" i="39"/>
  <c r="C39" i="39"/>
  <c r="F39" i="39" s="1"/>
  <c r="F26" i="33"/>
  <c r="F25" i="33"/>
  <c r="H164" i="34"/>
  <c r="F46" i="132"/>
  <c r="E46" i="132"/>
  <c r="L20" i="12"/>
  <c r="N20" i="12"/>
  <c r="P20" i="12" s="1"/>
  <c r="R20" i="12" s="1"/>
  <c r="S20" i="12" s="1"/>
  <c r="T20" i="12" s="1"/>
  <c r="C31" i="109"/>
  <c r="C15" i="39"/>
  <c r="C21" i="41"/>
  <c r="F21" i="39"/>
  <c r="C21" i="40"/>
  <c r="C38" i="41"/>
  <c r="U38" i="41" s="1"/>
  <c r="C38" i="40"/>
  <c r="J38" i="40" s="1"/>
  <c r="R38" i="41"/>
  <c r="I30" i="41"/>
  <c r="I48" i="41" s="1"/>
  <c r="I49" i="41" s="1"/>
  <c r="F27" i="45"/>
  <c r="N17" i="12"/>
  <c r="P17" i="12" s="1"/>
  <c r="R17" i="12" s="1"/>
  <c r="S17" i="12" s="1"/>
  <c r="T17" i="12" s="1"/>
  <c r="L17" i="12"/>
  <c r="L21" i="12"/>
  <c r="N21" i="12"/>
  <c r="P21" i="12" s="1"/>
  <c r="R21" i="12" s="1"/>
  <c r="S21" i="12" s="1"/>
  <c r="T21" i="12" s="1"/>
  <c r="N47" i="12"/>
  <c r="L47" i="12"/>
  <c r="D21" i="128"/>
  <c r="G10" i="128"/>
  <c r="Y41" i="25"/>
  <c r="Y39" i="25" s="1"/>
  <c r="Y10" i="25"/>
  <c r="C30" i="22"/>
  <c r="H52" i="132"/>
  <c r="E31" i="38"/>
  <c r="J31" i="38" s="1"/>
  <c r="C36" i="22"/>
  <c r="H72" i="132"/>
  <c r="C29" i="10"/>
  <c r="G69" i="10"/>
  <c r="F69" i="10"/>
  <c r="C68" i="10"/>
  <c r="C60" i="10" s="1"/>
  <c r="C40" i="10"/>
  <c r="C36" i="41"/>
  <c r="F36" i="39"/>
  <c r="C36" i="40"/>
  <c r="J36" i="40" s="1"/>
  <c r="C37" i="41"/>
  <c r="C37" i="40"/>
  <c r="J37" i="40" s="1"/>
  <c r="F37" i="39"/>
  <c r="G164" i="34"/>
  <c r="G23" i="132"/>
  <c r="E23" i="132"/>
  <c r="F23" i="132"/>
  <c r="N11" i="12"/>
  <c r="L11" i="12"/>
  <c r="L44" i="70"/>
  <c r="L24" i="12"/>
  <c r="N24" i="12"/>
  <c r="P24" i="12" s="1"/>
  <c r="R24" i="12" s="1"/>
  <c r="S24" i="12" s="1"/>
  <c r="T24" i="12" s="1"/>
  <c r="G120" i="10"/>
  <c r="F120" i="10"/>
  <c r="C103" i="10"/>
  <c r="I54" i="22"/>
  <c r="AJ35" i="25"/>
  <c r="L66" i="59"/>
  <c r="I67" i="59"/>
  <c r="U29" i="41"/>
  <c r="X28" i="41"/>
  <c r="C17" i="22"/>
  <c r="C102" i="10"/>
  <c r="C105" i="10"/>
  <c r="C23" i="10"/>
  <c r="C34" i="41"/>
  <c r="F34" i="39"/>
  <c r="C34" i="40"/>
  <c r="J34" i="40" s="1"/>
  <c r="F35" i="39"/>
  <c r="C35" i="41"/>
  <c r="C35" i="40"/>
  <c r="J35" i="40" s="1"/>
  <c r="R23" i="41"/>
  <c r="K20" i="41"/>
  <c r="K15" i="41" s="1"/>
  <c r="K10" i="41" s="1"/>
  <c r="K48" i="41" s="1"/>
  <c r="R43" i="41"/>
  <c r="M39" i="41"/>
  <c r="R39" i="41" s="1"/>
  <c r="F21" i="45"/>
  <c r="G24" i="132"/>
  <c r="R34" i="12"/>
  <c r="Q45" i="12"/>
  <c r="D43" i="70"/>
  <c r="E43" i="70" s="1"/>
  <c r="K44" i="65"/>
  <c r="X17" i="25"/>
  <c r="X16" i="25" s="1"/>
  <c r="G24" i="33"/>
  <c r="G23" i="33" s="1"/>
  <c r="G22" i="33" s="1"/>
  <c r="G30" i="39"/>
  <c r="D20" i="38" s="1"/>
  <c r="J20" i="38" s="1"/>
  <c r="C12" i="10"/>
  <c r="C96" i="10"/>
  <c r="C88" i="10" s="1"/>
  <c r="F33" i="39"/>
  <c r="C33" i="40"/>
  <c r="J33" i="40" s="1"/>
  <c r="C33" i="41"/>
  <c r="L48" i="41"/>
  <c r="F45" i="15"/>
  <c r="C10" i="25"/>
  <c r="C40" i="25"/>
  <c r="Q31" i="12"/>
  <c r="R22" i="12"/>
  <c r="S22" i="12" s="1"/>
  <c r="T22" i="12" s="1"/>
  <c r="L16" i="12"/>
  <c r="N16" i="12"/>
  <c r="P16" i="12" s="1"/>
  <c r="R16" i="12" s="1"/>
  <c r="S16" i="12" s="1"/>
  <c r="T16" i="12" s="1"/>
  <c r="C99" i="11"/>
  <c r="D16" i="20"/>
  <c r="C10" i="20"/>
  <c r="M9" i="20" s="1"/>
  <c r="L9" i="20" s="1"/>
  <c r="G24" i="114"/>
  <c r="E38" i="7"/>
  <c r="F23" i="114"/>
  <c r="G26" i="114"/>
  <c r="G23" i="114"/>
  <c r="F14" i="114"/>
  <c r="F26" i="114"/>
  <c r="K32" i="114"/>
  <c r="H14" i="114"/>
  <c r="F25" i="114"/>
  <c r="D14" i="16"/>
  <c r="G30" i="114"/>
  <c r="G12" i="114"/>
  <c r="F11" i="16"/>
  <c r="D13" i="16"/>
  <c r="I27" i="114"/>
  <c r="J27" i="114"/>
  <c r="G25" i="114"/>
  <c r="F24" i="114"/>
  <c r="E15" i="16"/>
  <c r="E35" i="114"/>
  <c r="H35" i="114" s="1"/>
  <c r="I70" i="132"/>
  <c r="I67" i="132" s="1"/>
  <c r="H70" i="132"/>
  <c r="H67" i="132" s="1"/>
  <c r="C34" i="22" s="1"/>
  <c r="J70" i="132"/>
  <c r="J67" i="132" s="1"/>
  <c r="H50" i="132"/>
  <c r="H47" i="132" s="1"/>
  <c r="C26" i="22" s="1"/>
  <c r="O26" i="22" s="1"/>
  <c r="F91" i="10"/>
  <c r="G94" i="10"/>
  <c r="E61" i="10"/>
  <c r="E16" i="132"/>
  <c r="E16" i="20"/>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D21" i="38" l="1"/>
  <c r="D33" i="109" s="1"/>
  <c r="D22" i="38"/>
  <c r="L45" i="70"/>
  <c r="C28" i="40"/>
  <c r="J29" i="40"/>
  <c r="N62" i="109"/>
  <c r="H30" i="8"/>
  <c r="J81" i="10"/>
  <c r="E27" i="7" s="1"/>
  <c r="G82" i="10"/>
  <c r="J61" i="9"/>
  <c r="C27" i="22"/>
  <c r="C13" i="10"/>
  <c r="K38" i="65"/>
  <c r="D37" i="70"/>
  <c r="E37" i="70" s="1"/>
  <c r="D24" i="22"/>
  <c r="I22" i="132"/>
  <c r="I62" i="9"/>
  <c r="J81" i="9"/>
  <c r="G48" i="57"/>
  <c r="I50" i="57"/>
  <c r="E50" i="57"/>
  <c r="J38" i="9"/>
  <c r="E20" i="7" s="1"/>
  <c r="G11" i="16"/>
  <c r="E12" i="16"/>
  <c r="D19" i="16"/>
  <c r="F18" i="16"/>
  <c r="D18" i="16" s="1"/>
  <c r="L24" i="114"/>
  <c r="L21" i="114" s="1"/>
  <c r="E23" i="19"/>
  <c r="E29" i="19" s="1"/>
  <c r="C58" i="7"/>
  <c r="C17" i="19"/>
  <c r="C11" i="19"/>
  <c r="C16" i="19"/>
  <c r="F43" i="70"/>
  <c r="E35" i="109"/>
  <c r="J33" i="38"/>
  <c r="AJ33" i="25"/>
  <c r="AJ44" i="25" s="1"/>
  <c r="D17" i="38"/>
  <c r="G10" i="39"/>
  <c r="C25" i="40"/>
  <c r="J26" i="40"/>
  <c r="V14" i="73"/>
  <c r="I27" i="22"/>
  <c r="F33" i="10"/>
  <c r="I23" i="10"/>
  <c r="F23" i="10" s="1"/>
  <c r="H31" i="9"/>
  <c r="C19" i="7" s="1"/>
  <c r="H45" i="9"/>
  <c r="C21" i="7" s="1"/>
  <c r="I26" i="8"/>
  <c r="H30" i="10"/>
  <c r="E31" i="10"/>
  <c r="H21" i="10"/>
  <c r="H119" i="9"/>
  <c r="H118" i="9" s="1"/>
  <c r="J65" i="9"/>
  <c r="J12" i="9"/>
  <c r="H38" i="9"/>
  <c r="C20" i="7" s="1"/>
  <c r="I47" i="57"/>
  <c r="E24" i="47" s="1"/>
  <c r="I24" i="47" s="1"/>
  <c r="E47" i="57"/>
  <c r="I65" i="9"/>
  <c r="D34" i="22"/>
  <c r="D27" i="22" s="1"/>
  <c r="D25" i="109" s="1"/>
  <c r="D25" i="65" s="1"/>
  <c r="J25" i="70" s="1"/>
  <c r="K25" i="70" s="1"/>
  <c r="I52" i="132"/>
  <c r="F22" i="114"/>
  <c r="I21" i="114"/>
  <c r="C44" i="7" s="1"/>
  <c r="O57" i="22"/>
  <c r="C30" i="109"/>
  <c r="V27" i="73"/>
  <c r="W27" i="73" s="1"/>
  <c r="I52" i="22"/>
  <c r="O53" i="22"/>
  <c r="R25" i="41"/>
  <c r="M24" i="41"/>
  <c r="R24" i="41" s="1"/>
  <c r="AJ41" i="25"/>
  <c r="AJ39" i="25" s="1"/>
  <c r="AJ10" i="25"/>
  <c r="H50" i="10"/>
  <c r="E51" i="10"/>
  <c r="H112" i="10"/>
  <c r="H111" i="10" s="1"/>
  <c r="H100" i="10"/>
  <c r="E113" i="10"/>
  <c r="D47" i="57"/>
  <c r="D46" i="57" s="1"/>
  <c r="H46" i="57"/>
  <c r="H10" i="57" s="1"/>
  <c r="F41" i="10"/>
  <c r="I40" i="10"/>
  <c r="G97" i="10"/>
  <c r="J96" i="10"/>
  <c r="J14" i="10" s="1"/>
  <c r="I38" i="9"/>
  <c r="D20" i="7" s="1"/>
  <c r="I60" i="10"/>
  <c r="F61" i="10"/>
  <c r="I10" i="20"/>
  <c r="E53" i="7" s="1"/>
  <c r="F11" i="20"/>
  <c r="G17" i="10"/>
  <c r="J16" i="10"/>
  <c r="E25" i="7" s="1"/>
  <c r="G89" i="10"/>
  <c r="J88" i="10"/>
  <c r="E28" i="7" s="1"/>
  <c r="I96" i="10"/>
  <c r="I14" i="10" s="1"/>
  <c r="F97" i="10"/>
  <c r="J17" i="9"/>
  <c r="E17" i="7" s="1"/>
  <c r="J11" i="9"/>
  <c r="J24" i="9"/>
  <c r="E18" i="7" s="1"/>
  <c r="J66" i="8"/>
  <c r="H38" i="114"/>
  <c r="G11" i="114"/>
  <c r="F35" i="114"/>
  <c r="I32" i="114"/>
  <c r="I31" i="114" s="1"/>
  <c r="C45" i="7" s="1"/>
  <c r="S34" i="12"/>
  <c r="T34" i="12" s="1"/>
  <c r="P11" i="12"/>
  <c r="N31" i="12"/>
  <c r="D10" i="128"/>
  <c r="C19" i="1"/>
  <c r="J54" i="70"/>
  <c r="K54" i="70" s="1"/>
  <c r="K55" i="65"/>
  <c r="F25" i="39"/>
  <c r="C24" i="39"/>
  <c r="F24" i="39" s="1"/>
  <c r="M30" i="41"/>
  <c r="R30" i="41" s="1"/>
  <c r="I102" i="10"/>
  <c r="F102" i="10" s="1"/>
  <c r="I105" i="10"/>
  <c r="F108" i="10"/>
  <c r="F36" i="10"/>
  <c r="I26" i="10"/>
  <c r="J67" i="9"/>
  <c r="J60" i="9"/>
  <c r="G35" i="114"/>
  <c r="J32" i="114"/>
  <c r="J60" i="10"/>
  <c r="G61" i="10"/>
  <c r="I16" i="10"/>
  <c r="D25" i="7" s="1"/>
  <c r="F17" i="10"/>
  <c r="F89" i="10"/>
  <c r="I88" i="10"/>
  <c r="D28" i="7" s="1"/>
  <c r="G51" i="10"/>
  <c r="J50" i="10"/>
  <c r="H102" i="10"/>
  <c r="E102" i="10" s="1"/>
  <c r="H105" i="10"/>
  <c r="E108" i="10"/>
  <c r="J26" i="8"/>
  <c r="I30" i="8"/>
  <c r="J13" i="9"/>
  <c r="J45" i="9"/>
  <c r="E21" i="7" s="1"/>
  <c r="D15" i="16"/>
  <c r="F11" i="114"/>
  <c r="I10" i="114"/>
  <c r="C43" i="7" s="1"/>
  <c r="G18" i="16"/>
  <c r="E18" i="16" s="1"/>
  <c r="E19" i="16"/>
  <c r="G18" i="114"/>
  <c r="J16" i="114"/>
  <c r="C14" i="20"/>
  <c r="M10" i="20" s="1"/>
  <c r="L10" i="20" s="1"/>
  <c r="L65" i="59"/>
  <c r="I66" i="59"/>
  <c r="X15" i="41"/>
  <c r="R52" i="12"/>
  <c r="P54" i="12"/>
  <c r="G31" i="10"/>
  <c r="J21" i="10"/>
  <c r="K66" i="59"/>
  <c r="H67" i="59"/>
  <c r="C39" i="25"/>
  <c r="W40" i="25"/>
  <c r="X10" i="25"/>
  <c r="X41" i="25"/>
  <c r="U28" i="41"/>
  <c r="X27" i="41"/>
  <c r="H29" i="10"/>
  <c r="E69" i="10"/>
  <c r="H68" i="10"/>
  <c r="H60" i="10" s="1"/>
  <c r="I30" i="10"/>
  <c r="I21" i="10"/>
  <c r="F31" i="10"/>
  <c r="E34" i="22"/>
  <c r="E27" i="22" s="1"/>
  <c r="E25" i="109" s="1"/>
  <c r="E25" i="65" s="1"/>
  <c r="P25" i="70" s="1"/>
  <c r="Q25" i="70" s="1"/>
  <c r="J52" i="132"/>
  <c r="I81" i="10"/>
  <c r="D27" i="7" s="1"/>
  <c r="F82" i="10"/>
  <c r="H103" i="10"/>
  <c r="E103" i="10" s="1"/>
  <c r="E120" i="10"/>
  <c r="J95" i="9"/>
  <c r="I52" i="9"/>
  <c r="D22" i="7" s="1"/>
  <c r="G13" i="114"/>
  <c r="C109" i="11"/>
  <c r="C108" i="11" s="1"/>
  <c r="C94" i="11"/>
  <c r="C93" i="11" s="1"/>
  <c r="C11" i="10"/>
  <c r="E16" i="22"/>
  <c r="O18" i="22"/>
  <c r="F10" i="16"/>
  <c r="D39" i="7" s="1"/>
  <c r="D38" i="7" s="1"/>
  <c r="C31" i="65"/>
  <c r="H25" i="8"/>
  <c r="G41" i="10"/>
  <c r="J40" i="10"/>
  <c r="I104" i="10"/>
  <c r="F104" i="10" s="1"/>
  <c r="F121" i="10"/>
  <c r="J25" i="8"/>
  <c r="H96" i="10"/>
  <c r="H88" i="10" s="1"/>
  <c r="C28" i="7" s="1"/>
  <c r="J28" i="7" s="1"/>
  <c r="E97" i="10"/>
  <c r="J22" i="10"/>
  <c r="G22" i="10" s="1"/>
  <c r="G32" i="10"/>
  <c r="H81" i="10"/>
  <c r="C27" i="7" s="1"/>
  <c r="E82" i="10"/>
  <c r="H16" i="10"/>
  <c r="C25" i="7" s="1"/>
  <c r="J25" i="7" s="1"/>
  <c r="E17" i="10"/>
  <c r="H99" i="11"/>
  <c r="E99" i="11" s="1"/>
  <c r="E114" i="11"/>
  <c r="J100" i="10"/>
  <c r="G113" i="10"/>
  <c r="J112" i="10"/>
  <c r="J111" i="10" s="1"/>
  <c r="I22" i="10"/>
  <c r="F22" i="10" s="1"/>
  <c r="F32" i="10"/>
  <c r="I50" i="10"/>
  <c r="F51" i="10"/>
  <c r="H24" i="9"/>
  <c r="C18" i="7" s="1"/>
  <c r="I61" i="9"/>
  <c r="G38" i="114"/>
  <c r="E19" i="109"/>
  <c r="E19" i="65" s="1"/>
  <c r="P19" i="70" s="1"/>
  <c r="Q19" i="70" s="1"/>
  <c r="O54" i="22"/>
  <c r="V28" i="73"/>
  <c r="W28" i="73" s="1"/>
  <c r="N50" i="12"/>
  <c r="C12" i="13" s="1"/>
  <c r="D12" i="13" s="1"/>
  <c r="P47" i="12"/>
  <c r="J21" i="40"/>
  <c r="C20" i="40"/>
  <c r="D51" i="109"/>
  <c r="D51" i="65" s="1"/>
  <c r="J50" i="70" s="1"/>
  <c r="K50" i="70" s="1"/>
  <c r="C15" i="68"/>
  <c r="R28" i="41"/>
  <c r="F27" i="41"/>
  <c r="J26" i="10"/>
  <c r="G36" i="10"/>
  <c r="H81" i="9"/>
  <c r="J21" i="114"/>
  <c r="D44" i="7" s="1"/>
  <c r="G22" i="114"/>
  <c r="E121" i="10"/>
  <c r="H104" i="10"/>
  <c r="E104" i="10" s="1"/>
  <c r="J27" i="10"/>
  <c r="G37" i="10"/>
  <c r="F113" i="10"/>
  <c r="I100" i="10"/>
  <c r="I112" i="10"/>
  <c r="I111" i="10" s="1"/>
  <c r="J105" i="10"/>
  <c r="J102" i="10"/>
  <c r="G102" i="10" s="1"/>
  <c r="G108" i="10"/>
  <c r="E32" i="10"/>
  <c r="H22" i="10"/>
  <c r="E22" i="10" s="1"/>
  <c r="F37" i="10"/>
  <c r="I27" i="10"/>
  <c r="I67" i="9"/>
  <c r="I60" i="9"/>
  <c r="I119" i="9"/>
  <c r="I118" i="9" s="1"/>
  <c r="H102" i="9"/>
  <c r="I95" i="9"/>
  <c r="J102" i="9"/>
  <c r="K36" i="114"/>
  <c r="K31" i="114" s="1"/>
  <c r="E45" i="7" s="1"/>
  <c r="H37" i="114"/>
  <c r="F20" i="45"/>
  <c r="G103" i="10"/>
  <c r="F103" i="10"/>
  <c r="F29" i="10"/>
  <c r="G29" i="10"/>
  <c r="C28" i="10"/>
  <c r="C14" i="10" s="1"/>
  <c r="D41" i="70"/>
  <c r="E41" i="70" s="1"/>
  <c r="J46" i="40"/>
  <c r="C45" i="40"/>
  <c r="J45" i="40" s="1"/>
  <c r="O53" i="109"/>
  <c r="D53" i="65"/>
  <c r="C30" i="39"/>
  <c r="F30" i="39" s="1"/>
  <c r="I81" i="9"/>
  <c r="J75" i="8"/>
  <c r="J36" i="114"/>
  <c r="G37" i="114"/>
  <c r="F38" i="114"/>
  <c r="G14" i="114"/>
  <c r="H11" i="114"/>
  <c r="K10" i="114"/>
  <c r="E43" i="7" s="1"/>
  <c r="E42" i="7" s="1"/>
  <c r="E20" i="109" s="1"/>
  <c r="E20" i="65" s="1"/>
  <c r="P20" i="70" s="1"/>
  <c r="Q20" i="70" s="1"/>
  <c r="G12" i="10"/>
  <c r="F12" i="10"/>
  <c r="E12" i="10"/>
  <c r="E19" i="132"/>
  <c r="C20" i="41"/>
  <c r="C15" i="41" s="1"/>
  <c r="C10" i="41" s="1"/>
  <c r="O31" i="22"/>
  <c r="P35" i="12"/>
  <c r="N45" i="12"/>
  <c r="C11" i="13" s="1"/>
  <c r="D11" i="13" s="1"/>
  <c r="C27" i="39"/>
  <c r="F27" i="39" s="1"/>
  <c r="F28" i="39"/>
  <c r="C30" i="41"/>
  <c r="U30" i="41" s="1"/>
  <c r="H26" i="10"/>
  <c r="E36" i="10"/>
  <c r="J119" i="9"/>
  <c r="J118" i="9" s="1"/>
  <c r="I82" i="8"/>
  <c r="H53" i="8"/>
  <c r="C14" i="7" s="1"/>
  <c r="H11" i="9"/>
  <c r="J52" i="9"/>
  <c r="E22" i="7" s="1"/>
  <c r="C10" i="16"/>
  <c r="I36" i="114"/>
  <c r="F37" i="114"/>
  <c r="K21" i="114"/>
  <c r="E44" i="7" s="1"/>
  <c r="H22" i="114"/>
  <c r="H22" i="132"/>
  <c r="C35" i="22"/>
  <c r="O36" i="22"/>
  <c r="F15" i="39"/>
  <c r="C10" i="39"/>
  <c r="F10" i="39" s="1"/>
  <c r="C39" i="41"/>
  <c r="F38" i="70"/>
  <c r="H23" i="10"/>
  <c r="E23" i="10" s="1"/>
  <c r="E33" i="10"/>
  <c r="J104" i="10"/>
  <c r="G104" i="10" s="1"/>
  <c r="G121" i="10"/>
  <c r="I102" i="9"/>
  <c r="H61" i="9"/>
  <c r="H67" i="9"/>
  <c r="H60" i="9"/>
  <c r="H40" i="10"/>
  <c r="E41" i="10"/>
  <c r="E15" i="19"/>
  <c r="C49" i="7" s="1"/>
  <c r="E27" i="19"/>
  <c r="E28" i="19" s="1"/>
  <c r="Q55" i="12"/>
  <c r="O17" i="22"/>
  <c r="C16" i="22"/>
  <c r="J43" i="40"/>
  <c r="C99" i="10"/>
  <c r="R20" i="41"/>
  <c r="R15" i="41" s="1"/>
  <c r="R10" i="41" s="1"/>
  <c r="F15" i="41"/>
  <c r="F10" i="41" s="1"/>
  <c r="J32" i="40"/>
  <c r="E20" i="132"/>
  <c r="E21" i="132"/>
  <c r="I24" i="9"/>
  <c r="D18" i="7" s="1"/>
  <c r="J18" i="7" s="1"/>
  <c r="E47" i="10"/>
  <c r="N63" i="109"/>
  <c r="E95" i="10"/>
  <c r="M63" i="109"/>
  <c r="K63" i="109"/>
  <c r="L63" i="109"/>
  <c r="H27" i="8" l="1"/>
  <c r="J63" i="8"/>
  <c r="I62" i="8"/>
  <c r="I75" i="8"/>
  <c r="F41" i="70"/>
  <c r="F100" i="10"/>
  <c r="I99" i="10"/>
  <c r="D29" i="7" s="1"/>
  <c r="E37" i="7"/>
  <c r="E18" i="109" s="1"/>
  <c r="E18" i="65" s="1"/>
  <c r="P18" i="70" s="1"/>
  <c r="Q18" i="70" s="1"/>
  <c r="AH41" i="25"/>
  <c r="G30" i="22"/>
  <c r="X39" i="25"/>
  <c r="X10" i="41"/>
  <c r="U15" i="41"/>
  <c r="E27" i="38"/>
  <c r="J31" i="114"/>
  <c r="D45" i="7" s="1"/>
  <c r="H95" i="9"/>
  <c r="F37" i="70"/>
  <c r="I63" i="8"/>
  <c r="I11" i="9"/>
  <c r="I17" i="9"/>
  <c r="D17" i="7" s="1"/>
  <c r="H61" i="8"/>
  <c r="H68" i="8"/>
  <c r="J82" i="8"/>
  <c r="I31" i="9"/>
  <c r="D19" i="7" s="1"/>
  <c r="H52" i="9"/>
  <c r="C22" i="7" s="1"/>
  <c r="J22" i="7" s="1"/>
  <c r="D12" i="16"/>
  <c r="H11" i="16"/>
  <c r="I12" i="9"/>
  <c r="I59" i="9"/>
  <c r="D23" i="7" s="1"/>
  <c r="G26" i="10"/>
  <c r="J13" i="10"/>
  <c r="G13" i="10" s="1"/>
  <c r="R19" i="70"/>
  <c r="D30" i="70"/>
  <c r="E30" i="70" s="1"/>
  <c r="F46" i="57"/>
  <c r="D10" i="57"/>
  <c r="F10" i="57" s="1"/>
  <c r="L25" i="70"/>
  <c r="D11" i="38"/>
  <c r="J17" i="38"/>
  <c r="J30" i="8"/>
  <c r="J53" i="8"/>
  <c r="E14" i="7" s="1"/>
  <c r="J21" i="8"/>
  <c r="J27" i="8"/>
  <c r="H16" i="9"/>
  <c r="H10" i="20"/>
  <c r="D53" i="7" s="1"/>
  <c r="E11" i="20"/>
  <c r="I66" i="8"/>
  <c r="H75" i="8"/>
  <c r="J49" i="7"/>
  <c r="C47" i="7"/>
  <c r="F48" i="41"/>
  <c r="R27" i="41"/>
  <c r="D19" i="109"/>
  <c r="D19" i="65" s="1"/>
  <c r="J19" i="70" s="1"/>
  <c r="K19" i="70" s="1"/>
  <c r="H18" i="132"/>
  <c r="H14" i="132" s="1"/>
  <c r="C15" i="22" s="1"/>
  <c r="O15" i="22" s="1"/>
  <c r="R25" i="70"/>
  <c r="W39" i="25"/>
  <c r="F25" i="22"/>
  <c r="L59" i="59"/>
  <c r="I65" i="59"/>
  <c r="L54" i="70"/>
  <c r="E62" i="109"/>
  <c r="E61" i="65" s="1"/>
  <c r="P60" i="70" s="1"/>
  <c r="Q60" i="70" s="1"/>
  <c r="C10" i="10"/>
  <c r="I52" i="7"/>
  <c r="N61" i="109" s="1"/>
  <c r="H66" i="8"/>
  <c r="G14" i="20"/>
  <c r="C54" i="7" s="1"/>
  <c r="D15" i="20"/>
  <c r="H82" i="8"/>
  <c r="D11" i="20"/>
  <c r="G10" i="20"/>
  <c r="C53" i="7" s="1"/>
  <c r="I21" i="8"/>
  <c r="I45" i="9"/>
  <c r="D21" i="7" s="1"/>
  <c r="J21" i="7" s="1"/>
  <c r="G33" i="10"/>
  <c r="J23" i="10"/>
  <c r="G23" i="10" s="1"/>
  <c r="P45" i="12"/>
  <c r="R35" i="12"/>
  <c r="H11" i="10"/>
  <c r="J32" i="8"/>
  <c r="J59" i="9"/>
  <c r="E23" i="7" s="1"/>
  <c r="C18" i="1"/>
  <c r="J19" i="1"/>
  <c r="F27" i="10"/>
  <c r="I15" i="10"/>
  <c r="F15" i="10" s="1"/>
  <c r="J15" i="10"/>
  <c r="G15" i="10" s="1"/>
  <c r="G27" i="10"/>
  <c r="E24" i="109"/>
  <c r="E24" i="65" s="1"/>
  <c r="P24" i="70" s="1"/>
  <c r="Q24" i="70" s="1"/>
  <c r="E10" i="22"/>
  <c r="E22" i="109" s="1"/>
  <c r="E22" i="65" s="1"/>
  <c r="P22" i="70" s="1"/>
  <c r="Q22" i="70" s="1"/>
  <c r="I23" i="8"/>
  <c r="J61" i="8"/>
  <c r="E35" i="65"/>
  <c r="O35" i="109"/>
  <c r="E11" i="16"/>
  <c r="G10" i="16"/>
  <c r="C39" i="7" s="1"/>
  <c r="C25" i="109"/>
  <c r="H63" i="8"/>
  <c r="H12" i="9"/>
  <c r="M62" i="109"/>
  <c r="H52" i="7"/>
  <c r="M61" i="109" s="1"/>
  <c r="L50" i="70"/>
  <c r="C20" i="10"/>
  <c r="I20" i="10"/>
  <c r="D26" i="7" s="1"/>
  <c r="D24" i="7" s="1"/>
  <c r="D15" i="109" s="1"/>
  <c r="D15" i="65" s="1"/>
  <c r="J15" i="70" s="1"/>
  <c r="K15" i="70" s="1"/>
  <c r="F21" i="10"/>
  <c r="K65" i="59"/>
  <c r="H66" i="59"/>
  <c r="I11" i="10"/>
  <c r="I13" i="10"/>
  <c r="F13" i="10" s="1"/>
  <c r="F26" i="10"/>
  <c r="C10" i="13"/>
  <c r="N55" i="12"/>
  <c r="J16" i="9"/>
  <c r="O34" i="22"/>
  <c r="J28" i="40"/>
  <c r="C27" i="40"/>
  <c r="J27" i="40" s="1"/>
  <c r="H65" i="9"/>
  <c r="E37" i="10"/>
  <c r="H27" i="10"/>
  <c r="C14" i="22"/>
  <c r="O14" i="22" s="1"/>
  <c r="E13" i="132"/>
  <c r="F15" i="20"/>
  <c r="I14" i="20"/>
  <c r="E54" i="7" s="1"/>
  <c r="E63" i="109" s="1"/>
  <c r="E62" i="65" s="1"/>
  <c r="P61" i="70" s="1"/>
  <c r="Q61" i="70" s="1"/>
  <c r="H62" i="8"/>
  <c r="K62" i="109"/>
  <c r="F52" i="7"/>
  <c r="K61" i="109" s="1"/>
  <c r="H44" i="11"/>
  <c r="I53" i="8"/>
  <c r="D14" i="7" s="1"/>
  <c r="J14" i="7" s="1"/>
  <c r="I13" i="9"/>
  <c r="C13" i="22"/>
  <c r="O13" i="22" s="1"/>
  <c r="E12" i="132"/>
  <c r="J20" i="40"/>
  <c r="C15" i="40"/>
  <c r="J30" i="10"/>
  <c r="R11" i="12"/>
  <c r="S11" i="12" s="1"/>
  <c r="T11" i="12" s="1"/>
  <c r="T31" i="12" s="1"/>
  <c r="P31" i="12"/>
  <c r="R31" i="12" s="1"/>
  <c r="I27" i="8"/>
  <c r="O52" i="22"/>
  <c r="I29" i="109"/>
  <c r="H13" i="9"/>
  <c r="H10" i="9" s="1"/>
  <c r="L62" i="109"/>
  <c r="G52" i="7"/>
  <c r="L61" i="109" s="1"/>
  <c r="J68" i="8"/>
  <c r="J62" i="8"/>
  <c r="J19" i="8" s="1"/>
  <c r="I25" i="8"/>
  <c r="I32" i="8"/>
  <c r="H14" i="20"/>
  <c r="D54" i="7" s="1"/>
  <c r="D63" i="109" s="1"/>
  <c r="D62" i="65" s="1"/>
  <c r="J61" i="70" s="1"/>
  <c r="K61" i="70" s="1"/>
  <c r="E15" i="20"/>
  <c r="H21" i="8"/>
  <c r="I61" i="8"/>
  <c r="I68" i="8"/>
  <c r="C39" i="40"/>
  <c r="J52" i="70"/>
  <c r="K52" i="70" s="1"/>
  <c r="K53" i="65"/>
  <c r="H62" i="9"/>
  <c r="J27" i="7"/>
  <c r="G21" i="10"/>
  <c r="J20" i="10"/>
  <c r="E26" i="7" s="1"/>
  <c r="E24" i="7" s="1"/>
  <c r="E15" i="109" s="1"/>
  <c r="E15" i="65" s="1"/>
  <c r="P15" i="70" s="1"/>
  <c r="Q15" i="70" s="1"/>
  <c r="F14" i="10"/>
  <c r="X27" i="73"/>
  <c r="H32" i="8"/>
  <c r="H26" i="8"/>
  <c r="J31" i="9"/>
  <c r="E19" i="7" s="1"/>
  <c r="J19" i="7" s="1"/>
  <c r="P50" i="12"/>
  <c r="R47" i="12"/>
  <c r="J43" i="7"/>
  <c r="C42" i="7"/>
  <c r="G14" i="10"/>
  <c r="C30" i="65"/>
  <c r="O30" i="109"/>
  <c r="E21" i="10"/>
  <c r="H20" i="10"/>
  <c r="C26" i="7" s="1"/>
  <c r="I25" i="109"/>
  <c r="I25" i="65" s="1"/>
  <c r="I10" i="22"/>
  <c r="I22" i="109" s="1"/>
  <c r="I16" i="9"/>
  <c r="H10" i="132"/>
  <c r="C12" i="22"/>
  <c r="E11" i="132"/>
  <c r="C24" i="109"/>
  <c r="O35" i="22"/>
  <c r="C26" i="109"/>
  <c r="H17" i="9"/>
  <c r="C17" i="7" s="1"/>
  <c r="H13" i="10"/>
  <c r="E13" i="10" s="1"/>
  <c r="E26" i="10"/>
  <c r="E29" i="10"/>
  <c r="H28" i="10"/>
  <c r="H14" i="10" s="1"/>
  <c r="E14" i="10" s="1"/>
  <c r="J45" i="7"/>
  <c r="E100" i="10"/>
  <c r="H99" i="10"/>
  <c r="C29" i="7" s="1"/>
  <c r="J29" i="7" s="1"/>
  <c r="V10" i="73"/>
  <c r="W10" i="73" s="1"/>
  <c r="W14" i="73"/>
  <c r="R20" i="70"/>
  <c r="X28" i="73"/>
  <c r="G100" i="10"/>
  <c r="J99" i="10"/>
  <c r="E29" i="7" s="1"/>
  <c r="E29" i="38"/>
  <c r="J29" i="38" s="1"/>
  <c r="U27" i="41"/>
  <c r="S52" i="12"/>
  <c r="T52" i="12" s="1"/>
  <c r="T54" i="12" s="1"/>
  <c r="E13" i="13" s="1"/>
  <c r="R54" i="12"/>
  <c r="J11" i="10"/>
  <c r="J44" i="7"/>
  <c r="J20" i="7"/>
  <c r="C57" i="7"/>
  <c r="J58" i="7"/>
  <c r="G46" i="57"/>
  <c r="I48" i="57"/>
  <c r="E25" i="47" s="1"/>
  <c r="E23" i="47" s="1"/>
  <c r="E48" i="57"/>
  <c r="D33" i="65"/>
  <c r="H18" i="8"/>
  <c r="U20" i="41"/>
  <c r="J10" i="114"/>
  <c r="D43" i="7" s="1"/>
  <c r="D42" i="7" s="1"/>
  <c r="D20" i="109" s="1"/>
  <c r="D20" i="65" s="1"/>
  <c r="J20" i="70" s="1"/>
  <c r="K20" i="70" s="1"/>
  <c r="C24" i="40"/>
  <c r="J24" i="40" s="1"/>
  <c r="J25" i="40"/>
  <c r="D16" i="22"/>
  <c r="O24" i="22"/>
  <c r="R15" i="70" l="1"/>
  <c r="L15" i="70"/>
  <c r="I10" i="109"/>
  <c r="I10" i="65" s="1"/>
  <c r="I22" i="65"/>
  <c r="J17" i="7"/>
  <c r="C54" i="109"/>
  <c r="C10" i="1"/>
  <c r="J18" i="1"/>
  <c r="I59" i="59"/>
  <c r="L10" i="59"/>
  <c r="I10" i="59" s="1"/>
  <c r="Y14" i="73"/>
  <c r="Z14" i="73"/>
  <c r="X14" i="73"/>
  <c r="H24" i="8"/>
  <c r="C13" i="7" s="1"/>
  <c r="H19" i="8"/>
  <c r="I20" i="8"/>
  <c r="C25" i="65"/>
  <c r="D25" i="70" s="1"/>
  <c r="E25" i="70" s="1"/>
  <c r="I14" i="8"/>
  <c r="H23" i="8"/>
  <c r="F16" i="22"/>
  <c r="O16" i="22" s="1"/>
  <c r="O25" i="22"/>
  <c r="D11" i="73"/>
  <c r="H10" i="16"/>
  <c r="D11" i="16"/>
  <c r="D16" i="7"/>
  <c r="D14" i="109" s="1"/>
  <c r="D14" i="65" s="1"/>
  <c r="J14" i="70" s="1"/>
  <c r="K14" i="70" s="1"/>
  <c r="J32" i="70"/>
  <c r="K32" i="70" s="1"/>
  <c r="L52" i="70"/>
  <c r="X10" i="73"/>
  <c r="D29" i="70"/>
  <c r="E29" i="70" s="1"/>
  <c r="K30" i="65"/>
  <c r="J39" i="40"/>
  <c r="C30" i="40"/>
  <c r="J30" i="40" s="1"/>
  <c r="I24" i="8"/>
  <c r="D13" i="7" s="1"/>
  <c r="I18" i="8"/>
  <c r="J39" i="7"/>
  <c r="C38" i="7"/>
  <c r="H23" i="11"/>
  <c r="I10" i="9"/>
  <c r="E21" i="38"/>
  <c r="E22" i="38"/>
  <c r="J22" i="38" s="1"/>
  <c r="J27" i="38"/>
  <c r="H59" i="9"/>
  <c r="C23" i="7" s="1"/>
  <c r="J23" i="7" s="1"/>
  <c r="R61" i="70"/>
  <c r="J53" i="7"/>
  <c r="C62" i="109"/>
  <c r="C52" i="7"/>
  <c r="J14" i="8"/>
  <c r="G11" i="10"/>
  <c r="J10" i="10"/>
  <c r="F30" i="70"/>
  <c r="X50" i="41"/>
  <c r="U50" i="41" s="1"/>
  <c r="U10" i="41"/>
  <c r="H17" i="8"/>
  <c r="H20" i="8"/>
  <c r="D24" i="109"/>
  <c r="D24" i="65" s="1"/>
  <c r="J24" i="70" s="1"/>
  <c r="K24" i="70" s="1"/>
  <c r="D10" i="22"/>
  <c r="C15" i="13"/>
  <c r="D10" i="13"/>
  <c r="S35" i="12"/>
  <c r="T35" i="12" s="1"/>
  <c r="T45" i="12" s="1"/>
  <c r="E11" i="13" s="1"/>
  <c r="R45" i="12"/>
  <c r="R55" i="12" s="1"/>
  <c r="E52" i="7"/>
  <c r="E61" i="109" s="1"/>
  <c r="E60" i="65" s="1"/>
  <c r="P59" i="70" s="1"/>
  <c r="Q59" i="70" s="1"/>
  <c r="C24" i="7"/>
  <c r="J26" i="7"/>
  <c r="C24" i="65"/>
  <c r="D24" i="70" s="1"/>
  <c r="E24" i="70" s="1"/>
  <c r="C20" i="109"/>
  <c r="J42" i="7"/>
  <c r="E11" i="10"/>
  <c r="H10" i="10"/>
  <c r="O12" i="22"/>
  <c r="C11" i="22"/>
  <c r="P34" i="70"/>
  <c r="Q34" i="70" s="1"/>
  <c r="K35" i="65"/>
  <c r="C66" i="109"/>
  <c r="J57" i="7"/>
  <c r="I60" i="8"/>
  <c r="D15" i="7" s="1"/>
  <c r="J18" i="8"/>
  <c r="J60" i="8"/>
  <c r="E15" i="7" s="1"/>
  <c r="E12" i="7" s="1"/>
  <c r="P55" i="12"/>
  <c r="R60" i="70"/>
  <c r="J24" i="8"/>
  <c r="E13" i="7" s="1"/>
  <c r="J23" i="8"/>
  <c r="G27" i="22"/>
  <c r="O30" i="22"/>
  <c r="E47" i="109"/>
  <c r="E47" i="65" s="1"/>
  <c r="P46" i="70" s="1"/>
  <c r="Q46" i="70" s="1"/>
  <c r="E10" i="47"/>
  <c r="E42" i="109" s="1"/>
  <c r="E42" i="65" s="1"/>
  <c r="P41" i="70" s="1"/>
  <c r="Q41" i="70" s="1"/>
  <c r="E10" i="13"/>
  <c r="R50" i="12"/>
  <c r="S47" i="12"/>
  <c r="T47" i="12" s="1"/>
  <c r="T50" i="12" s="1"/>
  <c r="E12" i="13" s="1"/>
  <c r="C10" i="40"/>
  <c r="J10" i="40" s="1"/>
  <c r="J15" i="40"/>
  <c r="H15" i="10"/>
  <c r="E15" i="10" s="1"/>
  <c r="E27" i="10"/>
  <c r="E16" i="7"/>
  <c r="E14" i="109" s="1"/>
  <c r="E14" i="65" s="1"/>
  <c r="P14" i="70" s="1"/>
  <c r="Q14" i="70" s="1"/>
  <c r="D37" i="7"/>
  <c r="D18" i="109" s="1"/>
  <c r="D18" i="65" s="1"/>
  <c r="J18" i="70" s="1"/>
  <c r="K18" i="70" s="1"/>
  <c r="D52" i="7"/>
  <c r="D61" i="109" s="1"/>
  <c r="D60" i="65" s="1"/>
  <c r="J59" i="70" s="1"/>
  <c r="K59" i="70" s="1"/>
  <c r="D62" i="109"/>
  <c r="D61" i="65" s="1"/>
  <c r="J60" i="70" s="1"/>
  <c r="K60" i="70" s="1"/>
  <c r="AH39" i="25"/>
  <c r="J13" i="73"/>
  <c r="C26" i="65"/>
  <c r="O26" i="109"/>
  <c r="I46" i="57"/>
  <c r="E46" i="57"/>
  <c r="G10" i="57"/>
  <c r="L20" i="70"/>
  <c r="H14" i="8"/>
  <c r="F11" i="10"/>
  <c r="I10" i="10"/>
  <c r="L19" i="70"/>
  <c r="R18" i="70"/>
  <c r="D32" i="109"/>
  <c r="J11" i="38"/>
  <c r="L61" i="70"/>
  <c r="O29" i="109"/>
  <c r="I29" i="65"/>
  <c r="K29" i="65" s="1"/>
  <c r="D25" i="47"/>
  <c r="K59" i="59"/>
  <c r="H65" i="59"/>
  <c r="R22" i="70"/>
  <c r="J10" i="9"/>
  <c r="I19" i="8"/>
  <c r="R24" i="70"/>
  <c r="J54" i="7"/>
  <c r="C63" i="109"/>
  <c r="J47" i="7"/>
  <c r="C21" i="109"/>
  <c r="J20" i="8"/>
  <c r="H60" i="8"/>
  <c r="C15" i="7" s="1"/>
  <c r="O11" i="22" l="1"/>
  <c r="C23" i="109"/>
  <c r="C10" i="22"/>
  <c r="H16" i="11"/>
  <c r="D10" i="73"/>
  <c r="E10" i="73" s="1"/>
  <c r="E11" i="73"/>
  <c r="C21" i="65"/>
  <c r="O21" i="109"/>
  <c r="O63" i="109"/>
  <c r="C62" i="65"/>
  <c r="D23" i="47"/>
  <c r="I25" i="47"/>
  <c r="K13" i="73"/>
  <c r="J10" i="73"/>
  <c r="K10" i="73" s="1"/>
  <c r="G13" i="13"/>
  <c r="I13" i="13" s="1"/>
  <c r="T55" i="12"/>
  <c r="R59" i="70"/>
  <c r="C19" i="109"/>
  <c r="J38" i="7"/>
  <c r="C37" i="7"/>
  <c r="C12" i="7"/>
  <c r="L60" i="70"/>
  <c r="L59" i="70"/>
  <c r="R41" i="70"/>
  <c r="E15" i="13"/>
  <c r="H16" i="8"/>
  <c r="C56" i="7" s="1"/>
  <c r="E13" i="109"/>
  <c r="E13" i="65" s="1"/>
  <c r="P13" i="70" s="1"/>
  <c r="Q13" i="70" s="1"/>
  <c r="D15" i="13"/>
  <c r="R14" i="70"/>
  <c r="J17" i="8"/>
  <c r="C20" i="65"/>
  <c r="O20" i="109"/>
  <c r="I17" i="8"/>
  <c r="L32" i="70"/>
  <c r="L18" i="70"/>
  <c r="I10" i="57"/>
  <c r="E10" i="57"/>
  <c r="C12" i="68"/>
  <c r="D22" i="109"/>
  <c r="D22" i="65" s="1"/>
  <c r="J22" i="70" s="1"/>
  <c r="K22" i="70" s="1"/>
  <c r="J13" i="7"/>
  <c r="D12" i="7"/>
  <c r="F10" i="22"/>
  <c r="F22" i="109" s="1"/>
  <c r="F24" i="109"/>
  <c r="R46" i="70"/>
  <c r="G10" i="22"/>
  <c r="G22" i="109" s="1"/>
  <c r="G25" i="109"/>
  <c r="O27" i="22"/>
  <c r="F24" i="70"/>
  <c r="L24" i="70"/>
  <c r="J21" i="38"/>
  <c r="E33" i="109"/>
  <c r="L14" i="70"/>
  <c r="F25" i="70"/>
  <c r="J15" i="7"/>
  <c r="C65" i="65"/>
  <c r="O66" i="109"/>
  <c r="C15" i="109"/>
  <c r="J24" i="7"/>
  <c r="C51" i="109"/>
  <c r="J10" i="1"/>
  <c r="C54" i="65"/>
  <c r="O54" i="109"/>
  <c r="D32" i="65"/>
  <c r="O32" i="109"/>
  <c r="C61" i="109"/>
  <c r="J52" i="7"/>
  <c r="F29" i="70"/>
  <c r="H59" i="59"/>
  <c r="K10" i="59"/>
  <c r="H10" i="59" s="1"/>
  <c r="D26" i="70"/>
  <c r="E26" i="70" s="1"/>
  <c r="K26" i="65"/>
  <c r="R34" i="70"/>
  <c r="O62" i="109"/>
  <c r="C61" i="65"/>
  <c r="C16" i="7"/>
  <c r="F26" i="70" l="1"/>
  <c r="G22" i="65"/>
  <c r="G10" i="109"/>
  <c r="G10" i="65" s="1"/>
  <c r="K21" i="65"/>
  <c r="D21" i="70"/>
  <c r="E21" i="70" s="1"/>
  <c r="E33" i="65"/>
  <c r="O33" i="109"/>
  <c r="O19" i="109"/>
  <c r="C19" i="65"/>
  <c r="F24" i="65"/>
  <c r="K24" i="65" s="1"/>
  <c r="O24" i="109"/>
  <c r="O51" i="109"/>
  <c r="C51" i="65"/>
  <c r="F10" i="109"/>
  <c r="F10" i="65" s="1"/>
  <c r="F22" i="65"/>
  <c r="G11" i="73"/>
  <c r="H11" i="73"/>
  <c r="F11" i="73"/>
  <c r="K54" i="65"/>
  <c r="D53" i="70"/>
  <c r="E53" i="70" s="1"/>
  <c r="F10" i="73"/>
  <c r="J16" i="7"/>
  <c r="C14" i="109"/>
  <c r="K61" i="65"/>
  <c r="D60" i="70"/>
  <c r="E60" i="70" s="1"/>
  <c r="D13" i="109"/>
  <c r="D13" i="65" s="1"/>
  <c r="J13" i="70" s="1"/>
  <c r="K13" i="70" s="1"/>
  <c r="L10" i="73"/>
  <c r="L13" i="73"/>
  <c r="D64" i="70"/>
  <c r="C64" i="70" s="1"/>
  <c r="E64" i="70" s="1"/>
  <c r="K65" i="65"/>
  <c r="O61" i="109"/>
  <c r="C60" i="65"/>
  <c r="L22" i="70"/>
  <c r="R13" i="70"/>
  <c r="C13" i="109"/>
  <c r="J12" i="7"/>
  <c r="C22" i="109"/>
  <c r="O10" i="22"/>
  <c r="G25" i="65"/>
  <c r="K25" i="65" s="1"/>
  <c r="O25" i="109"/>
  <c r="K32" i="65"/>
  <c r="J31" i="70"/>
  <c r="K31" i="70" s="1"/>
  <c r="C15" i="65"/>
  <c r="O15" i="109"/>
  <c r="J37" i="7"/>
  <c r="C18" i="109"/>
  <c r="D47" i="109"/>
  <c r="I23" i="47"/>
  <c r="D10" i="47"/>
  <c r="O23" i="109"/>
  <c r="C23" i="65"/>
  <c r="D20" i="70"/>
  <c r="E20" i="70" s="1"/>
  <c r="K20" i="65"/>
  <c r="C65" i="109"/>
  <c r="J56" i="7"/>
  <c r="D61" i="70"/>
  <c r="E61" i="70" s="1"/>
  <c r="K62" i="65"/>
  <c r="K19" i="65" l="1"/>
  <c r="D19" i="70"/>
  <c r="E19" i="70" s="1"/>
  <c r="F53" i="70"/>
  <c r="K15" i="65"/>
  <c r="D15" i="70"/>
  <c r="E15" i="70" s="1"/>
  <c r="O65" i="109"/>
  <c r="C64" i="65"/>
  <c r="L31" i="70"/>
  <c r="P32" i="70"/>
  <c r="Q32" i="70" s="1"/>
  <c r="K33" i="65"/>
  <c r="F21" i="70"/>
  <c r="G21" i="70"/>
  <c r="H21" i="70"/>
  <c r="L13" i="70"/>
  <c r="K23" i="65"/>
  <c r="D23" i="70"/>
  <c r="E23" i="70" s="1"/>
  <c r="D59" i="70"/>
  <c r="E59" i="70" s="1"/>
  <c r="K60" i="65"/>
  <c r="F60" i="70"/>
  <c r="O13" i="109"/>
  <c r="C13" i="65"/>
  <c r="F20" i="70"/>
  <c r="O18" i="109"/>
  <c r="C18" i="65"/>
  <c r="F61" i="70"/>
  <c r="C14" i="68"/>
  <c r="D42" i="109"/>
  <c r="I10" i="47"/>
  <c r="O22" i="109"/>
  <c r="C22" i="65"/>
  <c r="C14" i="65"/>
  <c r="O14" i="109"/>
  <c r="K51" i="65"/>
  <c r="D50" i="70"/>
  <c r="E50" i="70" s="1"/>
  <c r="F64" i="70"/>
  <c r="H64" i="70"/>
  <c r="G64" i="70"/>
  <c r="D47" i="65"/>
  <c r="O47" i="109"/>
  <c r="K18" i="65" l="1"/>
  <c r="D18" i="70"/>
  <c r="E18" i="70" s="1"/>
  <c r="F59" i="70"/>
  <c r="F50" i="70"/>
  <c r="F23" i="70"/>
  <c r="D63" i="70"/>
  <c r="E63" i="70" s="1"/>
  <c r="K64" i="65"/>
  <c r="D14" i="70"/>
  <c r="E14" i="70" s="1"/>
  <c r="K14" i="65"/>
  <c r="F15" i="70"/>
  <c r="D22" i="70"/>
  <c r="E22" i="70" s="1"/>
  <c r="K22" i="65"/>
  <c r="D13" i="70"/>
  <c r="E13" i="70" s="1"/>
  <c r="K13" i="65"/>
  <c r="D42" i="65"/>
  <c r="O42" i="109"/>
  <c r="F19" i="70"/>
  <c r="J46" i="70"/>
  <c r="K46" i="70" s="1"/>
  <c r="K47" i="65"/>
  <c r="R32" i="70"/>
  <c r="F63" i="70" l="1"/>
  <c r="F13" i="70"/>
  <c r="L46" i="70"/>
  <c r="F14" i="70"/>
  <c r="F18" i="70"/>
  <c r="J41" i="70"/>
  <c r="K41" i="70" s="1"/>
  <c r="K42" i="65"/>
  <c r="F22" i="70"/>
  <c r="G16" i="45"/>
  <c r="G17" i="45"/>
  <c r="H12" i="45"/>
  <c r="G12" i="45"/>
  <c r="G19" i="45"/>
  <c r="H29" i="45"/>
  <c r="G13" i="45"/>
  <c r="H26" i="45"/>
  <c r="H19" i="45"/>
  <c r="H17" i="45"/>
  <c r="H18" i="45"/>
  <c r="H16" i="45"/>
  <c r="G18" i="45"/>
  <c r="G26" i="45"/>
  <c r="G29" i="45"/>
  <c r="H13" i="45"/>
  <c r="I21" i="45" l="1"/>
  <c r="G22" i="45"/>
  <c r="G10" i="42"/>
  <c r="D32" i="38"/>
  <c r="F11" i="42"/>
  <c r="H11" i="45"/>
  <c r="G11" i="45"/>
  <c r="I27" i="45"/>
  <c r="G27" i="45" s="1"/>
  <c r="G28" i="45"/>
  <c r="J21" i="45"/>
  <c r="H22" i="45"/>
  <c r="J27" i="45"/>
  <c r="H27" i="45" s="1"/>
  <c r="H28" i="45"/>
  <c r="I14" i="45"/>
  <c r="G14" i="45" s="1"/>
  <c r="G15" i="45"/>
  <c r="L41" i="70"/>
  <c r="J14" i="45"/>
  <c r="H14" i="45" s="1"/>
  <c r="H15" i="45"/>
  <c r="C41" i="11"/>
  <c r="G71" i="8" l="1"/>
  <c r="E71" i="8"/>
  <c r="F71" i="8"/>
  <c r="C26" i="8"/>
  <c r="F34" i="8"/>
  <c r="G34" i="8"/>
  <c r="E34" i="8"/>
  <c r="G56" i="8"/>
  <c r="E56" i="8"/>
  <c r="F56" i="8"/>
  <c r="F84" i="8"/>
  <c r="E84" i="8"/>
  <c r="G84" i="8"/>
  <c r="C66" i="8"/>
  <c r="G88" i="8"/>
  <c r="F88" i="8"/>
  <c r="E88" i="8"/>
  <c r="I10" i="45"/>
  <c r="C25" i="8"/>
  <c r="C32" i="8"/>
  <c r="E33" i="8"/>
  <c r="G33" i="8"/>
  <c r="F33" i="8"/>
  <c r="C27" i="8"/>
  <c r="G35" i="8"/>
  <c r="E35" i="8"/>
  <c r="F35" i="8"/>
  <c r="J10" i="45"/>
  <c r="G77" i="8"/>
  <c r="E77" i="8"/>
  <c r="F77" i="8"/>
  <c r="C62" i="8"/>
  <c r="F70" i="8"/>
  <c r="G70" i="8"/>
  <c r="E70" i="8"/>
  <c r="C82" i="8"/>
  <c r="F83" i="8"/>
  <c r="E83" i="8"/>
  <c r="G83" i="8"/>
  <c r="C21" i="8"/>
  <c r="E57" i="8"/>
  <c r="G57" i="8"/>
  <c r="F57" i="8"/>
  <c r="C53" i="8"/>
  <c r="E54" i="8"/>
  <c r="G54" i="8"/>
  <c r="F54" i="8"/>
  <c r="D34" i="109"/>
  <c r="J32" i="38"/>
  <c r="J20" i="45"/>
  <c r="H20" i="45" s="1"/>
  <c r="H21" i="45"/>
  <c r="G76" i="8"/>
  <c r="F76" i="8"/>
  <c r="E76" i="8"/>
  <c r="C68" i="8"/>
  <c r="C61" i="8"/>
  <c r="G69" i="8"/>
  <c r="E69" i="8"/>
  <c r="F69" i="8"/>
  <c r="C30" i="8"/>
  <c r="F38" i="8"/>
  <c r="E38" i="8"/>
  <c r="G38" i="8"/>
  <c r="I20" i="45"/>
  <c r="G20" i="45" s="1"/>
  <c r="G21" i="45"/>
  <c r="C19" i="11"/>
  <c r="C12" i="11" s="1"/>
  <c r="C20" i="11"/>
  <c r="C62" i="11"/>
  <c r="C40" i="11"/>
  <c r="G58" i="11"/>
  <c r="F58" i="11"/>
  <c r="H19" i="11" l="1"/>
  <c r="E27" i="11"/>
  <c r="F61" i="8"/>
  <c r="E61" i="8"/>
  <c r="G61" i="8"/>
  <c r="J94" i="11"/>
  <c r="G110" i="11"/>
  <c r="J109" i="11"/>
  <c r="J108" i="11" s="1"/>
  <c r="E36" i="7" s="1"/>
  <c r="E34" i="7" s="1"/>
  <c r="E17" i="109" s="1"/>
  <c r="E17" i="65" s="1"/>
  <c r="P17" i="70" s="1"/>
  <c r="Q17" i="70" s="1"/>
  <c r="I53" i="11"/>
  <c r="F54" i="11"/>
  <c r="J39" i="11"/>
  <c r="G47" i="11"/>
  <c r="J46" i="11"/>
  <c r="F69" i="11"/>
  <c r="I62" i="11"/>
  <c r="F62" i="11" s="1"/>
  <c r="H18" i="11"/>
  <c r="H25" i="11"/>
  <c r="E26" i="11"/>
  <c r="J99" i="11"/>
  <c r="G99" i="11" s="1"/>
  <c r="G114" i="11"/>
  <c r="C46" i="11"/>
  <c r="C39" i="11"/>
  <c r="F62" i="8"/>
  <c r="E62" i="8"/>
  <c r="G62" i="8"/>
  <c r="F48" i="11"/>
  <c r="I40" i="11"/>
  <c r="F40" i="11" s="1"/>
  <c r="F47" i="11"/>
  <c r="I39" i="11"/>
  <c r="I46" i="11"/>
  <c r="G52" i="11"/>
  <c r="J44" i="11"/>
  <c r="G44" i="11" s="1"/>
  <c r="G54" i="11"/>
  <c r="J53" i="11"/>
  <c r="C24" i="8"/>
  <c r="C18" i="8"/>
  <c r="E25" i="8"/>
  <c r="G25" i="8"/>
  <c r="F25" i="8"/>
  <c r="G85" i="8"/>
  <c r="F85" i="8"/>
  <c r="E85" i="8"/>
  <c r="D44" i="38"/>
  <c r="G10" i="45"/>
  <c r="G31" i="11"/>
  <c r="J23" i="11"/>
  <c r="I109" i="11"/>
  <c r="I108" i="11" s="1"/>
  <c r="D36" i="7" s="1"/>
  <c r="D34" i="7" s="1"/>
  <c r="D17" i="109" s="1"/>
  <c r="D17" i="65" s="1"/>
  <c r="J17" i="70" s="1"/>
  <c r="K17" i="70" s="1"/>
  <c r="F110" i="11"/>
  <c r="I94" i="11"/>
  <c r="J25" i="11"/>
  <c r="G26" i="11"/>
  <c r="J18" i="11"/>
  <c r="I25" i="11"/>
  <c r="F26" i="11"/>
  <c r="I18" i="11"/>
  <c r="F31" i="11"/>
  <c r="I23" i="11"/>
  <c r="C44" i="11"/>
  <c r="E44" i="11" s="1"/>
  <c r="E52" i="11"/>
  <c r="H53" i="11"/>
  <c r="E54" i="11"/>
  <c r="C60" i="11"/>
  <c r="C59" i="11" s="1"/>
  <c r="C66" i="11"/>
  <c r="E28" i="11"/>
  <c r="H20" i="11"/>
  <c r="E48" i="11"/>
  <c r="H40" i="11"/>
  <c r="E40" i="11" s="1"/>
  <c r="C18" i="11"/>
  <c r="C25" i="11"/>
  <c r="C14" i="8"/>
  <c r="G21" i="8"/>
  <c r="F21" i="8"/>
  <c r="E21" i="8"/>
  <c r="E44" i="38"/>
  <c r="H10" i="45"/>
  <c r="H62" i="11"/>
  <c r="E62" i="11" s="1"/>
  <c r="E69" i="11"/>
  <c r="J40" i="11"/>
  <c r="G40" i="11" s="1"/>
  <c r="G48" i="11"/>
  <c r="G69" i="11"/>
  <c r="J62" i="11"/>
  <c r="G62" i="11" s="1"/>
  <c r="C19" i="8"/>
  <c r="F26" i="8"/>
  <c r="G26" i="8"/>
  <c r="E26" i="8"/>
  <c r="G67" i="11"/>
  <c r="J60" i="11"/>
  <c r="J66" i="11"/>
  <c r="E67" i="11"/>
  <c r="H60" i="11"/>
  <c r="H66" i="11"/>
  <c r="I19" i="11"/>
  <c r="F27" i="11"/>
  <c r="I44" i="11"/>
  <c r="F44" i="11" s="1"/>
  <c r="F52" i="11"/>
  <c r="H41" i="11"/>
  <c r="E41" i="11" s="1"/>
  <c r="E49" i="11"/>
  <c r="I99" i="11"/>
  <c r="F99" i="11" s="1"/>
  <c r="F114" i="11"/>
  <c r="G66" i="8"/>
  <c r="E66" i="8"/>
  <c r="F66" i="8"/>
  <c r="C23" i="11"/>
  <c r="E31" i="11"/>
  <c r="C23" i="8"/>
  <c r="F30" i="8"/>
  <c r="E30" i="8"/>
  <c r="G30" i="8"/>
  <c r="D34" i="65"/>
  <c r="O34" i="109"/>
  <c r="C20" i="8"/>
  <c r="F27" i="8"/>
  <c r="G27" i="8"/>
  <c r="E27" i="8"/>
  <c r="J20" i="11"/>
  <c r="G28" i="11"/>
  <c r="C63" i="8"/>
  <c r="I60" i="11"/>
  <c r="I66" i="11"/>
  <c r="F67" i="11"/>
  <c r="E47" i="11"/>
  <c r="H39" i="11"/>
  <c r="H46" i="11"/>
  <c r="F49" i="11"/>
  <c r="I41" i="11"/>
  <c r="F41" i="11" s="1"/>
  <c r="J19" i="11"/>
  <c r="G27" i="11"/>
  <c r="E110" i="11"/>
  <c r="H94" i="11"/>
  <c r="H109" i="11"/>
  <c r="H108" i="11" s="1"/>
  <c r="C36" i="7" s="1"/>
  <c r="G49" i="11"/>
  <c r="J41" i="11"/>
  <c r="G41" i="11" s="1"/>
  <c r="I20" i="11"/>
  <c r="F28" i="11"/>
  <c r="C13" i="11"/>
  <c r="C75" i="8"/>
  <c r="G78" i="8"/>
  <c r="E78" i="8"/>
  <c r="F78" i="8"/>
  <c r="H20" i="47"/>
  <c r="M46" i="109" s="1"/>
  <c r="F20" i="47"/>
  <c r="K46" i="109" s="1"/>
  <c r="H17" i="47"/>
  <c r="M45" i="109" s="1"/>
  <c r="G17" i="47"/>
  <c r="L45" i="109" s="1"/>
  <c r="G20" i="47"/>
  <c r="L46" i="109" s="1"/>
  <c r="H14" i="47"/>
  <c r="M44" i="109" s="1"/>
  <c r="M16" i="22"/>
  <c r="F14" i="47"/>
  <c r="K44" i="109" s="1"/>
  <c r="F34" i="7"/>
  <c r="K17" i="109" s="1"/>
  <c r="G34" i="7"/>
  <c r="L17" i="109" s="1"/>
  <c r="G12" i="7"/>
  <c r="H23" i="47"/>
  <c r="M47" i="109" s="1"/>
  <c r="F30" i="7"/>
  <c r="K16" i="109" s="1"/>
  <c r="F12" i="7"/>
  <c r="H11" i="1"/>
  <c r="H11" i="47"/>
  <c r="F42" i="7"/>
  <c r="G30" i="7"/>
  <c r="L16" i="109" s="1"/>
  <c r="F23" i="47"/>
  <c r="K47" i="109" s="1"/>
  <c r="G14" i="47"/>
  <c r="L44" i="109" s="1"/>
  <c r="K27" i="22"/>
  <c r="I24" i="7"/>
  <c r="N15" i="109" s="1"/>
  <c r="I30" i="7"/>
  <c r="N16" i="109" s="1"/>
  <c r="I34" i="7"/>
  <c r="N17" i="109" s="1"/>
  <c r="I12" i="7"/>
  <c r="G23" i="47"/>
  <c r="L47" i="109" s="1"/>
  <c r="M57" i="22"/>
  <c r="M30" i="109" s="1"/>
  <c r="L27" i="22"/>
  <c r="H30" i="7"/>
  <c r="M16" i="109" s="1"/>
  <c r="H34" i="7"/>
  <c r="M17" i="109" s="1"/>
  <c r="H16" i="7" l="1"/>
  <c r="M14" i="109" s="1"/>
  <c r="F11" i="47"/>
  <c r="L17" i="70"/>
  <c r="G39" i="11"/>
  <c r="J38" i="11"/>
  <c r="E32" i="7" s="1"/>
  <c r="I16" i="7"/>
  <c r="N14" i="109" s="1"/>
  <c r="C34" i="7"/>
  <c r="J36" i="7"/>
  <c r="F60" i="11"/>
  <c r="I59" i="11"/>
  <c r="D33" i="7" s="1"/>
  <c r="G19" i="8"/>
  <c r="F19" i="8"/>
  <c r="E19" i="8"/>
  <c r="F13" i="13"/>
  <c r="H13" i="13" s="1"/>
  <c r="F14" i="8"/>
  <c r="G14" i="8"/>
  <c r="E14" i="8"/>
  <c r="J16" i="11"/>
  <c r="G23" i="11"/>
  <c r="C38" i="11"/>
  <c r="H12" i="7"/>
  <c r="H93" i="11"/>
  <c r="E94" i="11"/>
  <c r="F63" i="8"/>
  <c r="E63" i="8"/>
  <c r="G63" i="8"/>
  <c r="F23" i="8"/>
  <c r="E23" i="8"/>
  <c r="G23" i="8"/>
  <c r="I16" i="11"/>
  <c r="F23" i="11"/>
  <c r="K25" i="109"/>
  <c r="K10" i="22"/>
  <c r="M43" i="109"/>
  <c r="H10" i="47"/>
  <c r="H21" i="1"/>
  <c r="M55" i="109" s="1"/>
  <c r="G16" i="7"/>
  <c r="L14" i="109" s="1"/>
  <c r="F19" i="11"/>
  <c r="I12" i="11"/>
  <c r="C11" i="11"/>
  <c r="C10" i="11" s="1"/>
  <c r="C17" i="11"/>
  <c r="R17" i="70"/>
  <c r="F37" i="7"/>
  <c r="K18" i="109" s="1"/>
  <c r="K20" i="109"/>
  <c r="L13" i="109"/>
  <c r="N27" i="22"/>
  <c r="M52" i="109"/>
  <c r="H10" i="1"/>
  <c r="G24" i="7"/>
  <c r="L15" i="109" s="1"/>
  <c r="M24" i="109"/>
  <c r="G20" i="11"/>
  <c r="J13" i="11"/>
  <c r="C16" i="11"/>
  <c r="E16" i="11" s="1"/>
  <c r="E23" i="11"/>
  <c r="I17" i="11"/>
  <c r="D31" i="7" s="1"/>
  <c r="D30" i="7" s="1"/>
  <c r="F18" i="11"/>
  <c r="I11" i="11"/>
  <c r="D37" i="109"/>
  <c r="J44" i="38"/>
  <c r="D10" i="38"/>
  <c r="G94" i="11"/>
  <c r="J93" i="11"/>
  <c r="G10" i="38"/>
  <c r="L37" i="109"/>
  <c r="J12" i="11"/>
  <c r="G19" i="11"/>
  <c r="H59" i="11"/>
  <c r="C33" i="7" s="1"/>
  <c r="E60" i="11"/>
  <c r="H24" i="7"/>
  <c r="M15" i="109" s="1"/>
  <c r="E20" i="11"/>
  <c r="H13" i="11"/>
  <c r="I38" i="11"/>
  <c r="D32" i="7" s="1"/>
  <c r="F39" i="11"/>
  <c r="L10" i="22"/>
  <c r="L25" i="109"/>
  <c r="G18" i="11"/>
  <c r="J17" i="11"/>
  <c r="E31" i="7" s="1"/>
  <c r="J11" i="11"/>
  <c r="E18" i="11"/>
  <c r="H11" i="11"/>
  <c r="H17" i="11"/>
  <c r="C31" i="7" s="1"/>
  <c r="I11" i="7"/>
  <c r="N13" i="109"/>
  <c r="K13" i="109"/>
  <c r="F17" i="47"/>
  <c r="K45" i="109" s="1"/>
  <c r="M27" i="22"/>
  <c r="M25" i="109" s="1"/>
  <c r="G42" i="7"/>
  <c r="E20" i="8"/>
  <c r="G20" i="8"/>
  <c r="F20" i="8"/>
  <c r="G60" i="11"/>
  <c r="J59" i="11"/>
  <c r="E33" i="7" s="1"/>
  <c r="M35" i="22"/>
  <c r="M26" i="109" s="1"/>
  <c r="F16" i="7"/>
  <c r="K14" i="109" s="1"/>
  <c r="H42" i="7"/>
  <c r="K37" i="109"/>
  <c r="F10" i="38"/>
  <c r="H38" i="11"/>
  <c r="C32" i="7" s="1"/>
  <c r="E39" i="11"/>
  <c r="E37" i="109"/>
  <c r="E37" i="65" s="1"/>
  <c r="P36" i="70" s="1"/>
  <c r="Q36" i="70" s="1"/>
  <c r="E10" i="38"/>
  <c r="E31" i="109" s="1"/>
  <c r="E31" i="65" s="1"/>
  <c r="P30" i="70" s="1"/>
  <c r="Q30" i="70" s="1"/>
  <c r="C60" i="8"/>
  <c r="H10" i="38"/>
  <c r="M37" i="109"/>
  <c r="I13" i="11"/>
  <c r="F20" i="11"/>
  <c r="J33" i="70"/>
  <c r="K33" i="70" s="1"/>
  <c r="K34" i="65"/>
  <c r="I93" i="11"/>
  <c r="F94" i="11"/>
  <c r="F24" i="7"/>
  <c r="K15" i="109" s="1"/>
  <c r="G11" i="47"/>
  <c r="C17" i="8"/>
  <c r="E18" i="8"/>
  <c r="F18" i="8"/>
  <c r="G18" i="8"/>
  <c r="H12" i="11"/>
  <c r="E19" i="11"/>
  <c r="E34" i="9" l="1"/>
  <c r="G34" i="9"/>
  <c r="F34" i="9"/>
  <c r="F105" i="9"/>
  <c r="E105" i="9"/>
  <c r="G105" i="9"/>
  <c r="C16" i="9"/>
  <c r="G23" i="9"/>
  <c r="E23" i="9"/>
  <c r="F23" i="9"/>
  <c r="C95" i="9"/>
  <c r="E96" i="9"/>
  <c r="G96" i="9"/>
  <c r="F96" i="9"/>
  <c r="C17" i="9"/>
  <c r="C11" i="9"/>
  <c r="E18" i="9"/>
  <c r="G18" i="9"/>
  <c r="F18" i="9"/>
  <c r="F37" i="9"/>
  <c r="E37" i="9"/>
  <c r="G37" i="9"/>
  <c r="F13" i="68"/>
  <c r="K31" i="109"/>
  <c r="M13" i="109"/>
  <c r="H11" i="7"/>
  <c r="G87" i="9"/>
  <c r="F87" i="9"/>
  <c r="E87" i="9"/>
  <c r="C60" i="9"/>
  <c r="C67" i="9"/>
  <c r="E68" i="9"/>
  <c r="G68" i="9"/>
  <c r="F68" i="9"/>
  <c r="G13" i="11"/>
  <c r="J13" i="8"/>
  <c r="F121" i="9"/>
  <c r="G121" i="9"/>
  <c r="E121" i="9"/>
  <c r="L31" i="109"/>
  <c r="D13" i="68"/>
  <c r="E55" i="9"/>
  <c r="G55" i="9"/>
  <c r="F55" i="9"/>
  <c r="E33" i="9"/>
  <c r="G33" i="9"/>
  <c r="F33" i="9"/>
  <c r="F58" i="9"/>
  <c r="G58" i="9"/>
  <c r="E58" i="9"/>
  <c r="C45" i="9"/>
  <c r="G46" i="9"/>
  <c r="E46" i="9"/>
  <c r="F46" i="9"/>
  <c r="C102" i="9"/>
  <c r="G103" i="9"/>
  <c r="E103" i="9"/>
  <c r="F103" i="9"/>
  <c r="F83" i="9"/>
  <c r="E83" i="9"/>
  <c r="G83" i="9"/>
  <c r="G40" i="9"/>
  <c r="F40" i="9"/>
  <c r="E40" i="9"/>
  <c r="G27" i="9"/>
  <c r="E27" i="9"/>
  <c r="F27" i="9"/>
  <c r="F98" i="9"/>
  <c r="G98" i="9"/>
  <c r="E98" i="9"/>
  <c r="C52" i="9"/>
  <c r="F53" i="9"/>
  <c r="G53" i="9"/>
  <c r="E53" i="9"/>
  <c r="L33" i="70"/>
  <c r="H37" i="7"/>
  <c r="M18" i="109" s="1"/>
  <c r="M20" i="109"/>
  <c r="L22" i="109"/>
  <c r="D12" i="68"/>
  <c r="M10" i="22"/>
  <c r="F16" i="11"/>
  <c r="I16" i="8"/>
  <c r="G41" i="9"/>
  <c r="F41" i="9"/>
  <c r="E41" i="9"/>
  <c r="E12" i="11"/>
  <c r="H12" i="8"/>
  <c r="F11" i="7"/>
  <c r="G16" i="11"/>
  <c r="J16" i="8"/>
  <c r="J34" i="7"/>
  <c r="C17" i="109"/>
  <c r="C81" i="9"/>
  <c r="E82" i="9"/>
  <c r="F82" i="9"/>
  <c r="G82" i="9"/>
  <c r="F13" i="11"/>
  <c r="I13" i="8"/>
  <c r="D31" i="109"/>
  <c r="C13" i="68"/>
  <c r="J10" i="38"/>
  <c r="F125" i="9"/>
  <c r="G125" i="9"/>
  <c r="E125" i="9"/>
  <c r="E84" i="9"/>
  <c r="F84" i="9"/>
  <c r="G84" i="9"/>
  <c r="C31" i="9"/>
  <c r="G32" i="9"/>
  <c r="E32" i="9"/>
  <c r="F32" i="9"/>
  <c r="E13" i="11"/>
  <c r="H13" i="8"/>
  <c r="E15" i="68"/>
  <c r="M51" i="109"/>
  <c r="F12" i="11"/>
  <c r="I12" i="8"/>
  <c r="C13" i="9"/>
  <c r="E20" i="9"/>
  <c r="G20" i="9"/>
  <c r="F20" i="9"/>
  <c r="C24" i="9"/>
  <c r="G25" i="9"/>
  <c r="F25" i="9"/>
  <c r="E25" i="9"/>
  <c r="C12" i="9"/>
  <c r="G19" i="9"/>
  <c r="F19" i="9"/>
  <c r="E19" i="9"/>
  <c r="C119" i="9"/>
  <c r="C118" i="9" s="1"/>
  <c r="F120" i="9"/>
  <c r="G120" i="9"/>
  <c r="E120" i="9"/>
  <c r="C65" i="9"/>
  <c r="G73" i="9"/>
  <c r="F73" i="9"/>
  <c r="E73" i="9"/>
  <c r="E44" i="9"/>
  <c r="G44" i="9"/>
  <c r="F44" i="9"/>
  <c r="M31" i="109"/>
  <c r="E13" i="68"/>
  <c r="I10" i="7"/>
  <c r="N11" i="109" s="1"/>
  <c r="N12" i="109"/>
  <c r="O37" i="109"/>
  <c r="D37" i="65"/>
  <c r="J31" i="7"/>
  <c r="C30" i="7"/>
  <c r="I10" i="11"/>
  <c r="F11" i="11"/>
  <c r="I11" i="8"/>
  <c r="N10" i="22"/>
  <c r="N22" i="109" s="1"/>
  <c r="N25" i="109"/>
  <c r="E48" i="9"/>
  <c r="G48" i="9"/>
  <c r="F48" i="9"/>
  <c r="G101" i="9"/>
  <c r="F101" i="9"/>
  <c r="E101" i="9"/>
  <c r="E26" i="9"/>
  <c r="F26" i="9"/>
  <c r="G26" i="9"/>
  <c r="G51" i="9"/>
  <c r="E51" i="9"/>
  <c r="F51" i="9"/>
  <c r="R30" i="70"/>
  <c r="E11" i="11"/>
  <c r="H10" i="11"/>
  <c r="H11" i="8"/>
  <c r="G11" i="7"/>
  <c r="C62" i="9"/>
  <c r="G70" i="9"/>
  <c r="F70" i="9"/>
  <c r="E70" i="9"/>
  <c r="E122" i="9"/>
  <c r="G122" i="9"/>
  <c r="F122" i="9"/>
  <c r="G10" i="47"/>
  <c r="L43" i="109"/>
  <c r="R36" i="70"/>
  <c r="J33" i="7"/>
  <c r="D16" i="109"/>
  <c r="D16" i="65" s="1"/>
  <c r="J16" i="70" s="1"/>
  <c r="K16" i="70" s="1"/>
  <c r="D11" i="7"/>
  <c r="E14" i="68"/>
  <c r="M42" i="109"/>
  <c r="G11" i="11"/>
  <c r="J10" i="11"/>
  <c r="J11" i="8"/>
  <c r="K43" i="109"/>
  <c r="F10" i="47"/>
  <c r="E47" i="9"/>
  <c r="G47" i="9"/>
  <c r="F47" i="9"/>
  <c r="G30" i="9"/>
  <c r="F30" i="9"/>
  <c r="E30" i="9"/>
  <c r="E104" i="9"/>
  <c r="F104" i="9"/>
  <c r="G104" i="9"/>
  <c r="F54" i="9"/>
  <c r="G54" i="9"/>
  <c r="E54" i="9"/>
  <c r="C61" i="9"/>
  <c r="G69" i="9"/>
  <c r="F69" i="9"/>
  <c r="E69" i="9"/>
  <c r="C38" i="9"/>
  <c r="E39" i="9"/>
  <c r="G39" i="9"/>
  <c r="F39" i="9"/>
  <c r="J32" i="7"/>
  <c r="G37" i="7"/>
  <c r="L18" i="109" s="1"/>
  <c r="L20" i="109"/>
  <c r="E30" i="7"/>
  <c r="G12" i="11"/>
  <c r="J12" i="8"/>
  <c r="K22" i="109"/>
  <c r="F12" i="68"/>
  <c r="E16" i="109" l="1"/>
  <c r="E16" i="65" s="1"/>
  <c r="P16" i="70" s="1"/>
  <c r="Q16" i="70" s="1"/>
  <c r="E11" i="7"/>
  <c r="G13" i="9"/>
  <c r="F13" i="9"/>
  <c r="E13" i="9"/>
  <c r="C13" i="8"/>
  <c r="F12" i="13" s="1"/>
  <c r="H12" i="13" s="1"/>
  <c r="F16" i="8"/>
  <c r="G13" i="8"/>
  <c r="F12" i="8"/>
  <c r="C17" i="65"/>
  <c r="O17" i="109"/>
  <c r="M22" i="109"/>
  <c r="E12" i="68"/>
  <c r="D12" i="109"/>
  <c r="D12" i="65" s="1"/>
  <c r="J12" i="70" s="1"/>
  <c r="K12" i="70" s="1"/>
  <c r="D10" i="7"/>
  <c r="I10" i="8"/>
  <c r="G12" i="9"/>
  <c r="F12" i="9"/>
  <c r="E12" i="9"/>
  <c r="C12" i="8"/>
  <c r="F11" i="13" s="1"/>
  <c r="H11" i="13" s="1"/>
  <c r="G16" i="8"/>
  <c r="G12" i="13"/>
  <c r="I12" i="13" s="1"/>
  <c r="E13" i="8"/>
  <c r="E16" i="9"/>
  <c r="F16" i="9"/>
  <c r="G16" i="9"/>
  <c r="C16" i="8"/>
  <c r="E16" i="8" s="1"/>
  <c r="F10" i="7"/>
  <c r="K12" i="109"/>
  <c r="C59" i="9"/>
  <c r="F60" i="9"/>
  <c r="E60" i="9"/>
  <c r="G60" i="9"/>
  <c r="L12" i="109"/>
  <c r="G10" i="7"/>
  <c r="J30" i="7"/>
  <c r="C16" i="109"/>
  <c r="C11" i="7"/>
  <c r="G61" i="9"/>
  <c r="F61" i="9"/>
  <c r="E61" i="9"/>
  <c r="H10" i="8"/>
  <c r="G10" i="13"/>
  <c r="E11" i="8"/>
  <c r="D31" i="65"/>
  <c r="O31" i="109"/>
  <c r="G11" i="13"/>
  <c r="I11" i="13" s="1"/>
  <c r="L16" i="70"/>
  <c r="K42" i="109"/>
  <c r="F14" i="68"/>
  <c r="J36" i="70"/>
  <c r="K36" i="70" s="1"/>
  <c r="K37" i="65"/>
  <c r="F65" i="9"/>
  <c r="G65" i="9"/>
  <c r="E65" i="9"/>
  <c r="F13" i="8"/>
  <c r="C10" i="9"/>
  <c r="G11" i="9"/>
  <c r="E11" i="9"/>
  <c r="F11" i="9"/>
  <c r="C11" i="8"/>
  <c r="G62" i="9"/>
  <c r="F62" i="9"/>
  <c r="E62" i="9"/>
  <c r="J10" i="8"/>
  <c r="G11" i="8"/>
  <c r="L42" i="109"/>
  <c r="D14" i="68"/>
  <c r="H10" i="7"/>
  <c r="M12" i="109"/>
  <c r="N10" i="109"/>
  <c r="L11" i="109" l="1"/>
  <c r="L10" i="109" s="1"/>
  <c r="D11" i="68"/>
  <c r="D10" i="68" s="1"/>
  <c r="D17" i="70"/>
  <c r="E17" i="70" s="1"/>
  <c r="K17" i="65"/>
  <c r="L36" i="70"/>
  <c r="F11" i="8"/>
  <c r="C10" i="8"/>
  <c r="F10" i="13"/>
  <c r="F11" i="68"/>
  <c r="F10" i="68" s="1"/>
  <c r="K11" i="109"/>
  <c r="K10" i="109" s="1"/>
  <c r="C11" i="68"/>
  <c r="C10" i="68" s="1"/>
  <c r="D11" i="109"/>
  <c r="L12" i="70"/>
  <c r="G12" i="8"/>
  <c r="C12" i="109"/>
  <c r="C10" i="7"/>
  <c r="J11" i="7"/>
  <c r="O16" i="109"/>
  <c r="C16" i="65"/>
  <c r="E12" i="109"/>
  <c r="E12" i="65" s="1"/>
  <c r="P12" i="70" s="1"/>
  <c r="Q12" i="70" s="1"/>
  <c r="E10" i="7"/>
  <c r="E11" i="109" s="1"/>
  <c r="J30" i="70"/>
  <c r="K30" i="70" s="1"/>
  <c r="K31" i="65"/>
  <c r="G15" i="13"/>
  <c r="I15" i="13" s="1"/>
  <c r="I10" i="13"/>
  <c r="E11" i="68"/>
  <c r="E10" i="68" s="1"/>
  <c r="M11" i="109"/>
  <c r="M10" i="109" s="1"/>
  <c r="E12" i="8"/>
  <c r="R16" i="70"/>
  <c r="F15" i="13" l="1"/>
  <c r="H15" i="13" s="1"/>
  <c r="H10" i="13"/>
  <c r="C11" i="109"/>
  <c r="J10" i="7"/>
  <c r="R12" i="70"/>
  <c r="C12" i="65"/>
  <c r="O12" i="109"/>
  <c r="F17" i="70"/>
  <c r="K16" i="65"/>
  <c r="D16" i="70"/>
  <c r="E16" i="70" s="1"/>
  <c r="L30" i="70"/>
  <c r="D11" i="65"/>
  <c r="J11" i="70" s="1"/>
  <c r="D10" i="109"/>
  <c r="D10" i="65" s="1"/>
  <c r="E11" i="65"/>
  <c r="P11" i="70" s="1"/>
  <c r="E10" i="109"/>
  <c r="E10" i="65" s="1"/>
  <c r="Q11" i="70" l="1"/>
  <c r="P10" i="70"/>
  <c r="Q10" i="70" s="1"/>
  <c r="K12" i="65"/>
  <c r="D12" i="70"/>
  <c r="E12" i="70" s="1"/>
  <c r="J10" i="70"/>
  <c r="K10" i="70" s="1"/>
  <c r="K11" i="70"/>
  <c r="C11" i="65"/>
  <c r="O11" i="109"/>
  <c r="C10" i="109"/>
  <c r="F16" i="70"/>
  <c r="C10" i="65" l="1"/>
  <c r="K10" i="65" s="1"/>
  <c r="O10" i="109"/>
  <c r="D11" i="70"/>
  <c r="K11" i="65"/>
  <c r="L10" i="70"/>
  <c r="F12" i="70"/>
  <c r="L11" i="70"/>
  <c r="R10" i="70"/>
  <c r="R11" i="70"/>
  <c r="E11" i="70" l="1"/>
  <c r="D10" i="70"/>
  <c r="K71" i="65"/>
  <c r="K72" i="65"/>
  <c r="G34" i="73" l="1"/>
  <c r="E10" i="70"/>
  <c r="F11" i="70"/>
  <c r="H11" i="70"/>
  <c r="F10" i="70" l="1"/>
  <c r="H10" i="70"/>
  <c r="I34" i="73"/>
  <c r="J34" i="73" s="1"/>
  <c r="G35" i="73"/>
  <c r="H25" i="73"/>
  <c r="T49" i="70"/>
  <c r="H45" i="70"/>
  <c r="H46" i="70"/>
  <c r="H23" i="73"/>
  <c r="H24" i="73"/>
  <c r="H22" i="73"/>
  <c r="H21" i="73"/>
  <c r="T44" i="70"/>
  <c r="T45" i="70"/>
  <c r="T42" i="70"/>
  <c r="T43" i="70"/>
  <c r="N42" i="70"/>
  <c r="H65" i="70"/>
  <c r="H49" i="70"/>
  <c r="H42" i="70"/>
  <c r="T54" i="70"/>
  <c r="H44" i="70"/>
  <c r="N43" i="70"/>
  <c r="H48" i="70"/>
  <c r="N51" i="70"/>
  <c r="T52" i="70"/>
  <c r="N44" i="70"/>
  <c r="T50" i="70"/>
  <c r="N45" i="70"/>
  <c r="H43" i="70"/>
  <c r="H38" i="70"/>
  <c r="H41" i="70"/>
  <c r="N25" i="70"/>
  <c r="N54" i="70"/>
  <c r="T20" i="70"/>
  <c r="Z27" i="73"/>
  <c r="H37" i="70"/>
  <c r="T19" i="70"/>
  <c r="Z28" i="73"/>
  <c r="T25" i="70"/>
  <c r="N50" i="70"/>
  <c r="N19" i="70"/>
  <c r="T22" i="70"/>
  <c r="T15" i="70"/>
  <c r="T18" i="70"/>
  <c r="H30" i="70"/>
  <c r="N61" i="70"/>
  <c r="N20" i="70"/>
  <c r="T24" i="70"/>
  <c r="N15" i="70"/>
  <c r="N52" i="70"/>
  <c r="T60" i="70"/>
  <c r="T61" i="70"/>
  <c r="Z10" i="73"/>
  <c r="T34" i="70"/>
  <c r="N14" i="70"/>
  <c r="H24" i="70"/>
  <c r="H25" i="70"/>
  <c r="T46" i="70"/>
  <c r="N60" i="70"/>
  <c r="N24" i="70"/>
  <c r="N32" i="70"/>
  <c r="H29" i="70"/>
  <c r="T14" i="70"/>
  <c r="N59" i="70"/>
  <c r="N18" i="70"/>
  <c r="T59" i="70"/>
  <c r="T41" i="70"/>
  <c r="H26" i="70"/>
  <c r="T13" i="70"/>
  <c r="N22" i="70"/>
  <c r="H10" i="73"/>
  <c r="N10" i="73"/>
  <c r="N13" i="73"/>
  <c r="H60" i="70"/>
  <c r="H53" i="70"/>
  <c r="H61" i="70"/>
  <c r="N13" i="70"/>
  <c r="H20" i="70"/>
  <c r="N31" i="70"/>
  <c r="H15" i="70"/>
  <c r="H23" i="70"/>
  <c r="H19" i="70"/>
  <c r="H50" i="70"/>
  <c r="H59" i="70"/>
  <c r="T32" i="70"/>
  <c r="H18" i="70"/>
  <c r="H63" i="70"/>
  <c r="H13" i="70"/>
  <c r="H22" i="70"/>
  <c r="N46" i="70"/>
  <c r="H14" i="70"/>
  <c r="N41" i="70"/>
  <c r="N17" i="70"/>
  <c r="T17" i="70"/>
  <c r="T30" i="70"/>
  <c r="N33" i="70"/>
  <c r="T36" i="70"/>
  <c r="N16" i="70"/>
  <c r="T16" i="70"/>
  <c r="N12" i="70"/>
  <c r="N36" i="70"/>
  <c r="N30" i="70"/>
  <c r="T12" i="70"/>
  <c r="H17" i="70"/>
  <c r="H16" i="70"/>
  <c r="T10" i="70"/>
  <c r="N10" i="70"/>
  <c r="H12" i="70"/>
  <c r="T11" i="70"/>
  <c r="N11" i="70"/>
  <c r="I35" i="73" l="1"/>
  <c r="J35" i="73" s="1"/>
  <c r="G25" i="73"/>
  <c r="G22" i="73"/>
  <c r="G24" i="73"/>
  <c r="G23" i="73"/>
  <c r="G21" i="73"/>
  <c r="G65" i="70"/>
  <c r="S54" i="70"/>
  <c r="M51" i="70"/>
  <c r="S50" i="70"/>
  <c r="S52" i="70"/>
  <c r="G38" i="70"/>
  <c r="M25" i="70"/>
  <c r="M54" i="70"/>
  <c r="S20" i="70"/>
  <c r="Y28" i="73"/>
  <c r="G37" i="70"/>
  <c r="Y27" i="73"/>
  <c r="S19" i="70"/>
  <c r="S25" i="70"/>
  <c r="M50" i="70"/>
  <c r="Y10" i="73"/>
  <c r="S60" i="70"/>
  <c r="M19" i="70"/>
  <c r="S22" i="70"/>
  <c r="M52" i="70"/>
  <c r="S15" i="70"/>
  <c r="S18" i="70"/>
  <c r="M61" i="70"/>
  <c r="S24" i="70"/>
  <c r="M15" i="70"/>
  <c r="G30" i="70"/>
  <c r="M20" i="70"/>
  <c r="S61" i="70"/>
  <c r="M14" i="70"/>
  <c r="G25" i="70"/>
  <c r="S34" i="70"/>
  <c r="G24" i="70"/>
  <c r="M60" i="70"/>
  <c r="M24" i="70"/>
  <c r="M32" i="70"/>
  <c r="G29" i="70"/>
  <c r="M59" i="70"/>
  <c r="S14" i="70"/>
  <c r="S59" i="70"/>
  <c r="M18" i="70"/>
  <c r="G10" i="73"/>
  <c r="M13" i="73"/>
  <c r="G26" i="70"/>
  <c r="M10" i="73"/>
  <c r="M22" i="70"/>
  <c r="S13" i="70"/>
  <c r="G61" i="70"/>
  <c r="G60" i="70"/>
  <c r="G53" i="70"/>
  <c r="M31" i="70"/>
  <c r="M13" i="70"/>
  <c r="G20" i="70"/>
  <c r="G15" i="70"/>
  <c r="G19" i="70"/>
  <c r="G23" i="70"/>
  <c r="G59" i="70"/>
  <c r="S32" i="70"/>
  <c r="G50" i="70"/>
  <c r="G18" i="70"/>
  <c r="G63" i="70"/>
  <c r="G13" i="70"/>
  <c r="G22" i="70"/>
  <c r="G14" i="70"/>
  <c r="M17" i="70"/>
  <c r="S17" i="70"/>
  <c r="S30" i="70"/>
  <c r="M33" i="70"/>
  <c r="S36" i="70"/>
  <c r="M16" i="70"/>
  <c r="M12" i="70"/>
  <c r="M36" i="70"/>
  <c r="S16" i="70"/>
  <c r="S12" i="70"/>
  <c r="M30" i="70"/>
  <c r="G17" i="70"/>
  <c r="G16" i="70"/>
  <c r="M11" i="70"/>
  <c r="M10" i="70"/>
  <c r="S10" i="70"/>
  <c r="S11" i="70"/>
  <c r="G12" i="70"/>
  <c r="G11" i="70"/>
  <c r="G10" i="70"/>
</calcChain>
</file>

<file path=xl/sharedStrings.xml><?xml version="1.0" encoding="utf-8"?>
<sst xmlns="http://schemas.openxmlformats.org/spreadsheetml/2006/main" count="19145" uniqueCount="2462">
  <si>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</si>
  <si>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</si>
  <si>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</si>
  <si>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</si>
  <si>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</si>
  <si>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</si>
  <si>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</si>
  <si>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</si>
  <si>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</si>
  <si>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</si>
  <si>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</si>
  <si>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</si>
  <si>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</si>
  <si>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</si>
  <si>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</si>
  <si>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</si>
  <si>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</si>
  <si>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</si>
  <si>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</si>
  <si>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</si>
  <si>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</si>
  <si>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</si>
  <si>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</si>
  <si>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</si>
  <si>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</si>
  <si>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</si>
  <si>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</si>
  <si>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</si>
  <si>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</si>
  <si>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</si>
  <si>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</si>
  <si>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</si>
  <si>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</si>
  <si>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</si>
  <si>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</si>
  <si>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</si>
  <si>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</si>
  <si>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</si>
  <si>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</si>
  <si>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</si>
  <si>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</si>
  <si>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</si>
  <si>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</si>
  <si>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</si>
  <si>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</si>
  <si>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</si>
  <si>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</si>
  <si>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</si>
  <si>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</si>
  <si>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</si>
  <si>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</si>
  <si>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</si>
  <si>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</si>
  <si>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</si>
  <si>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</si>
  <si>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</si>
  <si>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</si>
  <si>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</si>
  <si>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</si>
  <si>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</si>
  <si>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</si>
  <si>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</si>
  <si>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</si>
  <si>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</si>
  <si>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</si>
  <si>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</si>
  <si>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</si>
  <si>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</si>
  <si>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</si>
  <si>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</si>
  <si>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</si>
  <si>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</si>
  <si>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</si>
  <si>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</si>
  <si>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</si>
  <si>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</si>
  <si>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</si>
  <si>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</si>
  <si>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</si>
  <si>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</si>
  <si>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</si>
  <si>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</si>
  <si>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</si>
  <si>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</si>
  <si>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</si>
  <si>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</si>
  <si>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</si>
  <si>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</si>
  <si>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</si>
  <si>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</si>
  <si>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</si>
  <si>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</si>
  <si>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</si>
  <si>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</si>
  <si>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</si>
  <si>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</si>
  <si>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</si>
  <si>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</si>
  <si>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</si>
  <si>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</si>
  <si>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</si>
  <si>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</si>
  <si>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</si>
  <si>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</si>
  <si>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</si>
  <si>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</si>
  <si>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</si>
  <si>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</si>
  <si>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</si>
  <si>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</si>
  <si>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</si>
  <si>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</si>
  <si>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</si>
  <si>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</si>
  <si>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</si>
  <si>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</si>
  <si>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</si>
  <si>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</si>
  <si>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</si>
  <si>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</si>
  <si>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</si>
  <si>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</si>
  <si>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</si>
  <si>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</si>
  <si>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</si>
  <si>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</si>
  <si>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</si>
  <si>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</si>
  <si>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</si>
  <si>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</si>
  <si>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</si>
  <si>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</si>
  <si>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</si>
  <si>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</si>
  <si>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</si>
  <si>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</si>
  <si>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</si>
  <si>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</si>
  <si>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</si>
  <si>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</si>
  <si>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</si>
  <si>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</si>
  <si>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</si>
  <si>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</si>
  <si>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</si>
  <si>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</si>
  <si>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</si>
  <si>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</si>
  <si>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</si>
  <si>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</si>
  <si>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</si>
  <si>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</si>
  <si>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</si>
  <si>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</si>
  <si>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</si>
  <si>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</si>
  <si>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</si>
  <si>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</si>
  <si>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</si>
  <si>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</si>
  <si>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</si>
  <si>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</si>
  <si>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</si>
  <si>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</si>
  <si>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</si>
  <si>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</si>
  <si>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</si>
  <si>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</si>
  <si>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</si>
  <si>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</si>
  <si>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</si>
  <si>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</si>
  <si>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</si>
  <si>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</si>
  <si>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</si>
  <si>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</si>
  <si>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</si>
  <si>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</si>
  <si>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</si>
  <si>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</si>
  <si>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</si>
  <si>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</si>
  <si>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</si>
  <si>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</si>
  <si>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</si>
  <si>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</si>
  <si>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</si>
  <si>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</si>
  <si>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</si>
  <si>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</si>
  <si>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</si>
  <si>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</si>
  <si>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</si>
  <si>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</si>
  <si>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</si>
  <si>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</si>
  <si>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</si>
  <si>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</si>
  <si>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</si>
  <si>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</si>
  <si>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</si>
  <si>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</si>
  <si>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</si>
  <si>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</si>
  <si>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</si>
  <si>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</si>
  <si>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</si>
  <si>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</si>
  <si>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</si>
  <si>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</si>
  <si>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</si>
  <si>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</si>
  <si>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</si>
  <si>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</si>
  <si>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</si>
  <si>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</si>
  <si>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</si>
  <si>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</si>
  <si>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</si>
  <si>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</si>
  <si>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</si>
  <si>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</si>
  <si>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</si>
  <si>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</si>
  <si>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</si>
  <si>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</si>
  <si>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</si>
  <si>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</si>
  <si>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</si>
  <si>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</si>
  <si>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</si>
  <si>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</si>
  <si>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</si>
  <si>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</si>
  <si>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</si>
  <si>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</si>
  <si>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</si>
  <si>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</si>
  <si>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</si>
  <si>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</si>
  <si>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</si>
  <si>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</si>
  <si>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</si>
  <si>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</si>
  <si>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</si>
  <si>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</si>
  <si>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</si>
  <si>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</si>
  <si>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</si>
  <si>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</si>
  <si>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</si>
  <si>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</si>
  <si>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</si>
  <si>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</si>
  <si>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</si>
  <si>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</si>
  <si>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</si>
  <si>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</si>
  <si>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</si>
  <si>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</si>
  <si>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</si>
  <si>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</si>
  <si>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</si>
  <si>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</si>
  <si>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</si>
  <si>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</si>
  <si>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</si>
  <si>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</si>
  <si>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</si>
  <si>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</si>
  <si>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</si>
  <si>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</si>
  <si>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</si>
  <si>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</si>
  <si>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</si>
  <si>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</si>
  <si>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</si>
  <si>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</si>
  <si>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</si>
  <si>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</si>
  <si>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</si>
  <si>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</si>
  <si>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</si>
  <si>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</si>
  <si>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</si>
  <si>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</si>
  <si>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</si>
  <si>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</si>
  <si>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</si>
  <si>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</si>
  <si>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</si>
  <si>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</si>
  <si>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</si>
  <si>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</si>
  <si>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</si>
  <si>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</si>
  <si>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</si>
  <si>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</si>
  <si>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</si>
  <si>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</si>
  <si>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</si>
  <si>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</si>
  <si>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</si>
  <si>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</si>
  <si>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</si>
  <si>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</si>
  <si>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</si>
  <si>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</si>
  <si>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</si>
  <si>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</si>
  <si>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</si>
  <si>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</si>
  <si>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</si>
  <si>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</si>
  <si>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</si>
  <si>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</si>
  <si>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</si>
  <si>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</si>
  <si>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</si>
  <si>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</si>
  <si>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</si>
  <si>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</si>
  <si>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</si>
  <si>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</si>
  <si>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</si>
  <si>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</si>
  <si>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</si>
  <si>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</si>
  <si>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</si>
  <si>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</si>
  <si>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</si>
  <si>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</si>
  <si>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</si>
  <si>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</si>
  <si>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</si>
  <si>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</si>
  <si>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</si>
  <si>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</si>
  <si>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</si>
  <si>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</si>
  <si>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</si>
  <si>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</si>
  <si>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</si>
  <si>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</si>
  <si>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</si>
  <si>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</si>
  <si>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</si>
  <si>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</si>
  <si>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</si>
  <si>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</si>
  <si>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</si>
  <si>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</si>
  <si>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</si>
  <si>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</si>
  <si>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</si>
  <si>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</si>
  <si>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</si>
  <si>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</si>
  <si>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</si>
  <si>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</si>
  <si>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</si>
  <si>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</si>
  <si>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</si>
  <si>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</si>
  <si>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</si>
  <si>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</si>
  <si>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</si>
  <si>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</si>
  <si>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</si>
  <si>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</si>
  <si>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</si>
  <si>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</si>
  <si>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</si>
  <si>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</si>
  <si>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</si>
  <si>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</si>
  <si>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</si>
  <si>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</si>
  <si>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</si>
  <si>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</si>
  <si>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</si>
  <si>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</si>
  <si>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</si>
  <si>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</si>
  <si>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</si>
  <si>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</si>
  <si>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</si>
  <si>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</si>
  <si>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</si>
  <si>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</si>
  <si>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</si>
  <si>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</si>
  <si>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</si>
  <si>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</si>
  <si>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</si>
  <si>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</si>
  <si>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</si>
  <si>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</si>
  <si>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</si>
  <si>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</si>
  <si>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</si>
  <si>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</si>
  <si>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</si>
  <si>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</si>
  <si>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</si>
  <si>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</si>
  <si>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</si>
  <si>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</si>
  <si>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</si>
  <si>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</si>
  <si>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</si>
  <si>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</si>
  <si>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</si>
  <si>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</si>
  <si>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</si>
  <si>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</si>
  <si>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</si>
  <si>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</si>
  <si>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</si>
  <si>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</si>
  <si>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</si>
  <si>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</si>
  <si>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</si>
  <si>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</si>
  <si>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</si>
  <si>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</si>
  <si>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</si>
  <si>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</si>
  <si>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</si>
  <si>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</si>
  <si>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</si>
  <si>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</si>
  <si>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</si>
  <si>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</si>
  <si>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</si>
  <si>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</si>
  <si>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</si>
  <si>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</si>
  <si>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</si>
  <si>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</si>
  <si>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</si>
  <si>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</si>
  <si>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</si>
  <si>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</si>
  <si>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</si>
  <si>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</si>
  <si>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</si>
  <si>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</si>
  <si>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</si>
  <si>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</si>
  <si>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</si>
  <si>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</si>
  <si>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</si>
  <si>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</si>
  <si>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</si>
  <si>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</si>
  <si>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</si>
  <si>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</si>
  <si>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</si>
  <si>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</si>
  <si>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</si>
  <si>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</si>
  <si>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</si>
  <si>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</si>
  <si>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</si>
  <si>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</si>
  <si>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</si>
  <si>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</si>
  <si>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</si>
  <si>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</si>
  <si>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</si>
  <si>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</si>
  <si>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</si>
  <si>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</si>
  <si>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</si>
  <si>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</si>
  <si>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</si>
  <si>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</si>
  <si>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</si>
  <si>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</si>
  <si>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</si>
  <si>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</si>
  <si>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</si>
  <si>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</si>
  <si>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</si>
  <si>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</si>
  <si>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</si>
  <si>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</si>
  <si>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</si>
  <si>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</si>
  <si>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</si>
  <si>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</si>
  <si>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</si>
  <si>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</si>
  <si>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</si>
  <si>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</si>
  <si>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</si>
  <si>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</si>
  <si>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</si>
  <si>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</si>
  <si>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</si>
  <si>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</si>
  <si>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</si>
  <si>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</si>
  <si>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</si>
  <si>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</si>
  <si>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</si>
  <si>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</si>
  <si>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</si>
  <si>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</si>
  <si>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</si>
  <si>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</si>
  <si>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</si>
  <si>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</si>
  <si>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</si>
  <si>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</si>
  <si>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</si>
  <si>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</si>
  <si>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</si>
  <si>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</si>
  <si>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</si>
  <si>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</si>
  <si>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</si>
  <si>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</si>
  <si>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</si>
  <si>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</si>
  <si>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</si>
  <si>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</si>
  <si>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</si>
  <si>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</si>
  <si>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</si>
  <si>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</si>
  <si>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</si>
  <si>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</si>
  <si>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</si>
  <si>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</si>
  <si>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</si>
  <si>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</si>
  <si>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</si>
  <si>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</si>
  <si>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</si>
  <si>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</si>
  <si>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</si>
  <si>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</si>
  <si>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</si>
  <si>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</si>
  <si>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</si>
  <si>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</si>
  <si>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</si>
  <si>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</si>
  <si>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</si>
  <si>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</si>
  <si>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</si>
  <si>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</si>
  <si>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</si>
  <si>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</si>
  <si>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</si>
  <si>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</si>
  <si>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</si>
  <si>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</si>
  <si>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</si>
  <si>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</si>
  <si>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</si>
  <si>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</si>
  <si>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</si>
  <si>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</si>
  <si>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</si>
  <si>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</si>
  <si>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</si>
  <si>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</si>
  <si>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</si>
  <si>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</si>
  <si>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</si>
  <si>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</si>
  <si>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</si>
  <si>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</si>
  <si>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</si>
  <si>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</si>
  <si>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</si>
  <si>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</si>
  <si>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</si>
  <si>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</si>
  <si>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</si>
  <si>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</si>
  <si>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</si>
  <si>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</si>
  <si>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</si>
  <si>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</si>
  <si>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</si>
  <si>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</si>
  <si>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</si>
  <si>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</si>
  <si>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</si>
  <si>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</si>
  <si>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</si>
  <si>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</si>
  <si>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</si>
  <si>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</si>
  <si>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</si>
  <si>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</si>
  <si>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</si>
  <si>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</si>
  <si>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</si>
  <si>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</si>
  <si>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</si>
  <si>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</si>
  <si>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</si>
  <si>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</si>
  <si>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</si>
  <si>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</si>
  <si>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</si>
  <si>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</si>
  <si>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</si>
  <si>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</si>
  <si>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</si>
  <si>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</si>
  <si>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</si>
  <si>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</si>
  <si>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</si>
  <si>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</si>
  <si>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</si>
  <si>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</si>
  <si>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</si>
  <si>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</si>
  <si>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</si>
  <si>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</si>
  <si>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</si>
  <si>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</si>
  <si>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</si>
  <si>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</si>
  <si>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</si>
  <si>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</si>
  <si>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</si>
  <si>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</si>
  <si>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</si>
  <si>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</si>
  <si>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</si>
  <si>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</si>
  <si>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</si>
  <si>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</si>
  <si>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</si>
  <si>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</si>
  <si>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</si>
  <si>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</si>
  <si>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</si>
  <si>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</si>
  <si>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</si>
  <si>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</si>
  <si>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</si>
  <si>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</si>
  <si>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</si>
  <si>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</si>
  <si>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</si>
  <si>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</si>
  <si>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</si>
  <si>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</si>
  <si>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</si>
  <si>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</si>
  <si>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</si>
  <si>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</si>
  <si>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</si>
  <si>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</si>
  <si>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</si>
  <si>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</si>
  <si>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</si>
  <si>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</si>
  <si>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</si>
  <si>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</si>
  <si>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</si>
  <si>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</si>
  <si>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</si>
  <si>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</si>
  <si>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</si>
  <si>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</si>
  <si>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</si>
  <si>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</si>
  <si>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</si>
  <si>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</si>
  <si>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</si>
  <si>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</si>
  <si>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</si>
  <si>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</si>
  <si>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</si>
  <si>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</si>
  <si>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</si>
  <si>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</si>
  <si>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</si>
  <si>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</si>
  <si>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</si>
  <si>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</si>
  <si>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</si>
  <si>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</si>
  <si>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</si>
  <si>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</si>
  <si>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</si>
  <si>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</si>
  <si>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</si>
  <si>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</si>
  <si>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</si>
  <si>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</si>
  <si>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</si>
  <si>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</si>
  <si>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</si>
  <si>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</si>
  <si>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</si>
  <si>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</si>
  <si>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</si>
  <si>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</si>
  <si>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</si>
  <si>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</si>
  <si>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</si>
  <si>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</si>
  <si>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</si>
  <si>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</si>
  <si>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</si>
  <si>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</si>
  <si>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</si>
  <si>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</si>
  <si>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</si>
  <si>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</si>
  <si>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</si>
  <si>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</si>
  <si>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</si>
  <si>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</si>
  <si>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</si>
  <si>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</si>
  <si>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</si>
  <si>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</si>
  <si>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</si>
  <si>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</si>
  <si>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</si>
  <si>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</si>
  <si>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</si>
  <si>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</si>
  <si>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</si>
  <si>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</si>
  <si>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</si>
  <si>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</si>
  <si>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</si>
  <si>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</si>
  <si>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</si>
  <si>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</si>
  <si>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</si>
  <si>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</si>
  <si>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</si>
  <si>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</si>
  <si>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</si>
  <si>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</si>
  <si>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</si>
  <si>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</si>
  <si>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</si>
  <si>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</si>
  <si>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</si>
  <si>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</si>
  <si>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</si>
  <si>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</si>
  <si>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</si>
  <si>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</si>
  <si>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</si>
  <si>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</si>
  <si>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</si>
  <si>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</si>
  <si>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</si>
  <si>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</si>
  <si>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</si>
  <si>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</si>
  <si>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</si>
  <si>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</si>
  <si>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</si>
  <si>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</si>
  <si>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</si>
  <si>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</si>
  <si>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</si>
  <si>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</si>
  <si>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</si>
  <si>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</si>
  <si>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</si>
  <si>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</si>
  <si>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</si>
  <si>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</si>
  <si>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</si>
  <si>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</si>
  <si>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</si>
  <si>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</si>
  <si>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</si>
  <si>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</si>
  <si>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</si>
  <si>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</si>
  <si>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</si>
  <si>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</si>
  <si>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</si>
  <si>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</si>
  <si>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</si>
  <si>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</si>
  <si>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</si>
  <si>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</si>
  <si>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</si>
  <si>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</si>
  <si>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</si>
  <si>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</si>
  <si>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</si>
  <si>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</si>
  <si>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</si>
  <si>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</si>
  <si>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</si>
  <si>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</si>
  <si>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</si>
  <si>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</si>
  <si>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</si>
  <si>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</si>
  <si>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</si>
  <si>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</si>
  <si>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</si>
  <si>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</si>
  <si>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</si>
  <si>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</si>
  <si>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</si>
  <si>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</si>
  <si>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</si>
  <si>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</si>
  <si>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</si>
  <si>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</si>
  <si>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</si>
  <si>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</si>
  <si>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</si>
  <si>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</si>
  <si>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</si>
  <si>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</si>
  <si>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</si>
  <si>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</si>
  <si>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</si>
  <si>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</si>
  <si>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</si>
  <si>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</si>
  <si>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</si>
  <si>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</si>
  <si>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</si>
  <si>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</si>
  <si>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</si>
  <si>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</si>
  <si>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</si>
  <si>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</si>
  <si>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</si>
  <si>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</si>
  <si>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</si>
  <si>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</si>
  <si>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</si>
  <si>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</si>
  <si>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</si>
  <si>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</si>
  <si>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</si>
  <si>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</si>
  <si>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</si>
  <si>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</si>
  <si>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</si>
  <si>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</si>
  <si>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</si>
  <si>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</si>
  <si>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</si>
  <si>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</si>
  <si>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</si>
  <si>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</si>
  <si>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</si>
  <si>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</si>
  <si>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</si>
  <si>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</si>
  <si>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</si>
  <si>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</si>
  <si>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</si>
  <si>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</si>
  <si>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</si>
  <si>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</si>
  <si>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</si>
  <si>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</si>
  <si>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</si>
  <si>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</si>
  <si>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</si>
  <si>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</si>
  <si>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</si>
  <si>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</si>
  <si>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</si>
  <si>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</si>
  <si>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</si>
  <si>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</si>
  <si>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</si>
  <si>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</si>
  <si>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</si>
  <si>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</si>
  <si>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</si>
  <si>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</si>
  <si>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</si>
  <si>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</si>
  <si>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</si>
  <si>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</si>
  <si>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</si>
  <si>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</si>
  <si>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</si>
  <si>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</si>
  <si>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</si>
  <si>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</si>
  <si>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</si>
  <si>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</si>
  <si>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</si>
  <si>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</si>
  <si>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</si>
  <si>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</si>
  <si>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</si>
  <si>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</si>
  <si>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</si>
  <si>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</si>
  <si>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</si>
  <si>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</si>
  <si>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</si>
  <si>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</si>
  <si>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</si>
  <si>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</si>
  <si>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</si>
  <si>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</si>
  <si>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</si>
  <si>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</si>
  <si>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</si>
  <si>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</si>
  <si>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</si>
  <si>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</si>
  <si>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</si>
  <si>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</si>
  <si>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</si>
  <si>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</si>
  <si>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</si>
  <si>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</si>
  <si>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</si>
  <si>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</si>
  <si>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</si>
  <si>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</si>
  <si>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</si>
  <si>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</si>
  <si>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</si>
  <si>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</si>
  <si>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</si>
  <si>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</si>
  <si>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</si>
  <si>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</si>
  <si>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</si>
  <si>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</si>
  <si>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</si>
  <si>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</si>
  <si>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</si>
  <si>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</si>
  <si>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</si>
  <si>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</si>
  <si>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</si>
  <si>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</si>
  <si>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</si>
  <si>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</si>
  <si>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</si>
  <si>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</si>
  <si>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</si>
  <si>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</si>
  <si>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</si>
  <si>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</si>
  <si>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</si>
  <si>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</si>
  <si>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</si>
  <si>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</si>
  <si>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</si>
  <si>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</si>
  <si>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</si>
  <si>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</si>
  <si>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</si>
  <si>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</si>
  <si>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</si>
  <si>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</si>
  <si>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</si>
  <si>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</si>
  <si>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</si>
  <si>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</si>
  <si>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</si>
  <si>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</si>
  <si>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</si>
  <si>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</si>
  <si>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</si>
  <si>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</si>
  <si>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</si>
  <si>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</si>
  <si>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</si>
  <si>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</si>
  <si>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</si>
  <si>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</si>
  <si>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</si>
  <si>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</si>
  <si>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</si>
  <si>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</si>
  <si>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</si>
  <si>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</si>
  <si>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</si>
  <si>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</si>
  <si>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</si>
  <si>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</si>
  <si>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</si>
  <si>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</si>
  <si>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</si>
  <si>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</si>
  <si>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</si>
  <si>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</si>
  <si>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</si>
  <si>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</si>
  <si>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</si>
  <si>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</si>
  <si>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</si>
  <si>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</si>
  <si>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</si>
  <si>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</si>
  <si>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</si>
  <si>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</si>
  <si>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</si>
  <si>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</si>
  <si>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</si>
  <si>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</si>
  <si>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</si>
  <si>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</si>
  <si>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</si>
  <si>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</si>
  <si>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</si>
  <si>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</si>
  <si>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</si>
  <si>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</si>
  <si>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</si>
  <si>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</si>
  <si>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</si>
  <si>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</si>
  <si>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</si>
  <si>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</si>
  <si>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</si>
  <si>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</si>
  <si>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</si>
  <si>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</si>
  <si>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</si>
  <si>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</si>
  <si>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</si>
  <si>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</si>
  <si>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</si>
  <si>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</si>
  <si>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</si>
  <si>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</si>
  <si>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</si>
  <si>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</si>
  <si>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</si>
  <si>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</si>
  <si>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</si>
  <si>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</si>
  <si>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</si>
  <si>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</si>
  <si>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</si>
  <si>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</si>
  <si>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</si>
  <si>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</si>
  <si>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</si>
  <si>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</si>
  <si>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</si>
  <si>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</si>
  <si>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</si>
  <si>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</si>
  <si>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</si>
  <si>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</si>
  <si>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</si>
  <si>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</si>
  <si>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</si>
  <si>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</si>
  <si>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</si>
  <si>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</si>
  <si>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</si>
  <si>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</si>
  <si>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</si>
  <si>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</si>
  <si>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</si>
  <si>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</si>
  <si>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</si>
  <si>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</si>
  <si>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</si>
  <si>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</si>
  <si>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</si>
  <si>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</si>
  <si>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</si>
  <si>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</si>
  <si>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</si>
  <si>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</si>
  <si>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</si>
  <si>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</si>
  <si>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</si>
  <si>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</si>
  <si>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</si>
  <si>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</si>
  <si>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</si>
  <si>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</si>
  <si>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</si>
  <si>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</si>
  <si>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</si>
  <si>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</si>
  <si>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</si>
  <si>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</si>
  <si>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</si>
  <si>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</si>
  <si>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</si>
  <si>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</si>
  <si>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</si>
  <si>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</si>
  <si>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</si>
  <si>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</si>
  <si>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</si>
  <si>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</si>
  <si>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</si>
  <si>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</si>
  <si>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</si>
  <si>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</si>
  <si>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</si>
  <si>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</si>
  <si>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</si>
  <si>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</si>
  <si>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</si>
  <si>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</si>
  <si>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</si>
  <si>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</si>
  <si>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</si>
  <si>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</si>
  <si>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</si>
  <si>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</si>
  <si>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</si>
  <si>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</si>
  <si>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</si>
  <si>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</si>
  <si>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</si>
  <si>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</si>
  <si>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</si>
  <si>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</si>
  <si>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</si>
  <si>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</si>
  <si>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</si>
  <si>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</si>
  <si>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</si>
  <si>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</si>
  <si>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</si>
  <si>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</si>
  <si>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</si>
  <si>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</si>
  <si>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</si>
  <si>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</si>
  <si>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</si>
  <si>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</si>
  <si>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</si>
  <si>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</si>
  <si>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</si>
  <si>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</si>
  <si>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</si>
  <si>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</si>
  <si>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</si>
  <si>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</si>
  <si>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</si>
  <si>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</si>
  <si>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</si>
  <si>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</si>
  <si>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</si>
  <si>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</si>
  <si>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</si>
  <si>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</si>
  <si>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</si>
  <si>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</si>
  <si>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</si>
  <si>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</si>
  <si>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</si>
  <si>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</si>
  <si>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</si>
  <si>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</si>
  <si>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</si>
  <si>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</si>
  <si>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</si>
  <si>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</si>
  <si>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</si>
  <si>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</si>
  <si>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</si>
  <si>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</si>
  <si>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</si>
  <si>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</si>
  <si>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</si>
  <si>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</si>
  <si>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</si>
  <si>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</si>
  <si>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</si>
  <si>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</si>
  <si>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</si>
  <si>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</si>
  <si>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</si>
  <si>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</si>
  <si>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</si>
  <si>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</si>
  <si>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</si>
  <si>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</si>
  <si>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</si>
  <si>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</si>
  <si>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</si>
  <si>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</si>
  <si>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</si>
  <si>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</si>
  <si>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</si>
  <si>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</si>
  <si>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</si>
  <si>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</si>
  <si>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</si>
  <si>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</si>
  <si>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</si>
  <si>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</si>
  <si>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</si>
  <si>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</si>
  <si>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</si>
  <si>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</si>
  <si>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</si>
  <si>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</si>
  <si>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</si>
  <si>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</si>
  <si>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</si>
  <si>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</si>
  <si>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</si>
  <si>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</si>
  <si>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</si>
  <si>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</si>
  <si>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</si>
  <si>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</si>
  <si>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</si>
  <si>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</si>
  <si>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</si>
  <si>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</si>
  <si>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</si>
  <si>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</si>
  <si>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</si>
  <si>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</si>
  <si>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</si>
  <si>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</si>
  <si>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</si>
  <si>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</si>
  <si>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</si>
  <si>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</si>
  <si>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</si>
  <si>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</si>
  <si>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</si>
  <si>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</si>
  <si>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</si>
  <si>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</si>
  <si>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</si>
  <si>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</si>
  <si>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</si>
  <si>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</si>
  <si>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</si>
  <si>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</si>
  <si>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</si>
  <si>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</si>
  <si>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</si>
  <si>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</si>
  <si>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</si>
  <si>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</si>
  <si>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</si>
  <si>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</si>
  <si>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</si>
  <si>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</si>
  <si>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</si>
  <si>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</si>
  <si>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</si>
  <si>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</si>
  <si>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</si>
  <si>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</si>
  <si>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</si>
  <si>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</si>
  <si>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</si>
  <si>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</si>
  <si>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</si>
  <si>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</si>
  <si>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</si>
  <si>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</si>
  <si>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</si>
  <si>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</si>
  <si>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</si>
  <si>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</si>
  <si>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</si>
  <si>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</si>
  <si>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</si>
  <si>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</si>
  <si>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</si>
  <si>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</si>
  <si>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</si>
  <si>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</si>
  <si>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</si>
  <si>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</si>
  <si>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</si>
  <si>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</si>
  <si>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</si>
  <si>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</si>
  <si>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</si>
  <si>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</si>
  <si>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</si>
  <si>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</si>
  <si>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</si>
  <si>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</si>
  <si>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</si>
  <si>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</si>
  <si>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</si>
  <si>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</si>
  <si>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</si>
  <si>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</si>
  <si>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</si>
  <si>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</si>
  <si>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</si>
  <si>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</si>
  <si>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</si>
  <si>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</si>
  <si>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</si>
  <si>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</si>
  <si>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</si>
  <si>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</si>
  <si>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</si>
  <si>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</si>
  <si>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</si>
  <si>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</si>
  <si>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</si>
  <si>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</si>
  <si>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</si>
  <si>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</si>
  <si>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</si>
  <si>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</si>
  <si>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</si>
  <si>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</si>
  <si>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</si>
  <si>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</si>
  <si>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</si>
  <si>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</si>
  <si>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</si>
  <si>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</si>
  <si>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</si>
  <si>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</si>
  <si>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</si>
  <si>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</si>
  <si>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</si>
  <si>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</si>
  <si>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</si>
  <si>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</si>
  <si>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</si>
  <si>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</si>
  <si>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</si>
  <si>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</si>
  <si>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</si>
  <si>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</si>
  <si>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</si>
  <si>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</si>
  <si>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</si>
  <si>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</si>
  <si>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</si>
  <si>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</si>
  <si>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</si>
  <si>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</si>
  <si>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</si>
  <si>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</si>
  <si>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</si>
  <si>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</si>
  <si>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</si>
  <si>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</si>
  <si>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</si>
  <si>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</si>
  <si>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</si>
  <si>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</si>
  <si>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</si>
  <si>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</si>
  <si>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</si>
  <si>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</si>
  <si>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</si>
  <si>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</si>
  <si>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</si>
  <si>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</si>
  <si>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</si>
  <si>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</si>
  <si>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</si>
  <si>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</si>
  <si>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</si>
  <si>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</si>
  <si>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</si>
  <si>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</si>
  <si>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</si>
  <si>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</si>
  <si>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</si>
  <si>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</si>
  <si>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</si>
  <si>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</si>
  <si>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</si>
  <si>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</si>
  <si>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</si>
  <si>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</si>
  <si>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</si>
  <si>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</si>
  <si>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</si>
  <si>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</si>
  <si>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</si>
  <si>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</si>
  <si>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</si>
  <si>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</si>
  <si>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</si>
  <si>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</si>
  <si>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</si>
  <si>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</si>
  <si>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</si>
  <si>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</si>
  <si>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</si>
  <si>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</si>
  <si>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</si>
  <si>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</si>
  <si>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</si>
  <si>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</si>
  <si>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</si>
  <si>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</si>
  <si>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</si>
  <si>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</si>
  <si>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</si>
  <si>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</si>
  <si>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</si>
  <si>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</si>
  <si>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</si>
  <si>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</si>
  <si>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</si>
  <si>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</si>
  <si>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</si>
  <si>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</si>
  <si>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</si>
  <si>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</si>
  <si>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</si>
  <si>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</si>
  <si>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</si>
  <si>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</si>
  <si>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</si>
  <si>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</si>
  <si>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</si>
  <si>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</si>
  <si>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</si>
  <si>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</si>
  <si>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</si>
  <si>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</si>
  <si>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</si>
  <si>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</si>
  <si>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</si>
  <si>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</si>
  <si>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</si>
  <si>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</si>
  <si>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</si>
  <si>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</si>
  <si>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</si>
  <si>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</si>
  <si>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</si>
  <si>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</si>
  <si>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</si>
  <si>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</si>
  <si>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</si>
  <si>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</si>
  <si>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</si>
  <si>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</si>
  <si>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</si>
  <si>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</si>
  <si>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</si>
  <si>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</si>
  <si>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</si>
  <si>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</si>
  <si>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</si>
  <si>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</si>
  <si>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</si>
  <si>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</si>
  <si>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</si>
  <si>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</si>
  <si>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</si>
  <si>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</si>
  <si>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</si>
  <si>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</si>
  <si>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</si>
  <si>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</si>
  <si>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</si>
  <si>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</si>
  <si>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</si>
  <si>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</si>
  <si>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</si>
  <si>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</si>
  <si>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</si>
  <si>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</si>
  <si>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</si>
  <si>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</si>
  <si>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</si>
  <si>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</si>
  <si>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</si>
  <si>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</si>
  <si>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</si>
  <si>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</si>
  <si>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</si>
  <si>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</si>
  <si>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</si>
  <si>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</si>
  <si>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</si>
  <si>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</si>
  <si>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</si>
  <si>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</si>
  <si>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</si>
  <si>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</si>
  <si>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</si>
  <si>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</si>
  <si>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</si>
  <si>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</si>
  <si>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</si>
  <si>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</si>
  <si>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</si>
  <si>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</si>
  <si>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</si>
  <si>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</si>
  <si>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</si>
  <si>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</si>
  <si>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</si>
  <si>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</si>
  <si>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</si>
  <si>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</si>
  <si>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</si>
  <si>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</si>
  <si>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</si>
  <si>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</si>
  <si>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</si>
  <si>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</si>
  <si>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</si>
  <si>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</si>
  <si>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</si>
  <si>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</si>
  <si>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</si>
  <si>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</si>
  <si>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</si>
  <si>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</si>
  <si>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</si>
  <si>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</si>
  <si>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</si>
  <si>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</si>
  <si>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</si>
  <si>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</si>
  <si>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</si>
  <si>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</si>
  <si>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</si>
  <si>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</si>
  <si>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</si>
  <si>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</si>
  <si>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</si>
  <si>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</si>
  <si>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</si>
  <si>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</si>
  <si>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</si>
  <si>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</si>
  <si>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</si>
  <si>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</si>
  <si>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</si>
  <si>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</si>
  <si>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</si>
  <si>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</si>
  <si>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</si>
  <si>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</si>
  <si>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</si>
  <si>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</si>
  <si>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</si>
  <si>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</si>
  <si>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</si>
  <si>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</si>
  <si>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</si>
  <si>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</si>
  <si>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</si>
  <si>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</si>
  <si>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</si>
  <si>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</si>
  <si>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</si>
  <si>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</si>
  <si>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</si>
  <si>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</si>
  <si>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</si>
  <si>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</si>
  <si>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</si>
  <si>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</si>
  <si>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</si>
  <si>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</si>
  <si>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</si>
  <si>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</si>
  <si>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</si>
  <si>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</si>
  <si>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</si>
  <si>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</si>
  <si>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</si>
  <si>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</si>
  <si>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</si>
  <si>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</si>
  <si>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</si>
  <si>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</si>
  <si>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</si>
  <si>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</si>
  <si>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</si>
  <si>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</si>
  <si>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</si>
  <si>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</si>
  <si>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</si>
  <si>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</si>
  <si>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</si>
  <si>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</si>
  <si>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</si>
  <si>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</si>
  <si>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</si>
  <si>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</si>
  <si>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</si>
  <si>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</si>
  <si>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</si>
  <si>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</si>
  <si>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</si>
  <si>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</si>
  <si>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</si>
  <si>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</si>
  <si>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</si>
  <si>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</si>
  <si>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</si>
  <si>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</si>
  <si>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</si>
  <si>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</si>
  <si>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</si>
  <si>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</si>
  <si>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</si>
  <si>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</si>
  <si>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</si>
  <si>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</si>
  <si>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</si>
  <si>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</si>
  <si>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</si>
  <si>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</si>
  <si>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</si>
  <si>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</si>
  <si>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</si>
  <si>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</si>
  <si>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</si>
  <si>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</si>
  <si>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</si>
  <si>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</si>
  <si>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</si>
  <si>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</si>
  <si>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</si>
  <si>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</si>
  <si>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</si>
  <si>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</si>
  <si>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</si>
  <si>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</si>
  <si>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</si>
  <si>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</si>
  <si>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</si>
  <si>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</si>
  <si>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</si>
  <si>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</si>
  <si>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</si>
  <si>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</si>
  <si>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</si>
  <si>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</si>
  <si>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</si>
  <si>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</si>
  <si>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</si>
  <si>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</si>
  <si>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</si>
  <si>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</si>
  <si>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</si>
  <si>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</si>
  <si>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</si>
  <si>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</si>
  <si>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</si>
  <si>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</si>
  <si>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</si>
  <si>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</si>
  <si>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</si>
  <si>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</si>
  <si>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</si>
  <si>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</si>
  <si>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</si>
  <si>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</si>
  <si>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</si>
  <si>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</si>
  <si>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</si>
  <si>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</si>
  <si>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</si>
  <si>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</si>
  <si>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</si>
  <si>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</si>
  <si>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</si>
  <si>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</si>
  <si>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</si>
  <si>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</si>
  <si>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</si>
  <si>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</si>
  <si>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</si>
  <si>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</si>
  <si>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</si>
  <si>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</si>
  <si>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</si>
  <si>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</si>
  <si>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</si>
  <si>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</si>
  <si>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</si>
  <si>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</si>
  <si>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</si>
  <si>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</si>
  <si>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</si>
  <si>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</si>
  <si>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</si>
  <si>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</si>
  <si>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</si>
  <si>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</si>
  <si>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</si>
  <si>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</si>
  <si>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</si>
  <si>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</si>
  <si>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</si>
  <si>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</si>
  <si>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</si>
  <si>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</si>
  <si>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</si>
  <si>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</si>
  <si>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</si>
  <si>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</si>
  <si>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</si>
  <si>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</si>
  <si>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</si>
  <si>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</si>
  <si>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</si>
  <si>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</si>
  <si>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</si>
  <si>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</si>
  <si>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</si>
  <si>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</si>
  <si>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</si>
  <si>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</si>
  <si>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</si>
  <si>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</si>
  <si>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</si>
  <si>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</si>
  <si>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</si>
  <si>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</si>
  <si>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</si>
  <si>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</si>
  <si>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</si>
  <si>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</si>
  <si>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</si>
  <si>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</si>
  <si>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</si>
  <si>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</si>
  <si>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</si>
  <si>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</si>
  <si>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</si>
  <si>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</si>
  <si>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</si>
  <si>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</si>
  <si>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</si>
  <si>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</si>
  <si>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</si>
  <si>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</si>
  <si>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</si>
  <si>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</si>
  <si>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</si>
  <si>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</si>
  <si>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</si>
  <si>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</si>
  <si>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</si>
  <si>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</si>
  <si>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</si>
  <si>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</si>
  <si>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</si>
  <si>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</si>
  <si>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</si>
  <si>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</si>
  <si>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</si>
  <si>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</si>
  <si>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</si>
  <si>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</si>
  <si>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</si>
  <si>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</si>
  <si>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</si>
  <si>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</si>
  <si>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</si>
  <si>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</si>
  <si>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</si>
  <si>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</si>
  <si>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</si>
  <si>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</si>
  <si>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</si>
  <si>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</si>
  <si>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</si>
  <si>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</si>
  <si>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</si>
  <si>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</si>
  <si>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</si>
  <si>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</si>
  <si>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</si>
  <si>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</si>
  <si>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</si>
  <si>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</si>
  <si>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</si>
  <si>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</si>
  <si>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</si>
  <si>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</si>
  <si>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</si>
  <si>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</si>
  <si>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</si>
  <si>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</si>
  <si>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</si>
  <si>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</si>
  <si>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</si>
  <si>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</si>
  <si>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</si>
  <si>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</si>
  <si>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</si>
  <si>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</si>
  <si>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</si>
  <si>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</si>
  <si>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</si>
  <si>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</si>
  <si>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</si>
  <si>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</si>
  <si>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</si>
  <si>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</si>
  <si>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</si>
  <si>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</si>
  <si>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</si>
  <si>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</si>
  <si>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</si>
  <si>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</si>
  <si>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</si>
  <si>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</si>
  <si>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</si>
  <si>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</si>
  <si>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</si>
  <si>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</si>
  <si>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</si>
  <si>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</si>
  <si>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</si>
  <si>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</si>
  <si>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</si>
  <si>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</si>
  <si>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</si>
  <si>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</si>
  <si>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</si>
  <si>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</si>
  <si>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</si>
  <si>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</si>
  <si>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</si>
  <si>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</si>
  <si>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</si>
  <si>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</si>
  <si>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</si>
  <si>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</si>
  <si>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</si>
  <si>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</si>
  <si>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</si>
  <si>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</si>
  <si>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</si>
  <si>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</si>
  <si>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</si>
  <si>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</si>
  <si>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</si>
  <si>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</si>
  <si>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</si>
  <si>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</si>
  <si>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</si>
  <si>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</si>
  <si>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</si>
  <si>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</si>
  <si>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</si>
  <si>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</si>
  <si>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</si>
  <si>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</si>
  <si>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</si>
  <si>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</si>
  <si>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</si>
  <si>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</si>
  <si>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</si>
  <si>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</si>
  <si>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</si>
  <si>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</si>
  <si>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</si>
  <si>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</si>
  <si>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</si>
  <si>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</si>
  <si>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</si>
  <si>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</si>
  <si>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</si>
  <si>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</si>
  <si>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</si>
  <si>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</si>
  <si>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</si>
  <si>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</si>
  <si>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</si>
  <si>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</si>
  <si>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</si>
  <si>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</si>
  <si>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</si>
  <si>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</si>
  <si>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</si>
  <si>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</si>
  <si>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</si>
  <si>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</si>
  <si>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</si>
  <si>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</si>
  <si>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</si>
  <si>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</si>
  <si>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</si>
  <si>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</si>
  <si>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</si>
  <si>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</si>
  <si>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</si>
  <si>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</si>
  <si>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</si>
  <si>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</si>
  <si>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</si>
  <si>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</si>
  <si>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</si>
  <si>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</si>
  <si>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</si>
  <si>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</si>
  <si>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</si>
  <si>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</si>
  <si>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</si>
  <si>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</si>
  <si>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</si>
  <si>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</si>
  <si>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</si>
  <si>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</si>
  <si>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</si>
  <si>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</si>
  <si>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</si>
  <si>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</si>
  <si>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</si>
  <si>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</si>
  <si>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</si>
  <si>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</si>
  <si>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</si>
  <si>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</si>
  <si>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</si>
  <si>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</si>
  <si>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</si>
  <si>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</si>
  <si>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</si>
  <si>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</si>
  <si>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</si>
  <si>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</si>
  <si>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</si>
  <si>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</si>
  <si>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</si>
  <si>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</si>
  <si>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</si>
  <si>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</si>
  <si>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</si>
  <si>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</si>
  <si>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</si>
  <si>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</si>
  <si>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</si>
  <si>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</si>
  <si>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</si>
  <si>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</si>
  <si>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</si>
  <si>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</si>
  <si>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</si>
  <si>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</si>
  <si>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</si>
  <si>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</si>
  <si>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</si>
  <si>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</si>
  <si>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</si>
  <si>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</si>
  <si>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</si>
  <si>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</si>
  <si>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</si>
  <si>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</si>
  <si>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</si>
  <si>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</si>
  <si>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</si>
  <si>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</si>
  <si>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</si>
  <si>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</si>
  <si>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</si>
  <si>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</si>
  <si>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</si>
  <si>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</si>
  <si>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</si>
  <si>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</si>
  <si>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</si>
  <si>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</si>
  <si>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</si>
  <si>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</si>
  <si>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</si>
  <si>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</si>
  <si>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</si>
  <si>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</si>
  <si>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</si>
  <si>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</si>
  <si>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</si>
  <si>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</si>
  <si>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</si>
  <si>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</si>
  <si>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</si>
  <si>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</si>
  <si>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</si>
  <si>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</si>
  <si>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</si>
  <si>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</si>
  <si>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</si>
  <si>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</si>
  <si>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</si>
  <si>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</si>
  <si>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</si>
  <si>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</si>
  <si>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</si>
  <si>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</si>
  <si>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</si>
  <si>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</si>
  <si>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</si>
  <si>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</si>
  <si>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</si>
  <si>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</si>
  <si>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</si>
  <si>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</si>
  <si>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</si>
  <si>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</si>
  <si>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</si>
  <si>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</si>
  <si>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</si>
  <si>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</si>
  <si>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</si>
  <si>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</si>
  <si>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</si>
  <si>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</si>
  <si>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</si>
  <si>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</si>
  <si>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</si>
  <si>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</si>
  <si>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</si>
  <si>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</si>
  <si>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</si>
  <si>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</si>
  <si>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</si>
  <si>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</si>
  <si>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</si>
  <si>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</si>
  <si>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</si>
  <si>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</si>
  <si>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</si>
  <si>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</si>
  <si>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</si>
  <si>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</si>
  <si>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</si>
  <si>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</si>
  <si>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</si>
  <si>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</si>
  <si>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</si>
  <si>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</si>
  <si>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</si>
  <si>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</si>
  <si>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</si>
  <si>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</si>
  <si>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</si>
  <si>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</si>
  <si>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</si>
  <si>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</si>
  <si>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</si>
  <si>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</si>
  <si>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</si>
  <si>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</si>
  <si>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</si>
  <si>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</si>
  <si>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</si>
  <si>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</si>
  <si>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</si>
  <si>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</si>
  <si>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</si>
  <si>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</si>
  <si>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</si>
  <si>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</si>
  <si>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</si>
  <si>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</si>
  <si>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</si>
  <si>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</si>
  <si>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</si>
  <si>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</si>
  <si>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</si>
  <si>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</si>
  <si>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</si>
  <si>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</si>
  <si>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</si>
  <si>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</si>
  <si>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</si>
  <si>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</si>
  <si>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</si>
  <si>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</si>
  <si>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</si>
  <si>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</si>
  <si>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</si>
  <si>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</si>
  <si>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</si>
  <si>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</si>
  <si>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</si>
  <si>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</si>
  <si>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</si>
  <si>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</si>
  <si>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</si>
  <si>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</si>
  <si>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</si>
  <si>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</si>
  <si>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</si>
  <si>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</si>
  <si>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</si>
  <si>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</si>
  <si>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</si>
  <si>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</si>
  <si>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</si>
  <si>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</si>
  <si>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</si>
  <si>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</si>
  <si>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</si>
  <si>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</si>
  <si>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</si>
  <si>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</si>
  <si>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</si>
  <si>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</si>
  <si>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</si>
  <si>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</si>
  <si>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</si>
  <si>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</si>
  <si>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</si>
  <si>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</si>
  <si>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</si>
  <si>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</si>
  <si>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</si>
  <si>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</si>
  <si>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</si>
  <si>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</si>
  <si>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</si>
  <si>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</si>
  <si>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</si>
  <si>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</si>
  <si>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</si>
  <si>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</si>
  <si>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</si>
  <si>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</si>
  <si>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</si>
  <si>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</si>
  <si>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</si>
  <si>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</si>
  <si>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</si>
  <si>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</si>
  <si>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</si>
  <si>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</si>
  <si>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</si>
  <si>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</si>
  <si>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</si>
  <si>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</si>
  <si>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</si>
  <si>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</si>
  <si>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</si>
  <si>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</si>
  <si>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</si>
  <si>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</si>
  <si>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</si>
  <si>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</si>
  <si>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</si>
  <si>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</si>
  <si>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</si>
  <si>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</si>
  <si>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</si>
  <si>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</si>
  <si>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</si>
  <si>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</si>
  <si>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</si>
  <si>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</si>
  <si>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</si>
  <si>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</si>
  <si>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</si>
  <si>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</si>
  <si>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</si>
  <si>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</si>
  <si>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</si>
  <si>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</si>
  <si>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</si>
  <si>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</si>
  <si>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</si>
  <si>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</si>
  <si>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</si>
  <si>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</si>
  <si>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</si>
  <si>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</si>
  <si>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</si>
  <si>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</si>
  <si>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</si>
  <si>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</si>
  <si>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</si>
  <si>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</si>
  <si>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</si>
  <si>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</si>
  <si>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</si>
  <si>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</si>
  <si>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</si>
  <si>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</si>
  <si>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</si>
  <si>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</si>
  <si>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</si>
  <si>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</si>
  <si>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</si>
  <si>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</si>
  <si>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</si>
  <si>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</si>
  <si>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</si>
  <si>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</si>
  <si>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</si>
  <si>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</si>
  <si>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</si>
  <si>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</si>
  <si>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</si>
  <si>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</si>
  <si>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</si>
  <si>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</si>
  <si>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</si>
  <si>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</si>
  <si>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</si>
  <si>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</si>
  <si>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</si>
  <si>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</si>
  <si>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</si>
  <si>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</si>
  <si>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</si>
  <si>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</si>
  <si>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</si>
  <si>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</si>
  <si>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</si>
  <si>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</si>
  <si>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</si>
  <si>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</si>
  <si>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</si>
  <si>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</si>
  <si>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</si>
  <si>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</si>
  <si>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</si>
  <si>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</si>
  <si>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</si>
  <si>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</si>
  <si>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</si>
  <si>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</si>
  <si>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</si>
  <si>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</si>
  <si>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</si>
  <si>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</si>
  <si>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</si>
  <si>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</si>
  <si>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</si>
  <si>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</si>
  <si>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</si>
  <si>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</si>
  <si>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</si>
  <si>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</si>
  <si>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</si>
  <si>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</si>
  <si>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</si>
  <si>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</si>
  <si>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</si>
  <si>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</si>
  <si>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</si>
  <si>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</si>
  <si>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</si>
  <si>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</si>
  <si>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</si>
  <si>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</si>
  <si>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</si>
  <si>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</si>
  <si>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</si>
  <si>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</si>
  <si>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</si>
  <si>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</si>
  <si>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</si>
  <si>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</si>
  <si>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</si>
  <si>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</si>
  <si>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</si>
  <si>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</si>
  <si>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</si>
  <si>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</si>
  <si>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</si>
  <si>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</si>
  <si>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</si>
  <si>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</si>
  <si>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</si>
  <si>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</si>
  <si>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</si>
  <si>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</si>
  <si>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</si>
  <si>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</si>
  <si>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</si>
  <si>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</si>
  <si>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</si>
  <si>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</si>
  <si>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</si>
  <si>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</si>
  <si>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</si>
  <si>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</si>
  <si>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</si>
  <si>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</si>
  <si>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</si>
  <si>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</si>
  <si>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</si>
  <si>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</si>
  <si>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</si>
  <si>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</si>
  <si>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</si>
  <si>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</si>
  <si>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</si>
  <si>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</si>
  <si>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</si>
  <si>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</si>
  <si>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</si>
  <si>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</si>
  <si>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</si>
  <si>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</si>
  <si>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</si>
  <si>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</si>
  <si>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</si>
  <si>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</si>
  <si>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</si>
  <si>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</si>
  <si>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</si>
  <si>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</si>
  <si>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</si>
  <si>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</si>
  <si>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</si>
  <si>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</si>
  <si>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</si>
  <si>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</si>
  <si>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</si>
  <si>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</si>
  <si>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</si>
  <si>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</si>
  <si>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</si>
  <si>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</si>
  <si>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</si>
  <si>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</si>
  <si>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</si>
  <si>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</si>
  <si>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</si>
  <si>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</si>
  <si>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</si>
  <si>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</si>
  <si>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</si>
  <si>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</si>
  <si>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</si>
  <si>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</si>
  <si>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</si>
  <si>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</si>
  <si>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</si>
  <si>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</si>
  <si>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</si>
  <si>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</si>
  <si>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</si>
  <si>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</si>
  <si>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</si>
  <si>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</si>
  <si>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</si>
  <si>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</si>
  <si>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</si>
  <si>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</si>
  <si>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</si>
  <si>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</si>
  <si>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</si>
  <si>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</si>
  <si>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</si>
  <si>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</si>
  <si>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</si>
  <si>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</si>
  <si>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</si>
  <si>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</si>
  <si>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</si>
  <si>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</si>
  <si>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</si>
  <si>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</si>
  <si>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</si>
  <si>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</si>
  <si>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</si>
  <si>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</si>
  <si>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</si>
  <si>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</si>
  <si>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</si>
  <si>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</si>
  <si>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</si>
  <si>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</si>
  <si>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</si>
  <si>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</si>
  <si>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</si>
  <si>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</si>
  <si>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</si>
  <si>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</si>
  <si>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</si>
  <si>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</si>
  <si>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</si>
  <si>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</si>
  <si>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</si>
  <si>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</si>
  <si>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</si>
  <si>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</si>
  <si>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</si>
  <si>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</si>
  <si>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</si>
  <si>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</si>
  <si>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</si>
  <si>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</si>
  <si>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</si>
  <si>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</si>
  <si>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</si>
  <si>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</si>
  <si>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</si>
  <si>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</si>
  <si>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</si>
  <si>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</si>
  <si>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</si>
  <si>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</si>
  <si>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</si>
  <si>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</si>
  <si>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</si>
  <si>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</si>
  <si>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</si>
  <si>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</si>
  <si>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</si>
  <si>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</si>
  <si>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</si>
  <si>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</si>
  <si>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</si>
  <si>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</si>
  <si>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</si>
  <si>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</si>
  <si>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</si>
  <si>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</si>
  <si>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</si>
  <si>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</si>
  <si>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</si>
  <si>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</si>
  <si>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</si>
  <si>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</si>
  <si>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</si>
  <si>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</si>
  <si>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</si>
  <si>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</si>
  <si>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</si>
  <si>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</si>
  <si>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</si>
  <si>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</si>
  <si>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</si>
  <si>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</si>
  <si>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</si>
  <si>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</si>
  <si>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</si>
  <si>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</si>
  <si>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</si>
  <si>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</si>
  <si>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</si>
  <si>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</si>
  <si>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</si>
  <si>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</si>
  <si>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2013</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</si>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</sst>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20624.03098482042</v>
      </c>
      <c r="F22" s="3384" t="str">
        <f t="shared" si="0"/>
        <v>NA</v>
      </c>
      <c r="G22" s="3360">
        <v>317.7975683570055</v>
      </c>
      <c r="H22" s="3339">
        <f t="shared" si="1"/>
        <v>1165.2577506423534</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32299.999999999996</v>
      </c>
      <c r="F24" s="3384" t="str">
        <f t="shared" si="0"/>
        <v>NA</v>
      </c>
      <c r="G24" s="3360">
        <v>710.89363636363623</v>
      </c>
      <c r="H24" s="3339">
        <f t="shared" si="1"/>
        <v>2606.6099999999992</v>
      </c>
      <c r="I24" s="2599" t="s">
        <v>205</v>
      </c>
      <c r="J24" s="2600"/>
      <c r="M24" s="125"/>
    </row>
    <row r="25" spans="2:13" ht="18" customHeight="1" x14ac:dyDescent="0.2">
      <c r="B25" s="165"/>
      <c r="C25" s="1566"/>
      <c r="D25" s="1451" t="s">
        <v>458</v>
      </c>
      <c r="E25" s="3379">
        <v>13400</v>
      </c>
      <c r="F25" s="3384" t="str">
        <f t="shared" si="0"/>
        <v>NA</v>
      </c>
      <c r="G25" s="3360">
        <v>254.48427272727275</v>
      </c>
      <c r="H25" s="3339">
        <f t="shared" si="1"/>
        <v>933.10900000000004</v>
      </c>
      <c r="I25" s="2599" t="s">
        <v>205</v>
      </c>
      <c r="J25" s="2600"/>
      <c r="M25" s="125"/>
    </row>
    <row r="26" spans="2:13" ht="18" customHeight="1" x14ac:dyDescent="0.2">
      <c r="B26" s="165"/>
      <c r="C26" s="1566"/>
      <c r="D26" s="1451" t="s">
        <v>459</v>
      </c>
      <c r="E26" s="3383">
        <v>22714.426058000001</v>
      </c>
      <c r="F26" s="3384">
        <f t="shared" si="0"/>
        <v>25.26136363636363</v>
      </c>
      <c r="G26" s="3360">
        <v>573.79737644243176</v>
      </c>
      <c r="H26" s="3339">
        <f t="shared" si="1"/>
        <v>2103.9237136222496</v>
      </c>
      <c r="I26" s="3360">
        <v>2103.9237136222496</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34866.848544067805</v>
      </c>
      <c r="F28" s="3384">
        <f>IF(I28="NA","NA",I28/(44/12)*1000/E28)</f>
        <v>1.446662827529908</v>
      </c>
      <c r="G28" s="3360">
        <v>640.85783384727279</v>
      </c>
      <c r="H28" s="3339">
        <f>IF(G28="NA","NA",IF(G28="NO","NO",G28*44/12))</f>
        <v>2349.8120574400004</v>
      </c>
      <c r="I28" s="3360">
        <v>184.94877024000002</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123905.30558688822</v>
      </c>
      <c r="F31" s="3324">
        <f t="shared" ref="F31" si="3">IF(I31="NA","NA",I31/(44/12)*1000/E31)</f>
        <v>5.038024378274141</v>
      </c>
      <c r="G31" s="3388">
        <f>SUM(G11:G29)</f>
        <v>2497.830687737619</v>
      </c>
      <c r="H31" s="3336">
        <f t="shared" ref="H31" si="4">IF(G31="NA","NA",IF(G31="NO","NO",G31*44/12))</f>
        <v>9158.7125217046032</v>
      </c>
      <c r="I31" s="3388">
        <f>SUM(I11:I29)</f>
        <v>2288.8724838622497</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18440.323439999996</v>
      </c>
      <c r="F35" s="3384">
        <f>IF(I35="NA","NA",I35/(44/12)*1000/E35)</f>
        <v>24.76871785695554</v>
      </c>
      <c r="G35" s="3364">
        <v>456.74316847636362</v>
      </c>
      <c r="H35" s="3361">
        <f t="shared" si="5"/>
        <v>1674.72495108</v>
      </c>
      <c r="I35" s="3360">
        <v>1674.72495108</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v>2.1739816711363602</v>
      </c>
      <c r="H37" s="3339">
        <f t="shared" si="5"/>
        <v>7.9712661274999874</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53402.339445914949</v>
      </c>
      <c r="F41" s="3384">
        <f t="shared" ref="F41" si="8">IF(I41="NA","NA",I41/(44/12)*1000/E41)</f>
        <v>28.563889420523434</v>
      </c>
      <c r="G41" s="3360">
        <v>1550.1369530058271</v>
      </c>
      <c r="H41" s="3361">
        <f t="shared" si="5"/>
        <v>5683.8354943546992</v>
      </c>
      <c r="I41" s="3360">
        <v>5593.0545686780279</v>
      </c>
      <c r="J41" s="3381" t="s">
        <v>460</v>
      </c>
      <c r="M41" s="125"/>
    </row>
    <row r="42" spans="2:13" ht="18" customHeight="1" x14ac:dyDescent="0.2">
      <c r="B42" s="1433"/>
      <c r="C42" s="1567"/>
      <c r="D42" s="1451" t="s">
        <v>467</v>
      </c>
      <c r="E42" s="3379">
        <v>18964.422658285283</v>
      </c>
      <c r="F42" s="3384">
        <f>IF(I42="NA","NA",I42/(44/12)*1000/E42)</f>
        <v>5.1835173358189222</v>
      </c>
      <c r="G42" s="3360">
        <v>375.43453784938259</v>
      </c>
      <c r="H42" s="3361">
        <f t="shared" si="5"/>
        <v>1376.5933054477362</v>
      </c>
      <c r="I42" s="3360">
        <v>360.44218324773607</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90807.085544200236</v>
      </c>
      <c r="F45" s="3308">
        <f>IF(I45="NA","NA",I45/(44/12)*1000/E45)</f>
        <v>22.910371898315251</v>
      </c>
      <c r="G45" s="3388">
        <f>SUM(G33:G43)</f>
        <v>2384.4886410027098</v>
      </c>
      <c r="H45" s="3336">
        <f t="shared" ref="H45" si="9">IF(G45="NA","NA",IF(G45="NO","NO",G45*44/12))</f>
        <v>8743.1250170099356</v>
      </c>
      <c r="I45" s="3388">
        <f>SUM(I33:I43)</f>
        <v>7628.2217030057645</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48731.817259999996</v>
      </c>
      <c r="F47" s="3384">
        <f t="shared" ref="F47" si="10">IF(I47="NA","NA",I47/(44/12)*1000/E47)</f>
        <v>14.021432274344999</v>
      </c>
      <c r="G47" s="3360">
        <v>683.28987531684663</v>
      </c>
      <c r="H47" s="3339">
        <f t="shared" ref="H47" si="11">IF(G47="NA","NA",IF(G47="NO","NO",G47*44/12))</f>
        <v>2505.3962094951044</v>
      </c>
      <c r="I47" s="3360">
        <v>2505.3962094951044</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48731.817259999996</v>
      </c>
      <c r="F50" s="3308">
        <f>IF(I50="NA","NA",I50/(44/12)*1000/E50)</f>
        <v>14.021432274344999</v>
      </c>
      <c r="G50" s="3388">
        <f>SUM(G47:G48)</f>
        <v>683.28987531684663</v>
      </c>
      <c r="H50" s="3362">
        <f t="shared" ref="H50" si="13">IF(G50="NA","NA",IF(G50="NO","NO",G50*44/12))</f>
        <v>2505.3962094951044</v>
      </c>
      <c r="I50" s="3388">
        <f>SUM(I47:I48)</f>
        <v>2505.3962094951044</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263444.20839108847</v>
      </c>
      <c r="F55" s="3319">
        <f t="shared" si="14"/>
        <v>12.86022549887058</v>
      </c>
      <c r="G55" s="3388">
        <f>SUM(G31,G45,G50,G54)</f>
        <v>5565.6092040571748</v>
      </c>
      <c r="H55" s="3363">
        <f t="shared" si="15"/>
        <v>20407.233748209641</v>
      </c>
      <c r="I55" s="3388">
        <f>SUM(I31,I45,I50,I54)</f>
        <v>12422.490396363119</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3"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596.30239931420897</v>
      </c>
      <c r="D10" s="3105"/>
      <c r="E10" s="3105"/>
      <c r="F10" s="3057">
        <f>SUM(F11,F18)</f>
        <v>1065.6667339707169</v>
      </c>
      <c r="G10" s="3057">
        <f>SUM(G11,G18)</f>
        <v>1887.6981156232673</v>
      </c>
      <c r="H10" s="3057">
        <f>H11</f>
        <v>-453.08272865791389</v>
      </c>
      <c r="I10" s="3106" t="s">
        <v>199</v>
      </c>
      <c r="L10" s="3676"/>
    </row>
    <row r="11" spans="2:12" ht="18" customHeight="1" x14ac:dyDescent="0.2">
      <c r="B11" s="1251" t="s">
        <v>486</v>
      </c>
      <c r="C11" s="3014">
        <v>115.673025</v>
      </c>
      <c r="D11" s="3057">
        <f>IFERROR(SUM(F11,-H11)/$C$11,"NA")</f>
        <v>10.636377867643885</v>
      </c>
      <c r="E11" s="3057">
        <f>IFERROR(SUM(G11)/$C$11,"NA")</f>
        <v>15.180970696745197</v>
      </c>
      <c r="F11" s="3057">
        <f>SUM(F12:F16)</f>
        <v>777.25927433550396</v>
      </c>
      <c r="G11" s="3057">
        <f>SUM(G12:G16)</f>
        <v>1756.0288029288745</v>
      </c>
      <c r="H11" s="3057">
        <f>H12</f>
        <v>-453.08272865791389</v>
      </c>
      <c r="I11" s="3106" t="s">
        <v>199</v>
      </c>
    </row>
    <row r="12" spans="2:12" ht="18" customHeight="1" x14ac:dyDescent="0.2">
      <c r="B12" s="160" t="s">
        <v>487</v>
      </c>
      <c r="C12" s="3027"/>
      <c r="D12" s="3057">
        <f>IFERROR(SUM(F12,-H12)/$C$11,"NA")</f>
        <v>9.8832546892687549</v>
      </c>
      <c r="E12" s="3057">
        <f>IFERROR(SUM(G12)/$C$11,"NA")</f>
        <v>10.175106711155461</v>
      </c>
      <c r="F12" s="3104">
        <v>690.14323809523796</v>
      </c>
      <c r="G12" s="3104">
        <v>1176.9853729771535</v>
      </c>
      <c r="H12" s="3104">
        <v>-453.08272865791389</v>
      </c>
      <c r="I12" s="3015" t="s">
        <v>199</v>
      </c>
    </row>
    <row r="13" spans="2:12" ht="18" customHeight="1" x14ac:dyDescent="0.2">
      <c r="B13" s="160" t="s">
        <v>488</v>
      </c>
      <c r="C13" s="3027"/>
      <c r="D13" s="3057">
        <f>IFERROR(SUM(F13)/$C$11,"NA")</f>
        <v>0.37677875764887275</v>
      </c>
      <c r="E13" s="3057" t="s">
        <v>205</v>
      </c>
      <c r="F13" s="3104">
        <v>43.583138652986996</v>
      </c>
      <c r="G13" s="3104" t="s">
        <v>221</v>
      </c>
      <c r="H13" s="3104" t="s">
        <v>199</v>
      </c>
      <c r="I13" s="3015" t="s">
        <v>199</v>
      </c>
    </row>
    <row r="14" spans="2:12" ht="18" customHeight="1" x14ac:dyDescent="0.2">
      <c r="B14" s="160" t="s">
        <v>489</v>
      </c>
      <c r="C14" s="3442">
        <v>118</v>
      </c>
      <c r="D14" s="3057">
        <f>IFERROR(SUM(F14)/$C$11,"NA")</f>
        <v>0.36043431038446055</v>
      </c>
      <c r="E14" s="3057" t="s">
        <v>205</v>
      </c>
      <c r="F14" s="3104">
        <v>41.692526995959462</v>
      </c>
      <c r="G14" s="3104" t="s">
        <v>205</v>
      </c>
      <c r="H14" s="3104" t="s">
        <v>199</v>
      </c>
      <c r="I14" s="3015" t="s">
        <v>199</v>
      </c>
    </row>
    <row r="15" spans="2:12" ht="18" customHeight="1" x14ac:dyDescent="0.2">
      <c r="B15" s="160" t="s">
        <v>490</v>
      </c>
      <c r="C15" s="3014">
        <v>0.205023163685389</v>
      </c>
      <c r="D15" s="3057">
        <f>IFERROR(SUM(F15)/$C15,"NA")</f>
        <v>8.9764032426282245</v>
      </c>
      <c r="E15" s="3057">
        <f>IFERROR(SUM(G15)/$C15,"NA")</f>
        <v>2824.2829714610757</v>
      </c>
      <c r="F15" s="3104">
        <v>1.8403705913194233</v>
      </c>
      <c r="G15" s="3104">
        <v>579.04342995172101</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480.62937431420897</v>
      </c>
      <c r="D18" s="3057">
        <f>IFERROR(SUM(F18)/$C$18,"NA")</f>
        <v>0.6000620749548029</v>
      </c>
      <c r="E18" s="3057">
        <f>IFERROR(SUM(G18)/$C$18,"NA")</f>
        <v>0.27395186339217542</v>
      </c>
      <c r="F18" s="3057">
        <f>SUM(F19:F21)</f>
        <v>288.40745963521289</v>
      </c>
      <c r="G18" s="3109">
        <f t="shared" ref="G18" si="1">SUM(G19:G21)</f>
        <v>131.66931269439291</v>
      </c>
      <c r="H18" s="3057" t="s">
        <v>199</v>
      </c>
      <c r="I18" s="3106" t="s">
        <v>199</v>
      </c>
    </row>
    <row r="19" spans="2:9" ht="18" customHeight="1" x14ac:dyDescent="0.2">
      <c r="B19" s="160" t="s">
        <v>493</v>
      </c>
      <c r="C19" s="3027"/>
      <c r="D19" s="3057">
        <f>IFERROR(SUM(F19)/$C$18,"NA")</f>
        <v>0.6000620749548029</v>
      </c>
      <c r="E19" s="3057">
        <f>IFERROR(SUM(G19)/$C$18,"NA")</f>
        <v>0.27395186339217542</v>
      </c>
      <c r="F19" s="3104">
        <v>288.40745963521289</v>
      </c>
      <c r="G19" s="3104">
        <v>131.66931269439291</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3" workbookViewId="0">
      <selection activeCell="K32" sqref="K32"/>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215.24505942370368</v>
      </c>
      <c r="J10" s="3123">
        <f>IF(SUM(J11:J16)=0,"NO",SUM(J11:J16))</f>
        <v>5.6910628162290715</v>
      </c>
      <c r="K10" s="4433">
        <f>IF(SUM(K11:K16)=0,"NO",SUM(K11:K16))</f>
        <v>6.6976517959999992E-3</v>
      </c>
      <c r="L10" s="3124" t="s">
        <v>199</v>
      </c>
    </row>
    <row r="11" spans="2:12" ht="18" customHeight="1" x14ac:dyDescent="0.2">
      <c r="B11" s="1251" t="s">
        <v>520</v>
      </c>
      <c r="C11" s="2190" t="s">
        <v>521</v>
      </c>
      <c r="D11" s="2190" t="s">
        <v>522</v>
      </c>
      <c r="E11" s="699">
        <v>81</v>
      </c>
      <c r="F11" s="1938">
        <f>I11*1000000/$E11</f>
        <v>72846.8938271605</v>
      </c>
      <c r="G11" s="1938">
        <f>J11*1000000/$E11</f>
        <v>7.5123359259259255</v>
      </c>
      <c r="H11" s="1938">
        <f>K11*1000000/$E11</f>
        <v>5.0082239506172836</v>
      </c>
      <c r="I11" s="3119">
        <v>5.9005984000000007</v>
      </c>
      <c r="J11" s="4434">
        <v>6.084992099999999E-4</v>
      </c>
      <c r="K11" s="4440">
        <v>4.0566613999999998E-4</v>
      </c>
      <c r="L11" s="3072" t="s">
        <v>199</v>
      </c>
    </row>
    <row r="12" spans="2:12" ht="18" customHeight="1" x14ac:dyDescent="0.2">
      <c r="B12" s="1251" t="s">
        <v>523</v>
      </c>
      <c r="C12" s="2190" t="s">
        <v>524</v>
      </c>
      <c r="D12" s="2190" t="s">
        <v>525</v>
      </c>
      <c r="E12" s="699">
        <v>784.92536299999995</v>
      </c>
      <c r="F12" s="1938" t="s">
        <v>205</v>
      </c>
      <c r="G12" s="1938">
        <f>J12*1000000/$E12</f>
        <v>5170.1006237829979</v>
      </c>
      <c r="H12" s="3075"/>
      <c r="I12" s="3125" t="s">
        <v>205</v>
      </c>
      <c r="J12" s="699">
        <v>4.0581431088693956</v>
      </c>
      <c r="K12" s="3027"/>
      <c r="L12" s="3072" t="s">
        <v>199</v>
      </c>
    </row>
    <row r="13" spans="2:12" ht="18" customHeight="1" x14ac:dyDescent="0.2">
      <c r="B13" s="1251" t="s">
        <v>526</v>
      </c>
      <c r="C13" s="2190" t="s">
        <v>527</v>
      </c>
      <c r="D13" s="2190" t="s">
        <v>525</v>
      </c>
      <c r="E13" s="699">
        <v>673.30143199999998</v>
      </c>
      <c r="F13" s="1938" t="s">
        <v>205</v>
      </c>
      <c r="G13" s="1938">
        <f>J13*1000000/$E13</f>
        <v>99.727520974498773</v>
      </c>
      <c r="H13" s="3075"/>
      <c r="I13" s="3125" t="s">
        <v>205</v>
      </c>
      <c r="J13" s="699">
        <v>6.7146682681940059E-2</v>
      </c>
      <c r="K13" s="3027"/>
      <c r="L13" s="3072" t="s">
        <v>199</v>
      </c>
    </row>
    <row r="14" spans="2:12" ht="18" customHeight="1" x14ac:dyDescent="0.2">
      <c r="B14" s="1251" t="s">
        <v>528</v>
      </c>
      <c r="C14" s="2190" t="s">
        <v>529</v>
      </c>
      <c r="D14" s="2190" t="s">
        <v>525</v>
      </c>
      <c r="E14" s="699">
        <v>1085.8773412001999</v>
      </c>
      <c r="F14" s="1938">
        <f>I14*1000000/$E14</f>
        <v>192788.31326595243</v>
      </c>
      <c r="G14" s="1938">
        <f>J14*1000000/$E14</f>
        <v>1362.1678925382698</v>
      </c>
      <c r="H14" s="1938">
        <f>K14*1000000/$E14</f>
        <v>5.7943797308134126</v>
      </c>
      <c r="I14" s="3125">
        <v>209.34446102370367</v>
      </c>
      <c r="J14" s="699">
        <v>1.479147249417736</v>
      </c>
      <c r="K14" s="4439">
        <v>6.2919856559999991E-3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8.6017276050000008E-2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3094</v>
      </c>
      <c r="F18" s="1938" t="s">
        <v>205</v>
      </c>
      <c r="G18" s="1938">
        <f>J18*1000000/$E18</f>
        <v>27.801317404654174</v>
      </c>
      <c r="H18" s="3126"/>
      <c r="I18" s="3128" t="s">
        <v>205</v>
      </c>
      <c r="J18" s="2215">
        <v>8.6017276050000008E-2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83.326921137880134</v>
      </c>
      <c r="J21" s="4437">
        <f>IF(SUM(J22:J27)=0,"NO",SUM(J22:J27))</f>
        <v>146.09866979092618</v>
      </c>
      <c r="K21" s="4438">
        <f>IF(SUM(K22:K27)=0,"NO",SUM(K22:K27))</f>
        <v>1.965667891149E-3</v>
      </c>
      <c r="L21" s="3047" t="str">
        <f>IF(SUM(L22:L27)=0,"NO",SUM(L22:L27))</f>
        <v>NO</v>
      </c>
    </row>
    <row r="22" spans="2:12" ht="18" customHeight="1" x14ac:dyDescent="0.2">
      <c r="B22" s="1468" t="s">
        <v>535</v>
      </c>
      <c r="C22" s="2190" t="s">
        <v>521</v>
      </c>
      <c r="D22" s="2190" t="s">
        <v>522</v>
      </c>
      <c r="E22" s="699">
        <v>2165.9376607226964</v>
      </c>
      <c r="F22" s="1938">
        <f>I22*1000000/$E22</f>
        <v>30828.131666365247</v>
      </c>
      <c r="G22" s="1938">
        <f>J22*1000000/$E22</f>
        <v>2379.9270319255884</v>
      </c>
      <c r="H22" s="1938">
        <f>K22*1000000/$E22</f>
        <v>0.90753668805644505</v>
      </c>
      <c r="I22" s="3119">
        <v>66.771811385898417</v>
      </c>
      <c r="J22" s="700">
        <v>5.1547735882196184</v>
      </c>
      <c r="K22" s="4129">
        <v>1.965667891149E-3</v>
      </c>
      <c r="L22" s="3133" t="s">
        <v>199</v>
      </c>
    </row>
    <row r="23" spans="2:12" ht="18" customHeight="1" x14ac:dyDescent="0.2">
      <c r="B23" s="1251" t="s">
        <v>536</v>
      </c>
      <c r="C23" s="2190" t="s">
        <v>537</v>
      </c>
      <c r="D23" s="2190" t="s">
        <v>525</v>
      </c>
      <c r="E23" s="699">
        <v>3661.9711032718697</v>
      </c>
      <c r="F23" s="1938">
        <f>I23*1000000/$E23</f>
        <v>161.61954694265191</v>
      </c>
      <c r="G23" s="1938">
        <f>J23*1000000/$E23</f>
        <v>5435.153539428914</v>
      </c>
      <c r="H23" s="3075"/>
      <c r="I23" s="3125">
        <v>0.59184611062788273</v>
      </c>
      <c r="J23" s="699">
        <v>19.903375203234507</v>
      </c>
      <c r="K23" s="3027"/>
      <c r="L23" s="3133" t="s">
        <v>199</v>
      </c>
    </row>
    <row r="24" spans="2:12" ht="18" customHeight="1" x14ac:dyDescent="0.2">
      <c r="B24" s="1251" t="s">
        <v>538</v>
      </c>
      <c r="C24" s="2190" t="s">
        <v>537</v>
      </c>
      <c r="D24" s="2190" t="s">
        <v>525</v>
      </c>
      <c r="E24" s="699">
        <v>3661.9711032718697</v>
      </c>
      <c r="F24" s="1938">
        <f t="shared" ref="F24:F26" si="0">I24*1000000/$E24</f>
        <v>984.51315474475132</v>
      </c>
      <c r="G24" s="1938">
        <f t="shared" ref="G24:G26" si="1">J24*1000000/$E24</f>
        <v>6062.2305497909119</v>
      </c>
      <c r="H24" s="1885"/>
      <c r="I24" s="699">
        <v>3.605258723466306</v>
      </c>
      <c r="J24" s="699">
        <v>22.199713094706262</v>
      </c>
      <c r="K24" s="1939"/>
      <c r="L24" s="3072" t="str">
        <f>IF(Table1.C!E21="NO","NO",-Table1.C!E21)</f>
        <v>NO</v>
      </c>
    </row>
    <row r="25" spans="2:12" ht="18" customHeight="1" x14ac:dyDescent="0.2">
      <c r="B25" s="1251" t="s">
        <v>539</v>
      </c>
      <c r="C25" s="2190" t="s">
        <v>540</v>
      </c>
      <c r="D25" s="2190" t="s">
        <v>541</v>
      </c>
      <c r="E25" s="699">
        <v>27841</v>
      </c>
      <c r="F25" s="1938">
        <f t="shared" si="0"/>
        <v>20</v>
      </c>
      <c r="G25" s="1938">
        <f t="shared" si="1"/>
        <v>759.13683313920376</v>
      </c>
      <c r="H25" s="3075"/>
      <c r="I25" s="3125">
        <v>0.55681999999999998</v>
      </c>
      <c r="J25" s="699">
        <v>21.13512857142857</v>
      </c>
      <c r="K25" s="3027"/>
      <c r="L25" s="3072" t="s">
        <v>199</v>
      </c>
    </row>
    <row r="26" spans="2:12" ht="18" customHeight="1" x14ac:dyDescent="0.2">
      <c r="B26" s="1251" t="s">
        <v>542</v>
      </c>
      <c r="C26" s="2190" t="s">
        <v>543</v>
      </c>
      <c r="D26" s="2190" t="s">
        <v>525</v>
      </c>
      <c r="E26" s="699">
        <v>369.51462432222218</v>
      </c>
      <c r="F26" s="1938">
        <f t="shared" si="0"/>
        <v>30442.688483935734</v>
      </c>
      <c r="G26" s="1938">
        <f t="shared" si="1"/>
        <v>171381.34878335506</v>
      </c>
      <c r="H26" s="3075"/>
      <c r="I26" s="3125">
        <v>11.249018598499951</v>
      </c>
      <c r="J26" s="699">
        <v>63.327914711517181</v>
      </c>
      <c r="K26" s="3027"/>
      <c r="L26" s="3072" t="s">
        <v>199</v>
      </c>
    </row>
    <row r="27" spans="2:12" ht="18" customHeight="1" x14ac:dyDescent="0.2">
      <c r="B27" s="2436" t="s">
        <v>544</v>
      </c>
      <c r="C27" s="607"/>
      <c r="D27" s="607"/>
      <c r="E27" s="615"/>
      <c r="F27" s="615"/>
      <c r="G27" s="615"/>
      <c r="H27" s="3126"/>
      <c r="I27" s="1938">
        <f>IF(SUM(I29:I30)=0,"NO",SUM(I29:I30))</f>
        <v>0.55216631938756189</v>
      </c>
      <c r="J27" s="1938">
        <f>IF(SUM(J29:J30)=0,"NO",SUM(J29:J30))</f>
        <v>14.377764621820056</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0.55216631938756189</v>
      </c>
      <c r="J29" s="3128">
        <v>14.112516197570056</v>
      </c>
      <c r="K29" s="3110"/>
      <c r="L29" s="3080" t="s">
        <v>199</v>
      </c>
    </row>
    <row r="30" spans="2:12" ht="18" customHeight="1" thickBot="1" x14ac:dyDescent="0.25">
      <c r="B30" s="2437" t="s">
        <v>547</v>
      </c>
      <c r="C30" s="2190" t="s">
        <v>533</v>
      </c>
      <c r="D30" s="2190" t="s">
        <v>522</v>
      </c>
      <c r="E30" s="699">
        <v>13902</v>
      </c>
      <c r="F30" s="1938" t="s">
        <v>205</v>
      </c>
      <c r="G30" s="1938">
        <f t="shared" ref="G30" si="2">J30*1000000/$E30</f>
        <v>19.079875143864189</v>
      </c>
      <c r="H30" s="3126"/>
      <c r="I30" s="3128" t="s">
        <v>205</v>
      </c>
      <c r="J30" s="3128">
        <v>0.26524842425</v>
      </c>
      <c r="K30" s="3110"/>
      <c r="L30" s="3080" t="s">
        <v>199</v>
      </c>
    </row>
    <row r="31" spans="2:12" ht="18" customHeight="1" x14ac:dyDescent="0.2">
      <c r="B31" s="1254" t="s">
        <v>548</v>
      </c>
      <c r="C31" s="2192"/>
      <c r="D31" s="2192"/>
      <c r="E31" s="3183"/>
      <c r="F31" s="3183"/>
      <c r="G31" s="3183"/>
      <c r="H31" s="3183"/>
      <c r="I31" s="4437">
        <f>IF(SUM(I32,I36)=0,"NO",SUM(I32,I36))</f>
        <v>6668.3398288338558</v>
      </c>
      <c r="J31" s="3046">
        <f>IF(SUM(J32,J36)=0,"NO",SUM(J32,J36))</f>
        <v>87.520957225965503</v>
      </c>
      <c r="K31" s="3046">
        <f>IF(SUM(K32,K36)=0,"NO",SUM(K32,K36))</f>
        <v>0.11103859087750799</v>
      </c>
      <c r="L31" s="3047" t="str">
        <f>IF(SUM(L32,L36)=0,"NO",SUM(L32,L36))</f>
        <v>NO</v>
      </c>
    </row>
    <row r="32" spans="2:12" ht="18" customHeight="1" x14ac:dyDescent="0.2">
      <c r="B32" s="1467" t="s">
        <v>549</v>
      </c>
      <c r="C32" s="2195"/>
      <c r="D32" s="2195"/>
      <c r="E32" s="3007"/>
      <c r="F32" s="3007"/>
      <c r="G32" s="3007"/>
      <c r="H32" s="3007"/>
      <c r="I32" s="3134">
        <f>IF(SUM(I33:I35)=0,"NO",SUM(I33:I35))</f>
        <v>3641.2738746160976</v>
      </c>
      <c r="J32" s="1938">
        <f>IF(SUM(J33:J35)=0,"NO",SUM(J33:J35))</f>
        <v>76.61004114081102</v>
      </c>
      <c r="K32" s="1938">
        <f>IF(SUM(K33:K35)=0,"NO",SUM(K33:K35))</f>
        <v>6.7774193548387094E-3</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4446.8964662718699</v>
      </c>
      <c r="F35" s="1938">
        <f t="shared" ref="F35" si="3">SUM(I35,L35)*1000000/$E35</f>
        <v>818834.8665712967</v>
      </c>
      <c r="G35" s="1938">
        <f t="shared" ref="G35" si="4">J35*1000000/$E35</f>
        <v>17227.754619850264</v>
      </c>
      <c r="H35" s="1938">
        <f t="shared" ref="H35" si="5">K35*1000000/$E35</f>
        <v>1.5240785132379464</v>
      </c>
      <c r="I35" s="699">
        <v>3641.2738746160976</v>
      </c>
      <c r="J35" s="699">
        <v>76.61004114081102</v>
      </c>
      <c r="K35" s="699">
        <v>6.7774193548387094E-3</v>
      </c>
      <c r="L35" s="3072" t="s">
        <v>199</v>
      </c>
    </row>
    <row r="36" spans="2:12" ht="18" customHeight="1" x14ac:dyDescent="0.2">
      <c r="B36" s="1467" t="s">
        <v>554</v>
      </c>
      <c r="C36" s="2195"/>
      <c r="D36" s="2195"/>
      <c r="E36" s="3007"/>
      <c r="F36" s="3007"/>
      <c r="G36" s="3007"/>
      <c r="H36" s="3007"/>
      <c r="I36" s="3134">
        <f>IF(SUM(I37:I39)=0,"NO",SUM(I37:I39))</f>
        <v>3027.0659542177582</v>
      </c>
      <c r="J36" s="3134">
        <f>IF(SUM(J37:J39)=0,"NO",SUM(J37:J39))</f>
        <v>10.910916085154478</v>
      </c>
      <c r="K36" s="1938">
        <f>IF(SUM(K37:K39)=0,"NO",SUM(K37:K39))</f>
        <v>0.10426117152266928</v>
      </c>
      <c r="L36" s="3044" t="str">
        <f>IF(SUM(L37:L39)=0,"NO",SUM(L37:L39))</f>
        <v>NO</v>
      </c>
    </row>
    <row r="37" spans="2:12" ht="18" customHeight="1" x14ac:dyDescent="0.2">
      <c r="B37" s="1469" t="s">
        <v>555</v>
      </c>
      <c r="C37" s="277" t="s">
        <v>556</v>
      </c>
      <c r="D37" s="277" t="s">
        <v>525</v>
      </c>
      <c r="E37" s="699">
        <v>4.2908457730357199</v>
      </c>
      <c r="F37" s="1938">
        <f t="shared" ref="F37:F38" si="6">SUM(I37,L37)*1000000/$E37</f>
        <v>126379794.17270485</v>
      </c>
      <c r="G37" s="1938">
        <f t="shared" ref="G37:H38" si="7">J37*1000000/$E37</f>
        <v>1521534.6590614689</v>
      </c>
      <c r="H37" s="1938">
        <f t="shared" si="7"/>
        <v>3543.038888439487</v>
      </c>
      <c r="I37" s="700">
        <v>542.27620562307493</v>
      </c>
      <c r="J37" s="700">
        <v>6.5286705603612498</v>
      </c>
      <c r="K37" s="700">
        <v>1.5202633438161748E-2</v>
      </c>
      <c r="L37" s="3133" t="s">
        <v>199</v>
      </c>
    </row>
    <row r="38" spans="2:12" ht="18" customHeight="1" x14ac:dyDescent="0.2">
      <c r="B38" s="1469" t="s">
        <v>557</v>
      </c>
      <c r="C38" s="277" t="s">
        <v>556</v>
      </c>
      <c r="D38" s="277" t="s">
        <v>525</v>
      </c>
      <c r="E38" s="699">
        <v>54.717549021076366</v>
      </c>
      <c r="F38" s="1938">
        <f t="shared" si="6"/>
        <v>45411203.408207849</v>
      </c>
      <c r="G38" s="1938">
        <f t="shared" si="7"/>
        <v>80088.48355223758</v>
      </c>
      <c r="H38" s="1938">
        <f t="shared" si="7"/>
        <v>1627.6046657390216</v>
      </c>
      <c r="I38" s="699">
        <v>2484.7897485946833</v>
      </c>
      <c r="J38" s="699">
        <v>4.3822455247932277</v>
      </c>
      <c r="K38" s="699">
        <v>8.9058538084507533E-2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8">J41</f>
        <v>NA</v>
      </c>
      <c r="K40" s="3123" t="str">
        <f t="shared" si="8"/>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6" workbookViewId="0">
      <selection activeCell="G14" sqref="G14"/>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43.293481555313996</v>
      </c>
      <c r="M9" s="3323">
        <f>100*C10/SUM(C10,'Table1.A(a)s3'!C16)</f>
        <v>56.706518444686004</v>
      </c>
    </row>
    <row r="10" spans="1:13" ht="18" customHeight="1" thickTop="1" thickBot="1" x14ac:dyDescent="0.25">
      <c r="B10" s="223" t="s">
        <v>603</v>
      </c>
      <c r="C10" s="3303">
        <f>IF(SUM(C11:C13)=0,"NO",SUM(C11:C13))</f>
        <v>158420</v>
      </c>
      <c r="D10" s="3304"/>
      <c r="E10" s="3305"/>
      <c r="F10" s="3305"/>
      <c r="G10" s="3303">
        <f>IF(SUM(G11:G13)=0,"NO",SUM(G11:G13))</f>
        <v>11026.031999999999</v>
      </c>
      <c r="H10" s="3303">
        <f>IF(SUM(H11:H13)=0,"NO",SUM(H11:H13))</f>
        <v>2.1476844883720935E-2</v>
      </c>
      <c r="I10" s="1154">
        <f>IF(SUM(I11:I13)=0,"NO",SUM(I11:I13))</f>
        <v>5.5965056703647487E-2</v>
      </c>
      <c r="J10" s="4"/>
      <c r="K10" s="68" t="s">
        <v>604</v>
      </c>
      <c r="L10" s="3324">
        <f>100-M10</f>
        <v>44.135627024195017</v>
      </c>
      <c r="M10" s="3325">
        <f>100*C14/SUM(C14,'Table1.A(a)s3'!C88)</f>
        <v>55.864372975804983</v>
      </c>
    </row>
    <row r="11" spans="1:13" ht="18" customHeight="1" x14ac:dyDescent="0.2">
      <c r="B11" s="1257" t="s">
        <v>293</v>
      </c>
      <c r="C11" s="3306">
        <v>158420</v>
      </c>
      <c r="D11" s="116">
        <f>IF(G11="NO","NA",G11*1000/$C11)</f>
        <v>69.599999999999994</v>
      </c>
      <c r="E11" s="116">
        <f t="shared" ref="E11:F13" si="0">IF(H11="NO","NA",H11*1000000/$C11)</f>
        <v>0.13556902464159157</v>
      </c>
      <c r="F11" s="116">
        <f t="shared" si="0"/>
        <v>0.35327014710041338</v>
      </c>
      <c r="G11" s="3041">
        <v>11026.031999999999</v>
      </c>
      <c r="H11" s="3041">
        <v>2.1476844883720935E-2</v>
      </c>
      <c r="I11" s="3042">
        <v>5.5965056703647487E-2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26485</v>
      </c>
      <c r="D14" s="3313"/>
      <c r="E14" s="3314"/>
      <c r="F14" s="3315"/>
      <c r="G14" s="3387">
        <f>IF(SUM(G15:G18,G20:G22)=0,"NO",SUM(G15:G18,G20:G22))</f>
        <v>1944.3934999999999</v>
      </c>
      <c r="H14" s="3387">
        <f>IF(SUM(H15:H18,H20:H22)=0,"NO",SUM(H15:H18,H20:H22))</f>
        <v>0.185395</v>
      </c>
      <c r="I14" s="4428">
        <f>IF(SUM(I15:I18,I20:I22)=0,"NO",SUM(I15:I18,I20:I22))</f>
        <v>5.2969999999999996E-2</v>
      </c>
      <c r="J14" s="4"/>
      <c r="K14" s="1045"/>
      <c r="L14" s="1045"/>
      <c r="M14" s="1045"/>
    </row>
    <row r="15" spans="1:13" ht="18" customHeight="1" x14ac:dyDescent="0.2">
      <c r="B15" s="1259" t="s">
        <v>306</v>
      </c>
      <c r="C15" s="143">
        <v>25160</v>
      </c>
      <c r="D15" s="116">
        <f>IF(G15="NO","NA",G15*1000/$C15)</f>
        <v>73.599999999999994</v>
      </c>
      <c r="E15" s="116">
        <f t="shared" ref="E15:F17" si="1">IF(H15="NO","NA",H15*1000000/$C15)</f>
        <v>7</v>
      </c>
      <c r="F15" s="116">
        <f t="shared" si="1"/>
        <v>2</v>
      </c>
      <c r="G15" s="3043">
        <v>1851.7759999999998</v>
      </c>
      <c r="H15" s="3043">
        <v>0.17612</v>
      </c>
      <c r="I15" s="135">
        <v>5.0319999999999997E-2</v>
      </c>
      <c r="J15" s="4"/>
      <c r="K15" s="1045"/>
      <c r="L15" s="1045"/>
      <c r="M15" s="1045"/>
    </row>
    <row r="16" spans="1:13" ht="18" customHeight="1" x14ac:dyDescent="0.2">
      <c r="B16" s="1259" t="s">
        <v>307</v>
      </c>
      <c r="C16" s="3316">
        <v>1325</v>
      </c>
      <c r="D16" s="116">
        <f>IF(G16="NO","NA",G16*1000/$C16)</f>
        <v>69.900000000000006</v>
      </c>
      <c r="E16" s="116">
        <f t="shared" si="1"/>
        <v>7.0000000000000018</v>
      </c>
      <c r="F16" s="116">
        <f t="shared" si="1"/>
        <v>2.0000000000000004</v>
      </c>
      <c r="G16" s="3043">
        <v>92.617500000000007</v>
      </c>
      <c r="H16" s="3043">
        <v>9.275000000000002E-3</v>
      </c>
      <c r="I16" s="135">
        <v>2.6500000000000004E-3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19819.986049090236</v>
      </c>
      <c r="D10" s="2923">
        <f t="shared" ref="D10:N10" si="0">IF(SUM(D11,D16,D27,D35,D39,D45,D52,D57)=0,"NO",SUM(D11,D16,D27,D35,D39,D45,D52,D57))</f>
        <v>2.7391028704162332</v>
      </c>
      <c r="E10" s="2923">
        <f t="shared" si="0"/>
        <v>4.9850658574730646</v>
      </c>
      <c r="F10" s="2923">
        <f t="shared" si="0"/>
        <v>8187.2588327414196</v>
      </c>
      <c r="G10" s="2923">
        <f t="shared" si="0"/>
        <v>172.62441408027018</v>
      </c>
      <c r="H10" s="2923" t="str">
        <f t="shared" si="0"/>
        <v>NO</v>
      </c>
      <c r="I10" s="2923">
        <f t="shared" si="0"/>
        <v>4.581432148281132E-3</v>
      </c>
      <c r="J10" s="2923" t="str">
        <f t="shared" si="0"/>
        <v>NO</v>
      </c>
      <c r="K10" s="2923">
        <f t="shared" si="0"/>
        <v>6.5913176527148671</v>
      </c>
      <c r="L10" s="2924">
        <f t="shared" si="0"/>
        <v>16.057180943614814</v>
      </c>
      <c r="M10" s="2925">
        <f t="shared" si="0"/>
        <v>237.58257763270387</v>
      </c>
      <c r="N10" s="2926">
        <f t="shared" si="0"/>
        <v>1713.4993756634003</v>
      </c>
      <c r="O10" s="3002">
        <f t="shared" ref="O10:O58" si="1">IF(SUM(C10:J10)=0,"NO",SUM(C10,F10:H10)+28*SUM(D10)+265*SUM(E10)+23500*SUM(I10)+16100*SUM(J10))</f>
        <v>29685.27028399855</v>
      </c>
    </row>
    <row r="11" spans="1:15" ht="18" customHeight="1" x14ac:dyDescent="0.2">
      <c r="B11" s="1262" t="s">
        <v>621</v>
      </c>
      <c r="C11" s="2163">
        <f>IF(SUM(C12:C15)=0,"NO",SUM(C12:C15))</f>
        <v>6105.2887144225642</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6105.2887144225642</v>
      </c>
    </row>
    <row r="12" spans="1:15" ht="18" customHeight="1" x14ac:dyDescent="0.2">
      <c r="B12" s="1263" t="s">
        <v>622</v>
      </c>
      <c r="C12" s="2930">
        <f>'Table2(I).A-H'!H11</f>
        <v>3294.4198175733286</v>
      </c>
      <c r="D12" s="2162"/>
      <c r="E12" s="2162"/>
      <c r="F12" s="615"/>
      <c r="G12" s="615"/>
      <c r="H12" s="2161"/>
      <c r="I12" s="615"/>
      <c r="J12" s="2161"/>
      <c r="K12" s="2161"/>
      <c r="L12" s="2161"/>
      <c r="M12" s="2161"/>
      <c r="N12" s="2929" t="s">
        <v>199</v>
      </c>
      <c r="O12" s="2943">
        <f t="shared" si="1"/>
        <v>3294.4198175733286</v>
      </c>
    </row>
    <row r="13" spans="1:15" ht="18" customHeight="1" x14ac:dyDescent="0.2">
      <c r="B13" s="1263" t="s">
        <v>623</v>
      </c>
      <c r="C13" s="1884">
        <f>'Table2(I).A-H'!H12</f>
        <v>1256.4298607668516</v>
      </c>
      <c r="D13" s="2135"/>
      <c r="E13" s="2135"/>
      <c r="F13" s="615"/>
      <c r="G13" s="615"/>
      <c r="H13" s="2161"/>
      <c r="I13" s="615"/>
      <c r="J13" s="2161"/>
      <c r="K13" s="615"/>
      <c r="L13" s="615"/>
      <c r="M13" s="615"/>
      <c r="N13" s="1842"/>
      <c r="O13" s="1887">
        <f t="shared" si="1"/>
        <v>1256.4298607668516</v>
      </c>
    </row>
    <row r="14" spans="1:15" ht="18" customHeight="1" x14ac:dyDescent="0.2">
      <c r="B14" s="1263" t="s">
        <v>624</v>
      </c>
      <c r="C14" s="1884">
        <f>'Table2(I).A-H'!H13</f>
        <v>81.804123307670011</v>
      </c>
      <c r="D14" s="2135"/>
      <c r="E14" s="2135"/>
      <c r="F14" s="615"/>
      <c r="G14" s="615"/>
      <c r="H14" s="2161"/>
      <c r="I14" s="615"/>
      <c r="J14" s="2161"/>
      <c r="K14" s="615"/>
      <c r="L14" s="615"/>
      <c r="M14" s="615"/>
      <c r="N14" s="1842"/>
      <c r="O14" s="1887">
        <f t="shared" si="1"/>
        <v>81.804123307670011</v>
      </c>
    </row>
    <row r="15" spans="1:15" ht="18" customHeight="1" thickBot="1" x14ac:dyDescent="0.25">
      <c r="B15" s="1263" t="s">
        <v>625</v>
      </c>
      <c r="C15" s="1884">
        <f>'Table2(I).A-H'!H14</f>
        <v>1472.6349127747139</v>
      </c>
      <c r="D15" s="1885"/>
      <c r="E15" s="1885"/>
      <c r="F15" s="3003"/>
      <c r="G15" s="3003"/>
      <c r="H15" s="3003"/>
      <c r="I15" s="3003"/>
      <c r="J15" s="3003"/>
      <c r="K15" s="2622" t="s">
        <v>199</v>
      </c>
      <c r="L15" s="2622" t="s">
        <v>199</v>
      </c>
      <c r="M15" s="2622" t="s">
        <v>199</v>
      </c>
      <c r="N15" s="2623" t="s">
        <v>199</v>
      </c>
      <c r="O15" s="1887">
        <f t="shared" si="1"/>
        <v>1472.6349127747139</v>
      </c>
    </row>
    <row r="16" spans="1:15" ht="18" customHeight="1" x14ac:dyDescent="0.2">
      <c r="B16" s="1264" t="s">
        <v>626</v>
      </c>
      <c r="C16" s="2163">
        <f>IF(SUM(C17:C26)=0,"NO",SUM(C17:C26))</f>
        <v>3139.8890230772722</v>
      </c>
      <c r="D16" s="2163">
        <f t="shared" ref="D16:N16" si="3">IF(SUM(D17:D26)=0,"NO",SUM(D17:D26))</f>
        <v>0.57776359999999993</v>
      </c>
      <c r="E16" s="2163">
        <f t="shared" si="3"/>
        <v>4.9338356261489773</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4463.5328448067512</v>
      </c>
    </row>
    <row r="17" spans="2:15" ht="18" customHeight="1" x14ac:dyDescent="0.2">
      <c r="B17" s="1265" t="s">
        <v>627</v>
      </c>
      <c r="C17" s="2930">
        <f>'Table2(I).A-H'!H23</f>
        <v>2139.4934101923036</v>
      </c>
      <c r="D17" s="2165" t="str">
        <f>'Table2(I).A-H'!I23</f>
        <v>NO</v>
      </c>
      <c r="E17" s="2165" t="str">
        <f>'Table2(I).A-H'!J23</f>
        <v>NO</v>
      </c>
      <c r="F17" s="2161"/>
      <c r="G17" s="2161"/>
      <c r="H17" s="2161"/>
      <c r="I17" s="2161"/>
      <c r="J17" s="2161"/>
      <c r="K17" s="700" t="s">
        <v>199</v>
      </c>
      <c r="L17" s="700" t="s">
        <v>199</v>
      </c>
      <c r="M17" s="700" t="s">
        <v>199</v>
      </c>
      <c r="N17" s="700" t="s">
        <v>199</v>
      </c>
      <c r="O17" s="2943">
        <f t="shared" si="1"/>
        <v>2139.4934101923036</v>
      </c>
    </row>
    <row r="18" spans="2:15" ht="18" customHeight="1" x14ac:dyDescent="0.2">
      <c r="B18" s="1263" t="s">
        <v>628</v>
      </c>
      <c r="C18" s="1935"/>
      <c r="D18" s="2162"/>
      <c r="E18" s="2165">
        <f>'Table2(I).A-H'!J24</f>
        <v>4.9338356261489773</v>
      </c>
      <c r="F18" s="615"/>
      <c r="G18" s="615"/>
      <c r="H18" s="2161"/>
      <c r="I18" s="615"/>
      <c r="J18" s="2161"/>
      <c r="K18" s="700" t="s">
        <v>199</v>
      </c>
      <c r="L18" s="615"/>
      <c r="M18" s="615"/>
      <c r="N18" s="1842"/>
      <c r="O18" s="2943">
        <f t="shared" si="1"/>
        <v>1307.4664409294789</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849.6798667784999</v>
      </c>
      <c r="D22" s="1939"/>
      <c r="E22" s="615"/>
      <c r="F22" s="615"/>
      <c r="G22" s="615"/>
      <c r="H22" s="2161"/>
      <c r="I22" s="615"/>
      <c r="J22" s="2161"/>
      <c r="K22" s="1939"/>
      <c r="L22" s="1939"/>
      <c r="M22" s="1939"/>
      <c r="N22" s="2931"/>
      <c r="O22" s="1887">
        <f t="shared" si="1"/>
        <v>849.6798667784999</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48.294806000000001</v>
      </c>
      <c r="D24" s="1884">
        <f>'Table2(I).A-H'!I35</f>
        <v>0.57776359999999993</v>
      </c>
      <c r="E24" s="615"/>
      <c r="F24" s="615"/>
      <c r="G24" s="615"/>
      <c r="H24" s="2161"/>
      <c r="I24" s="615"/>
      <c r="J24" s="2161"/>
      <c r="K24" s="700" t="s">
        <v>199</v>
      </c>
      <c r="L24" s="700" t="s">
        <v>199</v>
      </c>
      <c r="M24" s="699">
        <v>2.8425606806999988</v>
      </c>
      <c r="N24" s="700" t="s">
        <v>199</v>
      </c>
      <c r="O24" s="1887">
        <f t="shared" si="1"/>
        <v>64.472186800000003</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102.42094010646892</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102.42094010646892</v>
      </c>
    </row>
    <row r="27" spans="2:15" ht="18" customHeight="1" x14ac:dyDescent="0.2">
      <c r="B27" s="1262" t="s">
        <v>637</v>
      </c>
      <c r="C27" s="2163">
        <f>IF(SUM(C28:C34)=0,"NO",SUM(C28:C34))</f>
        <v>10125.110621348897</v>
      </c>
      <c r="D27" s="2163">
        <f t="shared" ref="D27:N27" si="4">IF(SUM(D28:D34)=0,"NO",SUM(D28:D34))</f>
        <v>2.1613392704162333</v>
      </c>
      <c r="E27" s="2163">
        <f t="shared" si="4"/>
        <v>5.1230231324087425E-2</v>
      </c>
      <c r="F27" s="2164" t="str">
        <f t="shared" si="4"/>
        <v>NO</v>
      </c>
      <c r="G27" s="2164">
        <f t="shared" si="4"/>
        <v>172.62441408027018</v>
      </c>
      <c r="H27" s="2164" t="str">
        <f t="shared" si="4"/>
        <v>NO</v>
      </c>
      <c r="I27" s="2164" t="str">
        <f t="shared" si="4"/>
        <v>NO</v>
      </c>
      <c r="J27" s="2164" t="str">
        <f t="shared" si="4"/>
        <v>NO</v>
      </c>
      <c r="K27" s="2163">
        <f t="shared" si="4"/>
        <v>6.5913176527148671</v>
      </c>
      <c r="L27" s="2163">
        <f t="shared" si="4"/>
        <v>16.057180943614814</v>
      </c>
      <c r="M27" s="2927">
        <f t="shared" si="4"/>
        <v>6.3006841587844295E-2</v>
      </c>
      <c r="N27" s="2928">
        <f t="shared" si="4"/>
        <v>1713.4993756634003</v>
      </c>
      <c r="O27" s="2950">
        <f t="shared" si="1"/>
        <v>10371.828546301706</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2787.0132685216836</v>
      </c>
      <c r="D30" s="1885"/>
      <c r="E30" s="615"/>
      <c r="F30" s="615"/>
      <c r="G30" s="2166">
        <f>SUM('Table2(II)'!X41:Y41)</f>
        <v>172.62441408027018</v>
      </c>
      <c r="H30" s="2162"/>
      <c r="I30" s="2168" t="s">
        <v>199</v>
      </c>
      <c r="J30" s="2161"/>
      <c r="K30" s="699" t="s">
        <v>205</v>
      </c>
      <c r="L30" s="699" t="s">
        <v>205</v>
      </c>
      <c r="M30" s="699" t="s">
        <v>205</v>
      </c>
      <c r="N30" s="2921">
        <v>45.615410519999998</v>
      </c>
      <c r="O30" s="1887">
        <f t="shared" si="1"/>
        <v>2959.6376826019537</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7338.0973528272134</v>
      </c>
      <c r="D34" s="1888">
        <f>'Table2(I).A-H'!I67</f>
        <v>2.1613392704162333</v>
      </c>
      <c r="E34" s="1888">
        <f>'Table2(I).A-H'!J67</f>
        <v>5.1230231324087425E-2</v>
      </c>
      <c r="F34" s="2172" t="s">
        <v>199</v>
      </c>
      <c r="G34" s="2172" t="s">
        <v>199</v>
      </c>
      <c r="H34" s="2172" t="s">
        <v>199</v>
      </c>
      <c r="I34" s="2172" t="s">
        <v>199</v>
      </c>
      <c r="J34" s="2172" t="s">
        <v>199</v>
      </c>
      <c r="K34" s="2622">
        <v>6.5913176527148671</v>
      </c>
      <c r="L34" s="2622">
        <v>16.057180943614814</v>
      </c>
      <c r="M34" s="2622">
        <v>6.3006841587844295E-2</v>
      </c>
      <c r="N34" s="2623">
        <v>1667.8839651434002</v>
      </c>
      <c r="O34" s="1890">
        <f t="shared" si="1"/>
        <v>7412.1908636997505</v>
      </c>
    </row>
    <row r="35" spans="2:15" ht="18" customHeight="1" x14ac:dyDescent="0.2">
      <c r="B35" s="2489" t="s">
        <v>645</v>
      </c>
      <c r="C35" s="2930">
        <f>IF(SUM(C36:C38)=0,"NO",SUM(C36:C38))</f>
        <v>209.32935569</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187.19151247921931</v>
      </c>
      <c r="N35" s="2077" t="str">
        <f t="shared" ref="N35" si="7">IF(SUM(N36:N38)=0,"NO",SUM(N36:N38))</f>
        <v>NO</v>
      </c>
      <c r="O35" s="2943">
        <f t="shared" si="1"/>
        <v>209.32935569</v>
      </c>
    </row>
    <row r="36" spans="2:15" ht="18" customHeight="1" x14ac:dyDescent="0.2">
      <c r="B36" s="1269" t="s">
        <v>646</v>
      </c>
      <c r="C36" s="1884">
        <f>'Table2(I).A-H'!H73</f>
        <v>209.32935569</v>
      </c>
      <c r="D36" s="2166" t="str">
        <f>'Table2(I).A-H'!I73</f>
        <v>NO</v>
      </c>
      <c r="E36" s="2166" t="str">
        <f>'Table2(I).A-H'!J73</f>
        <v>NO</v>
      </c>
      <c r="F36" s="615"/>
      <c r="G36" s="615"/>
      <c r="H36" s="2161"/>
      <c r="I36" s="615"/>
      <c r="J36" s="2161"/>
      <c r="K36" s="2173" t="s">
        <v>205</v>
      </c>
      <c r="L36" s="2173" t="s">
        <v>205</v>
      </c>
      <c r="M36" s="699" t="s">
        <v>205</v>
      </c>
      <c r="N36" s="2167" t="s">
        <v>205</v>
      </c>
      <c r="O36" s="1887">
        <f t="shared" si="1"/>
        <v>209.32935569</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187.19151247921931</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8187.2588327414196</v>
      </c>
      <c r="G45" s="2163" t="str">
        <f t="shared" ref="G45:J45" si="9">IF(SUM(G46:G51)=0,"NO",SUM(G46:G51))</f>
        <v>NO</v>
      </c>
      <c r="H45" s="2930" t="str">
        <f t="shared" si="9"/>
        <v>NO</v>
      </c>
      <c r="I45" s="2930" t="str">
        <f t="shared" si="9"/>
        <v>NO</v>
      </c>
      <c r="J45" s="2165" t="str">
        <f t="shared" si="9"/>
        <v>NO</v>
      </c>
      <c r="K45" s="1955"/>
      <c r="L45" s="1955"/>
      <c r="M45" s="1955"/>
      <c r="N45" s="2178"/>
      <c r="O45" s="2950">
        <f t="shared" si="1"/>
        <v>8187.2588327414196</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7822.7092636489651</v>
      </c>
      <c r="G46" s="1884" t="s">
        <v>199</v>
      </c>
      <c r="H46" s="1884" t="s">
        <v>199</v>
      </c>
      <c r="I46" s="1884" t="s">
        <v>199</v>
      </c>
      <c r="J46" s="2165" t="str">
        <f t="shared" ref="J46" si="10">IF(SUM(J47:J52)=0,"NO",SUM(J47:J52))</f>
        <v>NO</v>
      </c>
      <c r="K46" s="615"/>
      <c r="L46" s="615"/>
      <c r="M46" s="615"/>
      <c r="N46" s="1842"/>
      <c r="O46" s="1887">
        <f t="shared" si="1"/>
        <v>7822.7092636489651</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65.351747526222212</v>
      </c>
      <c r="G47" s="1884" t="s">
        <v>199</v>
      </c>
      <c r="H47" s="1884" t="s">
        <v>199</v>
      </c>
      <c r="I47" s="1884" t="s">
        <v>199</v>
      </c>
      <c r="J47" s="2165" t="str">
        <f t="shared" ref="J47" si="11">IF(SUM(J48:J53)=0,"NO",SUM(J48:J53))</f>
        <v>NO</v>
      </c>
      <c r="K47" s="615"/>
      <c r="L47" s="615"/>
      <c r="M47" s="615"/>
      <c r="N47" s="1842"/>
      <c r="O47" s="1887">
        <f t="shared" si="1"/>
        <v>65.351747526222212</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47.817427389378082</v>
      </c>
      <c r="G48" s="1884" t="s">
        <v>199</v>
      </c>
      <c r="H48" s="1884" t="s">
        <v>199</v>
      </c>
      <c r="I48" s="1884" t="s">
        <v>199</v>
      </c>
      <c r="J48" s="2165" t="str">
        <f t="shared" ref="J48" si="12">IF(SUM(J49:J54)=0,"NO",SUM(J49:J54))</f>
        <v>NO</v>
      </c>
      <c r="K48" s="615"/>
      <c r="L48" s="615"/>
      <c r="M48" s="615"/>
      <c r="N48" s="1842"/>
      <c r="O48" s="1887">
        <f t="shared" si="1"/>
        <v>47.817427389378082</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164.80299800038782</v>
      </c>
      <c r="G49" s="1884" t="s">
        <v>199</v>
      </c>
      <c r="H49" s="1884" t="s">
        <v>199</v>
      </c>
      <c r="I49" s="1884" t="s">
        <v>199</v>
      </c>
      <c r="J49" s="2165" t="str">
        <f t="shared" ref="J49" si="13">IF(SUM(J50:J55)=0,"NO",SUM(J50:J55))</f>
        <v>NO</v>
      </c>
      <c r="K49" s="615"/>
      <c r="L49" s="615"/>
      <c r="M49" s="615"/>
      <c r="N49" s="1842"/>
      <c r="O49" s="1887">
        <f t="shared" si="1"/>
        <v>164.80299800038782</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86.577396176466124</v>
      </c>
      <c r="G50" s="1884" t="s">
        <v>199</v>
      </c>
      <c r="H50" s="1884" t="s">
        <v>199</v>
      </c>
      <c r="I50" s="1884" t="s">
        <v>199</v>
      </c>
      <c r="J50" s="2165" t="str">
        <f t="shared" ref="J50" si="14">IF(SUM(J51:J56)=0,"NO",SUM(J51:J56))</f>
        <v>NO</v>
      </c>
      <c r="K50" s="615"/>
      <c r="L50" s="615"/>
      <c r="M50" s="615"/>
      <c r="N50" s="1842"/>
      <c r="O50" s="1887">
        <f t="shared" si="1"/>
        <v>86.577396176466124</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4.581432148281132E-3</v>
      </c>
      <c r="J52" s="2165" t="str">
        <f t="shared" si="16"/>
        <v>NO</v>
      </c>
      <c r="K52" s="2165" t="str">
        <f t="shared" si="16"/>
        <v>NO</v>
      </c>
      <c r="L52" s="2165" t="str">
        <f t="shared" si="16"/>
        <v>NO</v>
      </c>
      <c r="M52" s="2165" t="str">
        <f t="shared" si="16"/>
        <v>NO</v>
      </c>
      <c r="N52" s="2077" t="str">
        <f t="shared" si="16"/>
        <v>NO</v>
      </c>
      <c r="O52" s="2943">
        <f t="shared" si="1"/>
        <v>107.66365548460661</v>
      </c>
    </row>
    <row r="53" spans="2:15" ht="18" customHeight="1" x14ac:dyDescent="0.2">
      <c r="B53" s="1269" t="s">
        <v>663</v>
      </c>
      <c r="C53" s="2161"/>
      <c r="D53" s="2161"/>
      <c r="E53" s="2161"/>
      <c r="F53" s="2930" t="s">
        <v>199</v>
      </c>
      <c r="G53" s="2930" t="s">
        <v>199</v>
      </c>
      <c r="H53" s="2930" t="s">
        <v>199</v>
      </c>
      <c r="I53" s="2930">
        <f>SUM('Table2(II).B-Hs2'!J163:M163)/1000</f>
        <v>3.7810373437074142E-3</v>
      </c>
      <c r="J53" s="2930" t="s">
        <v>199</v>
      </c>
      <c r="K53" s="2161"/>
      <c r="L53" s="2161"/>
      <c r="M53" s="2161"/>
      <c r="N53" s="2174"/>
      <c r="O53" s="2943">
        <f t="shared" si="1"/>
        <v>88.854377577124239</v>
      </c>
    </row>
    <row r="54" spans="2:15" ht="18" customHeight="1" x14ac:dyDescent="0.2">
      <c r="B54" s="1269" t="s">
        <v>664</v>
      </c>
      <c r="C54" s="2161"/>
      <c r="D54" s="2161"/>
      <c r="E54" s="2161"/>
      <c r="F54" s="2161"/>
      <c r="G54" s="2930" t="s">
        <v>199</v>
      </c>
      <c r="H54" s="3007"/>
      <c r="I54" s="2930">
        <f>SUM('Table2(II).B-Hs2'!J165:M165)/1000</f>
        <v>8.0039480457371772E-4</v>
      </c>
      <c r="J54" s="2161"/>
      <c r="K54" s="2161"/>
      <c r="L54" s="2161"/>
      <c r="M54" s="2161"/>
      <c r="N54" s="2174"/>
      <c r="O54" s="2943">
        <f t="shared" si="1"/>
        <v>18.809277907482365</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240.36833455150557</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47.485497631196722</v>
      </c>
      <c r="N57" s="2100" t="str">
        <f>N58</f>
        <v>NA</v>
      </c>
      <c r="O57" s="2950">
        <f t="shared" si="1"/>
        <v>240.36833455150557</v>
      </c>
    </row>
    <row r="58" spans="2:15" ht="18" customHeight="1" thickBot="1" x14ac:dyDescent="0.25">
      <c r="B58" s="2613" t="s">
        <v>668</v>
      </c>
      <c r="C58" s="2517">
        <f>'Table2(I).A-H'!H98</f>
        <v>240.36833455150557</v>
      </c>
      <c r="D58" s="2517" t="str">
        <f>'Table2(I).A-H'!I98</f>
        <v>NO</v>
      </c>
      <c r="E58" s="2517" t="str">
        <f>'Table2(I).A-H'!J98</f>
        <v>NO</v>
      </c>
      <c r="F58" s="2517" t="s">
        <v>199</v>
      </c>
      <c r="G58" s="2517" t="s">
        <v>199</v>
      </c>
      <c r="H58" s="2517" t="s">
        <v>199</v>
      </c>
      <c r="I58" s="2517" t="s">
        <v>199</v>
      </c>
      <c r="J58" s="2517" t="s">
        <v>199</v>
      </c>
      <c r="K58" s="2922" t="s">
        <v>205</v>
      </c>
      <c r="L58" s="2922" t="s">
        <v>205</v>
      </c>
      <c r="M58" s="2922">
        <v>47.485497631196722</v>
      </c>
      <c r="N58" s="2932" t="s">
        <v>205</v>
      </c>
      <c r="O58" s="2935">
        <f t="shared" si="1"/>
        <v>240.36833455150557</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48.200362649803274</v>
      </c>
      <c r="D10" s="4431">
        <f t="shared" ref="D10:X10" si="0">IF(SUM(D11,D16,D20,D26,D33,D37)=0,"NO",SUM(D11,D16,D20,D26,D33,D37))</f>
        <v>200.32953935300412</v>
      </c>
      <c r="E10" s="4431" t="str">
        <f t="shared" si="0"/>
        <v>NO</v>
      </c>
      <c r="F10" s="4431" t="str">
        <f t="shared" si="0"/>
        <v>NO</v>
      </c>
      <c r="G10" s="4431">
        <f t="shared" si="0"/>
        <v>646.72966146402155</v>
      </c>
      <c r="H10" s="4431">
        <f t="shared" si="0"/>
        <v>1.729862044817474</v>
      </c>
      <c r="I10" s="4431">
        <f t="shared" si="0"/>
        <v>1792.0913851200351</v>
      </c>
      <c r="J10" s="4431" t="str">
        <f t="shared" si="0"/>
        <v>NO</v>
      </c>
      <c r="K10" s="4431">
        <f t="shared" si="0"/>
        <v>580.98311423977805</v>
      </c>
      <c r="L10" s="2073" t="str">
        <f t="shared" si="0"/>
        <v>NO</v>
      </c>
      <c r="M10" s="2073">
        <f t="shared" si="0"/>
        <v>75.746835661905649</v>
      </c>
      <c r="N10" s="2073" t="str">
        <f t="shared" si="0"/>
        <v>NO</v>
      </c>
      <c r="O10" s="4431">
        <f t="shared" si="0"/>
        <v>41.438624828650717</v>
      </c>
      <c r="P10" s="2073" t="str">
        <f t="shared" si="0"/>
        <v>NO</v>
      </c>
      <c r="Q10" s="2073" t="str">
        <f t="shared" si="0"/>
        <v>NO</v>
      </c>
      <c r="R10" s="2073">
        <f t="shared" si="0"/>
        <v>3.7443436397495091</v>
      </c>
      <c r="S10" s="2073" t="str">
        <f t="shared" si="0"/>
        <v>NO</v>
      </c>
      <c r="T10" s="2073">
        <f t="shared" si="0"/>
        <v>59.82696488701967</v>
      </c>
      <c r="U10" s="2073">
        <f t="shared" si="0"/>
        <v>65.497032707692611</v>
      </c>
      <c r="V10" s="2074" t="str">
        <f t="shared" si="0"/>
        <v>NO</v>
      </c>
      <c r="W10" s="2075"/>
      <c r="X10" s="2073">
        <f t="shared" si="0"/>
        <v>22.043627767253046</v>
      </c>
      <c r="Y10" s="4431">
        <f t="shared" ref="Y10" si="1">IF(SUM(Y11,Y16,Y20,Y26,Y33,Y37)=0,"NO",SUM(Y11,Y16,Y20,Y26,Y33,Y37))</f>
        <v>2.3851497282326579</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4.5814321482811318</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22.043627767253046</v>
      </c>
      <c r="Y16" s="4432">
        <f t="shared" ref="Y16" si="35">IF(SUM(Y17:Y19)=0,"NO",SUM(Y17:Y19))</f>
        <v>2.3851497282326579</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22.043627767253046</v>
      </c>
      <c r="Y17" s="4432">
        <f>'Table2(II).B-Hs1'!G26</f>
        <v>2.3851497282326579</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48.200362649803274</v>
      </c>
      <c r="D26" s="4430">
        <f t="shared" ref="D26:AK26" si="58">IF(SUM(D27:D32)=0,"NO",SUM(D27:D32))</f>
        <v>200.32953935300412</v>
      </c>
      <c r="E26" s="2097" t="str">
        <f t="shared" si="58"/>
        <v>NO</v>
      </c>
      <c r="F26" s="2097" t="str">
        <f t="shared" si="58"/>
        <v>NO</v>
      </c>
      <c r="G26" s="4430">
        <f t="shared" si="58"/>
        <v>646.72966146402155</v>
      </c>
      <c r="H26" s="4430">
        <f t="shared" si="58"/>
        <v>1.729862044817474</v>
      </c>
      <c r="I26" s="4430">
        <f t="shared" si="58"/>
        <v>1792.0913851200351</v>
      </c>
      <c r="J26" s="4430" t="str">
        <f t="shared" si="58"/>
        <v>NO</v>
      </c>
      <c r="K26" s="4430">
        <f t="shared" si="58"/>
        <v>580.98311423977805</v>
      </c>
      <c r="L26" s="2097" t="str">
        <f t="shared" si="58"/>
        <v>NO</v>
      </c>
      <c r="M26" s="2097">
        <f t="shared" si="58"/>
        <v>75.746835661905649</v>
      </c>
      <c r="N26" s="2097" t="str">
        <f t="shared" si="58"/>
        <v>NO</v>
      </c>
      <c r="O26" s="4430">
        <f t="shared" si="58"/>
        <v>41.438624828650717</v>
      </c>
      <c r="P26" s="2097" t="str">
        <f t="shared" si="58"/>
        <v>NO</v>
      </c>
      <c r="Q26" s="2097" t="str">
        <f t="shared" si="58"/>
        <v>NO</v>
      </c>
      <c r="R26" s="2097">
        <f t="shared" si="58"/>
        <v>3.7443436397495091</v>
      </c>
      <c r="S26" s="2097" t="str">
        <f t="shared" si="58"/>
        <v>NO</v>
      </c>
      <c r="T26" s="2097">
        <f t="shared" si="58"/>
        <v>59.82696488701967</v>
      </c>
      <c r="U26" s="2097">
        <f t="shared" si="58"/>
        <v>65.497032707692611</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46.054171623837853</v>
      </c>
      <c r="D27" s="4431">
        <f>IF(SUM('Table2(II).B-Hs2'!J14:M14,'Table2(II).B-Hs2'!J27:M27,'Table2(II).B-Hs2'!J40:M40,'Table2(II).B-Hs2'!J53:M53,'Table2(II).B-Hs2'!J66:M66,'Table2(II).B-Hs2'!J79:M79)=0,"NO",SUM('Table2(II).B-Hs2'!J14:M14,'Table2(II).B-Hs2'!J27:M27,'Table2(II).B-Hs2'!J40:M40,'Table2(II).B-Hs2'!J53:M53,'Table2(II).B-Hs2'!J66:M66,'Table2(II).B-Hs2'!J79:M79))</f>
        <v>191.40957618345396</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617.93308568420423</v>
      </c>
      <c r="H27" s="4431">
        <f>IF(SUM('Table2(II).B-Hs2'!J17:M17,'Table2(II).B-Hs2'!J30:M30,'Table2(II).B-Hs2'!J43:M43,'Table2(II).B-Hs2'!J56:M56,'Table2(II).B-Hs2'!J69:M69,'Table2(II).B-Hs2'!J82:M82)=0,"NO",SUM('Table2(II).B-Hs2'!J17:M17,'Table2(II).B-Hs2'!J30:M30,'Table2(II).B-Hs2'!J43:M43,'Table2(II).B-Hs2'!J56:M56,'Table2(II).B-Hs2'!J69:M69,'Table2(II).B-Hs2'!J82:M82))</f>
        <v>1.6528374293862744</v>
      </c>
      <c r="I27" s="4431">
        <f>IF(SUM('Table2(II).B-Hs2'!J18:M18,'Table2(II).B-Hs2'!J31:M31,'Table2(II).B-Hs2'!J44:M44,'Table2(II).B-Hs2'!J57:M57,'Table2(II).B-Hs2'!J70:M70,'Table2(II).B-Hs2'!J83:M83)=0,"NO",SUM('Table2(II).B-Hs2'!J18:M18,'Table2(II).B-Hs2'!J31:M31,'Table2(II).B-Hs2'!J44:M44,'Table2(II).B-Hs2'!J57:M57,'Table2(II).B-Hs2'!J70:M70,'Table2(II).B-Hs2'!J83:M83))</f>
        <v>1712.2959180942228</v>
      </c>
      <c r="J27" s="4431" t="s">
        <v>199</v>
      </c>
      <c r="K27" s="4431">
        <f>IF(SUM('Table2(II).B-Hs2'!J19:M19,'Table2(II).B-Hs2'!J32:M32,'Table2(II).B-Hs2'!J45:M45,'Table2(II).B-Hs2'!J58:M58,'Table2(II).B-Hs2'!J71:M71,'Table2(II).B-Hs2'!J84:M84)=0,"NO",SUM('Table2(II).B-Hs2'!J19:M19,'Table2(II).B-Hs2'!J32:M32,'Table2(II).B-Hs2'!J45:M45,'Table2(II).B-Hs2'!J58:M58,'Table2(II).B-Hs2'!J71:M71,'Table2(II).B-Hs2'!J84:M84))</f>
        <v>555.11399879186877</v>
      </c>
      <c r="L27" s="2073" t="s">
        <v>199</v>
      </c>
      <c r="M27" s="2073">
        <f>IF(SUM('Table2(II).B-Hs2'!J20:M20,'Table2(II).B-Hs2'!J33:M33,'Table2(II).B-Hs2'!J46:M46,'Table2(II).B-Hs2'!J59:M59,'Table2(II).B-Hs2'!J72:M72,'Table2(II).B-Hs2'!J85:M85)=0,"NO",SUM('Table2(II).B-Hs2'!J20:M20,'Table2(II).B-Hs2'!J33:M33,'Table2(II).B-Hs2'!J46:M46,'Table2(II).B-Hs2'!J59:M59,'Table2(II).B-Hs2'!J72:M72,'Table2(II).B-Hs2'!J85:M85))</f>
        <v>72.374097989287264</v>
      </c>
      <c r="N27" s="2073" t="s">
        <v>199</v>
      </c>
      <c r="O27" s="4431">
        <f>IF(SUM('Table2(II).B-Hs2'!J21:M21,'Table2(II).B-Hs2'!J34:M34,'Table2(II).B-Hs2'!J47:M47,'Table2(II).B-Hs2'!J60:M60,'Table2(II).B-Hs2'!J73:M73,'Table2(II).B-Hs2'!J86:M86)=0,"NO",SUM('Table2(II).B-Hs2'!J21:M21,'Table2(II).B-Hs2'!J34:M34,'Table2(II).B-Hs2'!J47:M47,'Table2(II).B-Hs2'!J60:M60,'Table2(II).B-Hs2'!J73:M73,'Table2(II).B-Hs2'!J86:M86))</f>
        <v>39.593509982072661</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3.5776213107880706</v>
      </c>
      <c r="S27" s="2073" t="s">
        <v>199</v>
      </c>
      <c r="T27" s="2073">
        <f>IF(SUM('Table2(II).B-Hs2'!J23:M23,'Table2(II).B-Hs2'!J36:M36,'Table2(II).B-Hs2'!J49:M49,'Table2(II).B-Hs2'!J62:M62,'Table2(II).B-Hs2'!J75:M75,'Table2(II).B-Hs2'!J88:M88)=0,"NO",SUM('Table2(II).B-Hs2'!J23:M23,'Table2(II).B-Hs2'!J36:M36,'Table2(II).B-Hs2'!J49:M49,'Table2(II).B-Hs2'!J62:M62,'Table2(II).B-Hs2'!J75:M75,'Table2(II).B-Hs2'!J88:M88))</f>
        <v>57.163082540653257</v>
      </c>
      <c r="U27" s="2073">
        <f>IF(SUM('Table2(II).B-Hs2'!J24:M24,'Table2(II).B-Hs2'!J37:M37,'Table2(II).B-Hs2'!J50:M50,'Table2(II).B-Hs2'!J63:M63,'Table2(II).B-Hs2'!J76:M76,'Table2(II).B-Hs2'!J89:M89)=0,"NO",SUM('Table2(II).B-Hs2'!J24:M24,'Table2(II).B-Hs2'!J37:M37,'Table2(II).B-Hs2'!J50:M50,'Table2(II).B-Hs2'!J63:M63,'Table2(II).B-Hs2'!J76:M76,'Table2(II).B-Hs2'!J89:M89))</f>
        <v>62.580682371370237</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0.38474146169232054</v>
      </c>
      <c r="D28" s="4431">
        <f>IF(SUM('Table2(II).B-Hs2'!J93:M93,'Table2(II).B-Hs2'!J106:M106)=0,"NO",SUM('Table2(II).B-Hs2'!J93:M93,'Table2(II).B-Hs2'!J106:M106))</f>
        <v>1.5990560143874477</v>
      </c>
      <c r="E28" s="2073" t="s">
        <v>199</v>
      </c>
      <c r="F28" s="2073" t="str">
        <f>IF(SUM('Table2(II).B-Hs2'!J94:M94,'Table2(II).B-Hs2'!J107:M107)=0,"NO",SUM('Table2(II).B-Hs2'!J94:M94,'Table2(II).B-Hs2'!J107:M107))</f>
        <v>NO</v>
      </c>
      <c r="G28" s="4431">
        <f>IF(SUM('Table2(II).B-Hs2'!J95:M95,'Table2(II).B-Hs2'!J108:M108)=0,"NO",SUM('Table2(II).B-Hs2'!J95:M95,'Table2(II).B-Hs2'!J108:M108))</f>
        <v>5.1622789039837782</v>
      </c>
      <c r="H28" s="4431">
        <f>IF(SUM('Table2(II).B-Hs2'!J96:M96,'Table2(II).B-Hs2'!J109:M109)=0,"NO",SUM('Table2(II).B-Hs2'!J96:M96,'Table2(II).B-Hs2'!J109:M109))</f>
        <v>1.3807980169872386E-2</v>
      </c>
      <c r="I28" s="4431">
        <f>IF(SUM('Table2(II).B-Hs2'!J97:M97,'Table2(II).B-Hs2'!J110:M110)=0,"NO",SUM('Table2(II).B-Hs2'!J97:M97,'Table2(II).B-Hs2'!J110:M110))</f>
        <v>14.30470272613419</v>
      </c>
      <c r="J28" s="4431" t="s">
        <v>199</v>
      </c>
      <c r="K28" s="4431">
        <f>IF(SUM('Table2(II).B-Hs2'!J98:M98,'Table2(II).B-Hs2'!J111:M111)=0,"NO",SUM('Table2(II).B-Hs2'!J98:M98,'Table2(II).B-Hs2'!J111:M111))</f>
        <v>4.6374815520621588</v>
      </c>
      <c r="L28" s="2073" t="s">
        <v>199</v>
      </c>
      <c r="M28" s="2073">
        <f>IF(SUM('Table2(II).B-Hs2'!J99:M99,'Table2(II).B-Hs2'!J112:M112)=0,"NO",SUM('Table2(II).B-Hs2'!J99:M99,'Table2(II).B-Hs2'!J112:M112))</f>
        <v>0.60462093372337955</v>
      </c>
      <c r="N28" s="2073" t="s">
        <v>199</v>
      </c>
      <c r="O28" s="4431">
        <f>IF(SUM('Table2(II).B-Hs2'!J100:M100,'Table2(II).B-Hs2'!J113:M113)=0,"NO",SUM('Table2(II).B-Hs2'!J100:M100,'Table2(II).B-Hs2'!J113:M113))</f>
        <v>0.33076840526966106</v>
      </c>
      <c r="P28" s="2073" t="s">
        <v>199</v>
      </c>
      <c r="Q28" s="2073" t="s">
        <v>199</v>
      </c>
      <c r="R28" s="2073">
        <f>IF(SUM('Table2(II).B-Hs2'!J101:M101,'Table2(II).B-Hs2'!J114:M114)=0,"NO",SUM('Table2(II).B-Hs2'!J101:M101,'Table2(II).B-Hs2'!J114:M114))</f>
        <v>2.9887830004562188E-2</v>
      </c>
      <c r="S28" s="2073" t="s">
        <v>199</v>
      </c>
      <c r="T28" s="2073">
        <f>IF(SUM('Table2(II).B-Hs2'!J102:M102,'Table2(II).B-Hs2'!J115:M115)=0,"NO",SUM('Table2(II).B-Hs2'!J102:M102,'Table2(II).B-Hs2'!J115:M115))</f>
        <v>0.47754648832172275</v>
      </c>
      <c r="U28" s="2073">
        <f>IF(SUM('Table2(II).B-Hs2'!J103:M103,'Table2(II).B-Hs2'!J116:M116)=0,"NO",SUM('Table2(II).B-Hs2'!J103:M103,'Table2(II).B-Hs2'!J116:M116))</f>
        <v>0.52280569512624253</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0.28151270018868035</v>
      </c>
      <c r="D29" s="4431">
        <f>IF(SUM('Table2(II).B-Hs2'!J119:M119)=0,"NO",SUM('Table2(II).B-Hs2'!J119:M119))</f>
        <v>1.1700183660557757</v>
      </c>
      <c r="E29" s="2073" t="s">
        <v>199</v>
      </c>
      <c r="F29" s="2073" t="str">
        <f>IF(SUM('Table2(II).B-Hs2'!J120:M120)=0,"NO",SUM('Table2(II).B-Hs2'!J120:M120))</f>
        <v>NO</v>
      </c>
      <c r="G29" s="4431">
        <f>IF(SUM('Table2(II).B-Hs2'!J121:M121)=0,"NO",SUM('Table2(II).B-Hs2'!J121:M121))</f>
        <v>3.7772042217526933</v>
      </c>
      <c r="H29" s="4431">
        <f>IF(SUM('Table2(II).B-Hs2'!J122:M122)=0,"NO",SUM('Table2(II).B-Hs2'!J122:M122))</f>
        <v>1.0103204798034161E-2</v>
      </c>
      <c r="I29" s="4431">
        <f>IF(SUM('Table2(II).B-Hs2'!J123:M123)=0,"NO",SUM('Table2(II).B-Hs2'!J123:M123))</f>
        <v>10.46665330042018</v>
      </c>
      <c r="J29" s="4431" t="s">
        <v>199</v>
      </c>
      <c r="K29" s="4431">
        <f>IF(SUM('Table2(II).B-Hs2'!J124:M124)=0,"NO",SUM('Table2(II).B-Hs2'!J124:M124))</f>
        <v>3.3932135831002084</v>
      </c>
      <c r="L29" s="2073" t="s">
        <v>199</v>
      </c>
      <c r="M29" s="2073">
        <f>IF(SUM('Table2(II).B-Hs2'!J125:M125)=0,"NO",SUM('Table2(II).B-Hs2'!J125:M125))</f>
        <v>0.44239700835566881</v>
      </c>
      <c r="N29" s="2073" t="s">
        <v>199</v>
      </c>
      <c r="O29" s="4431">
        <f>IF(SUM('Table2(II).B-Hs2'!J126:M126)=0,"NO",SUM('Table2(II).B-Hs2'!J126:M126))</f>
        <v>0.24202098337670422</v>
      </c>
      <c r="P29" s="2073" t="s">
        <v>199</v>
      </c>
      <c r="Q29" s="2073" t="s">
        <v>199</v>
      </c>
      <c r="R29" s="2073">
        <f>IF(SUM('Table2(II).B-Hs2'!J127:M127)=0,"NO",SUM('Table2(II).B-Hs2'!J127:M127))</f>
        <v>2.1868721115617936E-2</v>
      </c>
      <c r="S29" s="2073" t="s">
        <v>199</v>
      </c>
      <c r="T29" s="2073">
        <f>IF(SUM('Table2(II).B-Hs2'!J128:M128)=0,"NO",SUM('Table2(II).B-Hs2'!J128:M128))</f>
        <v>0.34941750442425384</v>
      </c>
      <c r="U29" s="2073">
        <f>IF(SUM('Table2(II).B-Hs2'!J129:M129)=0,"NO",SUM('Table2(II).B-Hs2'!J129:M129))</f>
        <v>0.3825333569759794</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0.97023490177525984</v>
      </c>
      <c r="D30" s="4431">
        <f>IF(SUM('Table2(II).B-Hs2'!J133:M133)=0,"NO",SUM('Table2(II).B-Hs2'!J133:M133))</f>
        <v>4.0324740365337943</v>
      </c>
      <c r="E30" s="2073" t="s">
        <v>199</v>
      </c>
      <c r="F30" s="2073" t="str">
        <f>IF(SUM('Table2(II).B-Hs2'!J134:M134)=0,"NO",SUM('Table2(II).B-Hs2'!J134:M134))</f>
        <v>NO</v>
      </c>
      <c r="G30" s="4431">
        <f>IF(SUM('Table2(II).B-Hs2'!J135:M135)=0,"NO",SUM('Table2(II).B-Hs2'!J135:M135))</f>
        <v>13.018152874172465</v>
      </c>
      <c r="H30" s="4431">
        <f>IF(SUM('Table2(II).B-Hs2'!J136:M136)=0,"NO",SUM('Table2(II).B-Hs2'!J136:M136))</f>
        <v>3.4820744883857876E-2</v>
      </c>
      <c r="I30" s="4431">
        <f>IF(SUM('Table2(II).B-Hs2'!J137:M137)=0,"NO",SUM('Table2(II).B-Hs2'!J137:M137))</f>
        <v>36.073371929730129</v>
      </c>
      <c r="J30" s="4431" t="s">
        <v>199</v>
      </c>
      <c r="K30" s="4431">
        <f>IF(SUM('Table2(II).B-Hs2'!J138:M138)=0,"NO",SUM('Table2(II).B-Hs2'!J138:M138))</f>
        <v>11.69472725491654</v>
      </c>
      <c r="L30" s="2073" t="s">
        <v>199</v>
      </c>
      <c r="M30" s="2073">
        <f>IF(SUM('Table2(II).B-Hs2'!J139:M139)=0,"NO",SUM('Table2(II).B-Hs2'!J139:M139))</f>
        <v>1.5247234588704019</v>
      </c>
      <c r="N30" s="2073" t="s">
        <v>199</v>
      </c>
      <c r="O30" s="4431">
        <f>IF(SUM('Table2(II).B-Hs2'!J140:M140)=0,"NO",SUM('Table2(II).B-Hs2'!J140:M140))</f>
        <v>0.83412650611025752</v>
      </c>
      <c r="P30" s="2073" t="s">
        <v>199</v>
      </c>
      <c r="Q30" s="2073" t="s">
        <v>199</v>
      </c>
      <c r="R30" s="2073">
        <f>IF(SUM('Table2(II).B-Hs2'!J141:M141)=0,"NO",SUM('Table2(II).B-Hs2'!J141:M141))</f>
        <v>7.5370654572035858E-2</v>
      </c>
      <c r="S30" s="2073" t="s">
        <v>199</v>
      </c>
      <c r="T30" s="2073">
        <f>IF(SUM('Table2(II).B-Hs2'!J142:M142)=0,"NO",SUM('Table2(II).B-Hs2'!J142:M142))</f>
        <v>1.2042691425871743</v>
      </c>
      <c r="U30" s="2073">
        <f>IF(SUM('Table2(II).B-Hs2'!J143:M143)=0,"NO",SUM('Table2(II).B-Hs2'!J143:M143))</f>
        <v>1.3184030908111533</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0.50970196230916676</v>
      </c>
      <c r="D31" s="4431">
        <f>IF(SUM('Table2(II).B-Hs2'!J148:M148)=0,"NO",SUM('Table2(II).B-Hs2'!J148:M148))</f>
        <v>2.118414752573119</v>
      </c>
      <c r="E31" s="2073" t="s">
        <v>199</v>
      </c>
      <c r="F31" s="2073" t="str">
        <f>IF(SUM('Table2(II).B-Hs2'!J149:M149)=0,"NO",SUM('Table2(II).B-Hs2'!J149:M149))</f>
        <v>NO</v>
      </c>
      <c r="G31" s="4431">
        <f>IF(SUM('Table2(II).B-Hs2'!J150:M150)=0,"NO",SUM('Table2(II).B-Hs2'!J150:M150))</f>
        <v>6.8389397799084852</v>
      </c>
      <c r="H31" s="4431">
        <f>IF(SUM('Table2(II).B-Hs2'!J151:M151)=0,"NO",SUM('Table2(II).B-Hs2'!J151:M151))</f>
        <v>1.8292685579435423E-2</v>
      </c>
      <c r="I31" s="4431">
        <f>IF(SUM('Table2(II).B-Hs2'!J152:M152)=0,"NO",SUM('Table2(II).B-Hs2'!J152:M152))</f>
        <v>18.950739069527781</v>
      </c>
      <c r="J31" s="4431" t="s">
        <v>199</v>
      </c>
      <c r="K31" s="4431">
        <f>IF(SUM('Table2(II).B-Hs2'!J153:M153)=0,"NO",SUM('Table2(II).B-Hs2'!J153:M153))</f>
        <v>6.1436930578304327</v>
      </c>
      <c r="L31" s="2073" t="s">
        <v>199</v>
      </c>
      <c r="M31" s="2073">
        <f>IF(SUM('Table2(II).B-Hs2'!J154:M154)=0,"NO",SUM('Table2(II).B-Hs2'!J154:M154))</f>
        <v>0.80099627166894061</v>
      </c>
      <c r="N31" s="2073" t="s">
        <v>199</v>
      </c>
      <c r="O31" s="4431">
        <f>IF(SUM('Table2(II).B-Hs2'!J155:M155)=0,"NO",SUM('Table2(II).B-Hs2'!J155:M155))</f>
        <v>0.43819895182143065</v>
      </c>
      <c r="P31" s="2073" t="s">
        <v>199</v>
      </c>
      <c r="Q31" s="2073" t="s">
        <v>199</v>
      </c>
      <c r="R31" s="2073">
        <f>IF(SUM('Table2(II).B-Hs2'!J156:M156)=0,"NO",SUM('Table2(II).B-Hs2'!J156:M156))</f>
        <v>3.9595123269222147E-2</v>
      </c>
      <c r="S31" s="2073" t="s">
        <v>199</v>
      </c>
      <c r="T31" s="2073">
        <f>IF(SUM('Table2(II).B-Hs2'!J157:M157)=0,"NO",SUM('Table2(II).B-Hs2'!J157:M157))</f>
        <v>0.63264921103327021</v>
      </c>
      <c r="U31" s="2073">
        <f>IF(SUM('Table2(II).B-Hs2'!J158:M158)=0,"NO",SUM('Table2(II).B-Hs2'!J158:M158))</f>
        <v>0.69260819340899404</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4.5814321482811318</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3.7810373437074141</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0.8003948045737177</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597.68449685756059</v>
      </c>
      <c r="D39" s="4183">
        <f t="shared" ref="D39:AK39" si="72">IF(SUM(D40:D45)=0,"NO",SUM(D40:D45))</f>
        <v>135.6230981419838</v>
      </c>
      <c r="E39" s="4183" t="str">
        <f t="shared" si="72"/>
        <v>NO</v>
      </c>
      <c r="F39" s="4183" t="str">
        <f t="shared" si="72"/>
        <v>NO</v>
      </c>
      <c r="G39" s="4183">
        <f t="shared" si="72"/>
        <v>2050.1330268409483</v>
      </c>
      <c r="H39" s="4183">
        <f t="shared" si="72"/>
        <v>1.9374454901955707</v>
      </c>
      <c r="I39" s="4183">
        <f t="shared" si="72"/>
        <v>2329.7188006560459</v>
      </c>
      <c r="J39" s="4183" t="str">
        <f t="shared" si="72"/>
        <v>NO</v>
      </c>
      <c r="K39" s="4183">
        <f t="shared" si="72"/>
        <v>2788.7189483509346</v>
      </c>
      <c r="L39" s="4183" t="str">
        <f t="shared" si="72"/>
        <v>NO</v>
      </c>
      <c r="M39" s="4183">
        <f t="shared" si="72"/>
        <v>10.453063321342979</v>
      </c>
      <c r="N39" s="4183" t="str">
        <f t="shared" si="72"/>
        <v>NO</v>
      </c>
      <c r="O39" s="4183">
        <f t="shared" si="72"/>
        <v>138.81939317597991</v>
      </c>
      <c r="P39" s="4183" t="str">
        <f t="shared" si="72"/>
        <v>NO</v>
      </c>
      <c r="Q39" s="4183" t="str">
        <f t="shared" si="72"/>
        <v>NO</v>
      </c>
      <c r="R39" s="4183">
        <f t="shared" si="72"/>
        <v>30.179409736381043</v>
      </c>
      <c r="S39" s="4183" t="str">
        <f t="shared" si="72"/>
        <v>NO</v>
      </c>
      <c r="T39" s="4183">
        <f t="shared" si="72"/>
        <v>51.331535873062883</v>
      </c>
      <c r="U39" s="4183">
        <f t="shared" si="72"/>
        <v>52.659614296984856</v>
      </c>
      <c r="V39" s="4183" t="str">
        <f t="shared" si="72"/>
        <v>NO</v>
      </c>
      <c r="W39" s="4183">
        <f t="shared" si="72"/>
        <v>8187.2588327414205</v>
      </c>
      <c r="X39" s="4183">
        <f t="shared" si="72"/>
        <v>146.14925209688769</v>
      </c>
      <c r="Y39" s="4183">
        <f t="shared" si="72"/>
        <v>26.475161983382502</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172.62441408027018</v>
      </c>
      <c r="AI39" s="4184" t="str">
        <f t="shared" si="72"/>
        <v>NO</v>
      </c>
      <c r="AJ39" s="4184">
        <f t="shared" si="72"/>
        <v>107.66365548460659</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146.14925209688769</v>
      </c>
      <c r="Y41" s="4186">
        <f>IF(SUM(Y16)=0,"NO",Y16*11100/1000)</f>
        <v>26.475161983382502</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172.62441408027018</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597.68449685756059</v>
      </c>
      <c r="D43" s="4186">
        <f>IF(SUM(D26)=0,"NO",D26*677/1000)</f>
        <v>135.6230981419838</v>
      </c>
      <c r="E43" s="4186" t="str">
        <f>IF(SUM(E26)=0,"NO",E26*116/1000)</f>
        <v>NO</v>
      </c>
      <c r="F43" s="4186" t="str">
        <f>IF(SUM(F26)=0,"NO",F26*1650/1000)</f>
        <v>NO</v>
      </c>
      <c r="G43" s="4186">
        <f>IF(SUM(G26)=0,"NO",G26*3170/1000)</f>
        <v>2050.1330268409483</v>
      </c>
      <c r="H43" s="4186">
        <f>IF(SUM(H26)=0,"NO",H26*1120/1000)</f>
        <v>1.9374454901955707</v>
      </c>
      <c r="I43" s="4186">
        <f>IF(SUM(I26)=0,"NO",I26*1300/1000)</f>
        <v>2329.7188006560459</v>
      </c>
      <c r="J43" s="4186" t="str">
        <f>IF(SUM(J26)=0,"NO",J26*328/1000)</f>
        <v>NO</v>
      </c>
      <c r="K43" s="4186">
        <f>IF(SUM(K26)=0,"NO",K26*4800/1000)</f>
        <v>2788.7189483509346</v>
      </c>
      <c r="L43" s="4186" t="str">
        <f>IF(SUM(L26)=0,"NO",L26*16/1000)</f>
        <v>NO</v>
      </c>
      <c r="M43" s="4186">
        <f>IF(SUM(M26)=0,"NO",M26*138/1000)</f>
        <v>10.453063321342979</v>
      </c>
      <c r="N43" s="4186" t="str">
        <f>IF(SUM(N26)=0,"NO",N26*4/1000)</f>
        <v>NO</v>
      </c>
      <c r="O43" s="4186">
        <f>IF(SUM(O26)=0,"NO",O26*3350/1000)</f>
        <v>138.81939317597991</v>
      </c>
      <c r="P43" s="4186" t="str">
        <f>IF(SUM(P26)=0,"NO",P26*1210/1000)</f>
        <v>NO</v>
      </c>
      <c r="Q43" s="4186" t="str">
        <f>IF(SUM(Q26)=0,"NO",Q26*1330/1000)</f>
        <v>NO</v>
      </c>
      <c r="R43" s="4186">
        <f>IF(SUM(R26)=0,"NO",R26*8060/1000)</f>
        <v>30.179409736381043</v>
      </c>
      <c r="S43" s="4186" t="str">
        <f>IF(SUM(S26)=0,"NO",S26*716/1000)</f>
        <v>NO</v>
      </c>
      <c r="T43" s="4186">
        <f>IF(SUM(T26)=0,"NO",T26*858/1000)</f>
        <v>51.331535873062883</v>
      </c>
      <c r="U43" s="4186">
        <f>IF(SUM(U26)=0,"NO",U26*804/1000)</f>
        <v>52.659614296984856</v>
      </c>
      <c r="V43" s="4186" t="str">
        <f>IF(SUM(V26)=0,"NO",V26*1/1000)</f>
        <v>NO</v>
      </c>
      <c r="W43" s="4186">
        <f t="shared" si="73"/>
        <v>8187.2588327414205</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107.66365548460659</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6105.2887144225642</v>
      </c>
      <c r="I10" s="615"/>
      <c r="J10" s="615"/>
      <c r="K10" s="3161" t="str">
        <f>IF(SUM(K11:K14)=0,"NO",SUM(K11:K14))</f>
        <v>NO</v>
      </c>
      <c r="L10" s="3161" t="str">
        <f>IF(SUM(L11:L14)=0,"NO",SUM(L11:L14))</f>
        <v>NO</v>
      </c>
      <c r="M10" s="615"/>
      <c r="N10" s="1842"/>
    </row>
    <row r="11" spans="2:14" ht="18" customHeight="1" x14ac:dyDescent="0.2">
      <c r="B11" s="286" t="s">
        <v>748</v>
      </c>
      <c r="C11" s="2126" t="s">
        <v>749</v>
      </c>
      <c r="D11" s="699">
        <v>6018.7092600000005</v>
      </c>
      <c r="E11" s="1938">
        <f>IF(SUM($D11)=0,"NA",H11/$D11)</f>
        <v>0.54736317626569131</v>
      </c>
      <c r="F11" s="615"/>
      <c r="G11" s="615"/>
      <c r="H11" s="3149">
        <v>3294.4198175733286</v>
      </c>
      <c r="I11" s="615"/>
      <c r="J11" s="615"/>
      <c r="K11" s="3149" t="s">
        <v>199</v>
      </c>
      <c r="L11" s="699" t="s">
        <v>199</v>
      </c>
      <c r="M11" s="615"/>
      <c r="N11" s="1842"/>
    </row>
    <row r="12" spans="2:14" ht="18" customHeight="1" x14ac:dyDescent="0.2">
      <c r="B12" s="286" t="s">
        <v>750</v>
      </c>
      <c r="C12" s="2127" t="s">
        <v>751</v>
      </c>
      <c r="D12" s="699">
        <v>1639.7603200000003</v>
      </c>
      <c r="E12" s="1938">
        <f>IF(SUM($D12)=0,"NA",H12/$D12)</f>
        <v>0.76622775014268629</v>
      </c>
      <c r="F12" s="615"/>
      <c r="G12" s="615"/>
      <c r="H12" s="3149">
        <v>1256.4298607668516</v>
      </c>
      <c r="I12" s="615"/>
      <c r="J12" s="615"/>
      <c r="K12" s="3149" t="s">
        <v>199</v>
      </c>
      <c r="L12" s="699" t="s">
        <v>199</v>
      </c>
      <c r="M12" s="615"/>
      <c r="N12" s="1842"/>
    </row>
    <row r="13" spans="2:14" ht="18" customHeight="1" x14ac:dyDescent="0.2">
      <c r="B13" s="286" t="s">
        <v>752</v>
      </c>
      <c r="C13" s="2127" t="s">
        <v>753</v>
      </c>
      <c r="D13" s="699">
        <v>190.852216</v>
      </c>
      <c r="E13" s="1938">
        <f>IF(SUM($D13)=0,"NA",H13/$D13)</f>
        <v>0.42862548322556554</v>
      </c>
      <c r="F13" s="615"/>
      <c r="G13" s="615"/>
      <c r="H13" s="3149">
        <v>81.804123307670011</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1472.6349127747139</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29.754439461106557</v>
      </c>
      <c r="I15" s="615"/>
      <c r="J15" s="615"/>
      <c r="K15" s="3149" t="s">
        <v>199</v>
      </c>
      <c r="L15" s="699" t="s">
        <v>199</v>
      </c>
      <c r="M15" s="615"/>
      <c r="N15" s="1842"/>
    </row>
    <row r="16" spans="2:14" ht="18" customHeight="1" x14ac:dyDescent="0.2">
      <c r="B16" s="160" t="s">
        <v>756</v>
      </c>
      <c r="C16" s="474" t="s">
        <v>757</v>
      </c>
      <c r="D16" s="2917">
        <v>339.98768699999999</v>
      </c>
      <c r="E16" s="1938">
        <f>IF(SUM($D16)=0,"NA",H16/$D16)</f>
        <v>0.41492000000000018</v>
      </c>
      <c r="F16" s="615"/>
      <c r="G16" s="615"/>
      <c r="H16" s="3149">
        <v>141.06769109004006</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1301.8127822235674</v>
      </c>
      <c r="I18" s="615"/>
      <c r="J18" s="615"/>
      <c r="K18" s="3150" t="str">
        <f>K19</f>
        <v>NO</v>
      </c>
      <c r="L18" s="3162" t="str">
        <f>L19</f>
        <v>NO</v>
      </c>
      <c r="M18" s="615"/>
      <c r="N18" s="1842"/>
    </row>
    <row r="19" spans="2:14" ht="18" customHeight="1" x14ac:dyDescent="0.2">
      <c r="B19" s="3151" t="s">
        <v>761</v>
      </c>
      <c r="C19" s="474" t="s">
        <v>753</v>
      </c>
      <c r="D19" s="2917">
        <v>1415.559773</v>
      </c>
      <c r="E19" s="1938">
        <f>IF(SUM($D19)=0,"NA",H19/$D19)</f>
        <v>0.41595512364371351</v>
      </c>
      <c r="F19" s="615"/>
      <c r="G19" s="615"/>
      <c r="H19" s="3149">
        <v>588.80934040328202</v>
      </c>
      <c r="I19" s="615"/>
      <c r="J19" s="615"/>
      <c r="K19" s="3149" t="s">
        <v>199</v>
      </c>
      <c r="L19" s="3149" t="s">
        <v>199</v>
      </c>
      <c r="M19" s="615"/>
      <c r="N19" s="1842"/>
    </row>
    <row r="20" spans="2:14" ht="18" customHeight="1" x14ac:dyDescent="0.2">
      <c r="B20" s="3152" t="s">
        <v>762</v>
      </c>
      <c r="C20" s="474" t="s">
        <v>753</v>
      </c>
      <c r="D20" s="2917">
        <v>496.47408500628927</v>
      </c>
      <c r="E20" s="1938">
        <f>IF(SUM($D20)=0,"NA",H20/$D20)</f>
        <v>0.51519997668865603</v>
      </c>
      <c r="F20" s="615"/>
      <c r="G20" s="615"/>
      <c r="H20" s="3149">
        <v>255.78343702176204</v>
      </c>
      <c r="I20" s="615"/>
      <c r="J20" s="615"/>
      <c r="K20" s="3149" t="s">
        <v>199</v>
      </c>
      <c r="L20" s="3149" t="s">
        <v>199</v>
      </c>
      <c r="M20" s="2161"/>
      <c r="N20" s="2174"/>
    </row>
    <row r="21" spans="2:14" ht="18" customHeight="1" thickBot="1" x14ac:dyDescent="0.25">
      <c r="B21" s="3152" t="s">
        <v>763</v>
      </c>
      <c r="C21" s="474" t="s">
        <v>753</v>
      </c>
      <c r="D21" s="2917">
        <v>1056.2191733399998</v>
      </c>
      <c r="E21" s="1938">
        <f>IF(SUM($D21)=0,"NA",H21/$D21)</f>
        <v>0.43288364417083269</v>
      </c>
      <c r="F21" s="615"/>
      <c r="G21" s="615"/>
      <c r="H21" s="3149">
        <v>457.22000479852352</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3139.8890230772722</v>
      </c>
      <c r="I22" s="3046">
        <f>IF(SUM(I23:I26,I30,I33:I35,I47)=0,"IE",SUM(I23:I26,I30,I33:I35,I47))</f>
        <v>0.57776359999999993</v>
      </c>
      <c r="J22" s="3046">
        <f>IF(SUM(J23:J26,J30,J33:J35,J47)=0,"IE",SUM(J23:J26,J30,J33:J35,J47))</f>
        <v>4.9338356261489773</v>
      </c>
      <c r="K22" s="3046">
        <f>IF(SUM(K23:K26,K30,K33:K35,K47)=0,"NO",SUM(K23:K26,K30,K33:K35,K47))</f>
        <v>-353.55139000000003</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2092.6226999999999</v>
      </c>
      <c r="E23" s="1938">
        <f>IF(SUM($D23)=0,"NA",(H23-K23)/$D23)</f>
        <v>1.1913494010135242</v>
      </c>
      <c r="F23" s="1938" t="str">
        <f>IFERROR(IF(SUM($D23)=0,"NA",I23/$D23),"NA")</f>
        <v>NA</v>
      </c>
      <c r="G23" s="1938" t="str">
        <f>IFERROR(IF(SUM($D23)=0,"NA",J23/$D23),"NA")</f>
        <v>NA</v>
      </c>
      <c r="H23" s="699">
        <v>2139.4934101923036</v>
      </c>
      <c r="I23" s="699" t="s">
        <v>199</v>
      </c>
      <c r="J23" s="699" t="s">
        <v>199</v>
      </c>
      <c r="K23" s="3149">
        <v>-353.55139000000003</v>
      </c>
      <c r="L23" s="699" t="s">
        <v>199</v>
      </c>
      <c r="M23" s="699" t="s">
        <v>199</v>
      </c>
      <c r="N23" s="2921" t="s">
        <v>199</v>
      </c>
    </row>
    <row r="24" spans="2:14" ht="18" customHeight="1" x14ac:dyDescent="0.2">
      <c r="B24" s="286" t="s">
        <v>766</v>
      </c>
      <c r="C24" s="474" t="s">
        <v>349</v>
      </c>
      <c r="D24" s="699">
        <v>1335.62302</v>
      </c>
      <c r="E24" s="2135"/>
      <c r="F24" s="2135"/>
      <c r="G24" s="1938">
        <f>IF(SUM($D24)=0,"NA",J24/$D24)</f>
        <v>3.6940330858845015E-3</v>
      </c>
      <c r="H24" s="2135"/>
      <c r="I24" s="2135"/>
      <c r="J24" s="699">
        <v>4.9338356261489773</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849.6798667784999</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48.294806000000001</v>
      </c>
      <c r="I35" s="3165">
        <f>I46</f>
        <v>0.57776359999999993</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48.294806000000001</v>
      </c>
      <c r="I42" s="3167">
        <f>IF(SUM(I44:I45)=0,"NO",SUM(I44:I45))</f>
        <v>0.57776359999999993</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48.294806000000001</v>
      </c>
      <c r="I45" s="3167">
        <f>I46</f>
        <v>0.57776359999999993</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48.294806000000001</v>
      </c>
      <c r="I46" s="699">
        <v>0.57776359999999993</v>
      </c>
      <c r="J46" s="615"/>
      <c r="K46" s="699" t="s">
        <v>199</v>
      </c>
      <c r="L46" s="699" t="s">
        <v>199</v>
      </c>
      <c r="M46" s="699" t="s">
        <v>199</v>
      </c>
      <c r="N46" s="1842"/>
    </row>
    <row r="47" spans="2:16" ht="18" customHeight="1" x14ac:dyDescent="0.2">
      <c r="B47" s="286" t="s">
        <v>787</v>
      </c>
      <c r="C47" s="2131"/>
      <c r="D47" s="615"/>
      <c r="E47" s="615"/>
      <c r="F47" s="615"/>
      <c r="G47" s="615"/>
      <c r="H47" s="3167">
        <f>H50</f>
        <v>102.42094010646892</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102.42094010646892</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102.42094010646892</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10125.110621348897</v>
      </c>
      <c r="I52" s="3161">
        <f>IF(SUM(I53,I62:I67)=0,"IE",SUM(I53,I62:I67))</f>
        <v>2.1613392704162333</v>
      </c>
      <c r="J52" s="1934">
        <f>J67</f>
        <v>5.1230231324087425E-2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1786.038</v>
      </c>
      <c r="E63" s="4121">
        <f>IF(SUM($D63)=0,"NA",H63/$D63)</f>
        <v>1.560444552983578</v>
      </c>
      <c r="F63" s="1917"/>
      <c r="G63" s="2134"/>
      <c r="H63" s="699">
        <v>2787.0132685216836</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7338.0973528272134</v>
      </c>
      <c r="I67" s="3168">
        <f t="shared" ref="I67:N67" si="8">IF(SUM(I69:I70)=0,I70,SUM(I69:I70))</f>
        <v>2.1613392704162333</v>
      </c>
      <c r="J67" s="3168">
        <f t="shared" si="8"/>
        <v>5.1230231324087425E-2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7338.0973528272134</v>
      </c>
      <c r="I70" s="3074">
        <f t="shared" si="9"/>
        <v>2.1613392704162333</v>
      </c>
      <c r="J70" s="3074">
        <f t="shared" si="9"/>
        <v>5.1230231324087425E-2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7338.0973528272134</v>
      </c>
      <c r="I71" s="3101">
        <v>2.1613392704162333</v>
      </c>
      <c r="J71" s="3101">
        <v>5.1230231324087425E-2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209.32935569</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389.32989690721649</v>
      </c>
      <c r="E73" s="4121">
        <f t="shared" ref="E73:G74" si="11">IF(SUM($D73)=0,"NA",H73/$D73)</f>
        <v>0.53766576200000005</v>
      </c>
      <c r="F73" s="276" t="s">
        <v>205</v>
      </c>
      <c r="G73" s="276" t="s">
        <v>205</v>
      </c>
      <c r="H73" s="3100">
        <v>209.32935569</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318.39359999999999</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240.36833455150557</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240.36833455150557</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24.428777495485704</v>
      </c>
      <c r="H22" s="2628" t="str">
        <f>H23</f>
        <v>NO</v>
      </c>
    </row>
    <row r="23" spans="2:8" ht="18" customHeight="1" x14ac:dyDescent="0.2">
      <c r="B23" s="169" t="s">
        <v>857</v>
      </c>
      <c r="C23" s="2523"/>
      <c r="D23" s="76"/>
      <c r="E23" s="76"/>
      <c r="F23" s="1829"/>
      <c r="G23" s="3157">
        <f>IF(SUM(G24,G27)=0,"NO",SUM(G24,G27))</f>
        <v>24.428777495485704</v>
      </c>
      <c r="H23" s="2628" t="str">
        <f>H24</f>
        <v>NO</v>
      </c>
    </row>
    <row r="24" spans="2:8" ht="18" customHeight="1" x14ac:dyDescent="0.2">
      <c r="B24" s="171" t="s">
        <v>858</v>
      </c>
      <c r="C24" s="2523"/>
      <c r="D24" s="76"/>
      <c r="E24" s="76"/>
      <c r="F24" s="1829"/>
      <c r="G24" s="3157">
        <f>IF(SUM(G25:G26)=0,"NO",SUM(G25:G26))</f>
        <v>24.428777495485704</v>
      </c>
      <c r="H24" s="2628" t="str">
        <f>H25</f>
        <v>NO</v>
      </c>
    </row>
    <row r="25" spans="2:8" ht="18" customHeight="1" x14ac:dyDescent="0.25">
      <c r="B25" s="2626" t="s">
        <v>859</v>
      </c>
      <c r="C25" s="2638" t="s">
        <v>859</v>
      </c>
      <c r="D25" s="73" t="s">
        <v>860</v>
      </c>
      <c r="E25" s="699">
        <v>1786038</v>
      </c>
      <c r="F25" s="4135">
        <f>IF(SUM(E25)=0,"NA",G25*1000/E25)</f>
        <v>1.2342194156704978E-2</v>
      </c>
      <c r="G25" s="699">
        <v>22.043627767253046</v>
      </c>
      <c r="H25" s="2627" t="s">
        <v>199</v>
      </c>
    </row>
    <row r="26" spans="2:8" ht="18" customHeight="1" x14ac:dyDescent="0.25">
      <c r="B26" s="2626" t="s">
        <v>861</v>
      </c>
      <c r="C26" s="2638" t="s">
        <v>861</v>
      </c>
      <c r="D26" s="73" t="s">
        <v>860</v>
      </c>
      <c r="E26" s="699">
        <v>1786038</v>
      </c>
      <c r="F26" s="4135">
        <f>IF(SUM(E26)=0,"NA",G26*1000/E26)</f>
        <v>1.3354417589282299E-3</v>
      </c>
      <c r="G26" s="699">
        <v>2.3851497282326579</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46.306163233318642</v>
      </c>
      <c r="K10" s="3191">
        <f>IF(SUM(K11,K90,K117,K130,K146,K159)=0,"NO",SUM(K11,K90,K117,K130,K146,K159))</f>
        <v>2826.7694451461712</v>
      </c>
      <c r="L10" s="3192">
        <f>IF(SUM(L11,L90,L117,L130,L146,L159)=0,"NO",SUM(L11,L90,L117,L130,L146,L159))</f>
        <v>1014.5184886384509</v>
      </c>
      <c r="M10" s="3462">
        <f>IF(SUM(M11,M90,M117,M130,M146,M159)=0,"NO",SUM(M11,M90,M117,M130,M146,M159))</f>
        <v>-371.27637042146313</v>
      </c>
    </row>
    <row r="11" spans="1:13" ht="18" customHeight="1" x14ac:dyDescent="0.2">
      <c r="B11" s="147" t="s">
        <v>888</v>
      </c>
      <c r="C11" s="2524"/>
      <c r="D11" s="150"/>
      <c r="E11" s="150"/>
      <c r="F11" s="150"/>
      <c r="G11" s="150"/>
      <c r="H11" s="150"/>
      <c r="I11" s="150"/>
      <c r="J11" s="3081">
        <f>IF(SUM(J12,J25,J38,J51,J64,J77)=0,"NO",SUM(J12,J25,J38,J51,J64,J77))</f>
        <v>24.270234269905551</v>
      </c>
      <c r="K11" s="3081">
        <f t="shared" ref="K11:M11" si="0">IF(SUM(K12,K25,K38,K51,K64,K77)=0,"NO",SUM(K12,K25,K38,K51,K64,K77))</f>
        <v>2707.9998020991134</v>
      </c>
      <c r="L11" s="3081">
        <f t="shared" si="0"/>
        <v>983.94089213447444</v>
      </c>
      <c r="M11" s="3193">
        <f t="shared" si="0"/>
        <v>-356.46234650234794</v>
      </c>
    </row>
    <row r="12" spans="1:13" ht="18" customHeight="1" x14ac:dyDescent="0.2">
      <c r="B12" s="104" t="s">
        <v>889</v>
      </c>
      <c r="C12" s="2524"/>
      <c r="D12" s="150"/>
      <c r="E12" s="150"/>
      <c r="F12" s="150"/>
      <c r="G12" s="150"/>
      <c r="H12" s="150"/>
      <c r="I12" s="150"/>
      <c r="J12" s="3081">
        <f>IF(SUM(J13:J24)=0,"NO",SUM(J13:J24))</f>
        <v>18.369502646009611</v>
      </c>
      <c r="K12" s="3081">
        <f>IF(SUM(K13:K24)=0,"NO",SUM(K13:K24))</f>
        <v>1612.3839105410411</v>
      </c>
      <c r="L12" s="3081">
        <f>IF(SUM(L13:L24)=0,"NO",SUM(L13:L24))</f>
        <v>377.82398889031026</v>
      </c>
      <c r="M12" s="3193">
        <f>IF(SUM(M13:M24)=0,"NO",SUM(M13:M24))</f>
        <v>-136.33323563610674</v>
      </c>
    </row>
    <row r="13" spans="1:13" ht="18" customHeight="1" x14ac:dyDescent="0.2">
      <c r="B13" s="2634" t="s">
        <v>671</v>
      </c>
      <c r="C13" s="2636" t="s">
        <v>671</v>
      </c>
      <c r="D13" s="3160">
        <v>14.388699576867527</v>
      </c>
      <c r="E13" s="3160">
        <v>149.65100702742257</v>
      </c>
      <c r="F13" s="3160">
        <v>7.0702390886971918</v>
      </c>
      <c r="G13" s="3668">
        <f>IF(SUM(D13)=0,"NA",J13/D13)</f>
        <v>1.7500000000000005E-2</v>
      </c>
      <c r="H13" s="3081">
        <f>IF(SUM(E13)=0,"NA",K13/E13)</f>
        <v>0.14768997192415367</v>
      </c>
      <c r="I13" s="3081">
        <f>IF(SUM(F13)=0,"NA",L13/F13)</f>
        <v>0.73409848655441501</v>
      </c>
      <c r="J13" s="3194">
        <v>0.2518022425951818</v>
      </c>
      <c r="K13" s="3194">
        <v>22.101953026301363</v>
      </c>
      <c r="L13" s="3194">
        <v>5.190251814590475</v>
      </c>
      <c r="M13" s="3460">
        <v>-1.8799872741067187</v>
      </c>
    </row>
    <row r="14" spans="1:13" ht="18" customHeight="1" x14ac:dyDescent="0.2">
      <c r="B14" s="2634" t="s">
        <v>672</v>
      </c>
      <c r="C14" s="2636" t="s">
        <v>672</v>
      </c>
      <c r="D14" s="3160">
        <v>59.80207201064286</v>
      </c>
      <c r="E14" s="3160">
        <v>621.97700708874436</v>
      </c>
      <c r="F14" s="3160">
        <v>29.38520919531074</v>
      </c>
      <c r="G14" s="3668">
        <f t="shared" ref="G14:G24" si="1">IF(SUM(D14)=0,"NA",J14/D14)</f>
        <v>1.7500000000000005E-2</v>
      </c>
      <c r="H14" s="3081">
        <f t="shared" ref="H14:H24" si="2">IF(SUM(E14)=0,"NA",K14/E14)</f>
        <v>0.14768997192415367</v>
      </c>
      <c r="I14" s="3081">
        <f t="shared" ref="I14:I24" si="3">IF(SUM(F14)=0,"NA",L14/F14)</f>
        <v>0.73409848655441556</v>
      </c>
      <c r="J14" s="3194">
        <v>1.0465362601862505</v>
      </c>
      <c r="K14" s="3194">
        <v>91.859766714405779</v>
      </c>
      <c r="L14" s="3194">
        <v>21.571637597362511</v>
      </c>
      <c r="M14" s="3460">
        <v>-7.8135715979482558</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193.06076333624893</v>
      </c>
      <c r="E16" s="3160">
        <v>2007.9464093615045</v>
      </c>
      <c r="F16" s="3160">
        <v>94.865123018353202</v>
      </c>
      <c r="G16" s="3668">
        <f t="shared" si="1"/>
        <v>1.7500000000000002E-2</v>
      </c>
      <c r="H16" s="3081">
        <f t="shared" si="2"/>
        <v>0.14768997192415367</v>
      </c>
      <c r="I16" s="3081">
        <f t="shared" si="3"/>
        <v>0.73409848655441456</v>
      </c>
      <c r="J16" s="3194">
        <v>3.3785633583843566</v>
      </c>
      <c r="K16" s="3194">
        <v>296.55354882380578</v>
      </c>
      <c r="L16" s="3194">
        <v>69.640343234571446</v>
      </c>
      <c r="M16" s="3460">
        <v>-25.224779783781749</v>
      </c>
    </row>
    <row r="17" spans="2:13" ht="18" customHeight="1" x14ac:dyDescent="0.2">
      <c r="B17" s="2634" t="s">
        <v>676</v>
      </c>
      <c r="C17" s="2636" t="s">
        <v>676</v>
      </c>
      <c r="D17" s="3160">
        <v>0.51639580915904093</v>
      </c>
      <c r="E17" s="3160">
        <v>5.3708225995371821</v>
      </c>
      <c r="F17" s="3160">
        <v>0.25374369766016835</v>
      </c>
      <c r="G17" s="3668">
        <f t="shared" si="1"/>
        <v>1.7500000000000005E-2</v>
      </c>
      <c r="H17" s="3081">
        <f t="shared" si="2"/>
        <v>0.14768997192415367</v>
      </c>
      <c r="I17" s="3081">
        <f t="shared" si="3"/>
        <v>0.73409848655441545</v>
      </c>
      <c r="J17" s="3194">
        <v>9.0369266602832194E-3</v>
      </c>
      <c r="K17" s="3194">
        <v>0.79321663893525651</v>
      </c>
      <c r="L17" s="3194">
        <v>0.18627286442505075</v>
      </c>
      <c r="M17" s="3460">
        <v>-6.7470833235117794E-2</v>
      </c>
    </row>
    <row r="18" spans="2:13" ht="18" customHeight="1" x14ac:dyDescent="0.2">
      <c r="B18" s="2634" t="s">
        <v>677</v>
      </c>
      <c r="C18" s="2636" t="s">
        <v>677</v>
      </c>
      <c r="D18" s="3160">
        <v>534.9724179905071</v>
      </c>
      <c r="E18" s="3160">
        <v>5564.0303459309416</v>
      </c>
      <c r="F18" s="3160">
        <v>262.87176828211841</v>
      </c>
      <c r="G18" s="3668">
        <f t="shared" si="1"/>
        <v>1.7500000000000005E-2</v>
      </c>
      <c r="H18" s="3081">
        <f t="shared" si="2"/>
        <v>0.14768997192415367</v>
      </c>
      <c r="I18" s="3081">
        <f t="shared" si="3"/>
        <v>0.73409848655441512</v>
      </c>
      <c r="J18" s="3194">
        <v>9.3620173148338761</v>
      </c>
      <c r="K18" s="3194">
        <v>821.75148557567979</v>
      </c>
      <c r="L18" s="3194">
        <v>192.97376725378604</v>
      </c>
      <c r="M18" s="3460">
        <v>-69.898001028332487</v>
      </c>
    </row>
    <row r="19" spans="2:13" ht="18" customHeight="1" x14ac:dyDescent="0.2">
      <c r="B19" s="2634" t="s">
        <v>679</v>
      </c>
      <c r="C19" s="2636" t="s">
        <v>679</v>
      </c>
      <c r="D19" s="3160">
        <v>173.43420319812037</v>
      </c>
      <c r="E19" s="3160">
        <v>1803.8185468354714</v>
      </c>
      <c r="F19" s="3160">
        <v>85.221133168961103</v>
      </c>
      <c r="G19" s="3668">
        <f t="shared" si="1"/>
        <v>1.7500000000000002E-2</v>
      </c>
      <c r="H19" s="3081">
        <f t="shared" si="2"/>
        <v>0.14768997192415365</v>
      </c>
      <c r="I19" s="3081">
        <f t="shared" si="3"/>
        <v>0.73409848655441523</v>
      </c>
      <c r="J19" s="3194">
        <v>3.0350985559671066</v>
      </c>
      <c r="K19" s="3194">
        <v>266.40591053839842</v>
      </c>
      <c r="L19" s="3194">
        <v>62.56070488178662</v>
      </c>
      <c r="M19" s="3460">
        <v>-22.660428287174529</v>
      </c>
    </row>
    <row r="20" spans="2:13" ht="18" customHeight="1" x14ac:dyDescent="0.2">
      <c r="B20" s="2634" t="s">
        <v>681</v>
      </c>
      <c r="C20" s="2636" t="s">
        <v>681</v>
      </c>
      <c r="D20" s="3160">
        <v>22.611831163099438</v>
      </c>
      <c r="E20" s="3160">
        <v>235.17645122927576</v>
      </c>
      <c r="F20" s="3160">
        <v>11.110875705083799</v>
      </c>
      <c r="G20" s="3668">
        <f t="shared" si="1"/>
        <v>1.7500000000000002E-2</v>
      </c>
      <c r="H20" s="3081">
        <f t="shared" si="2"/>
        <v>0.14768997192415367</v>
      </c>
      <c r="I20" s="3081">
        <f t="shared" si="3"/>
        <v>0.70643904856649742</v>
      </c>
      <c r="J20" s="3194">
        <v>0.39570704535424023</v>
      </c>
      <c r="K20" s="3194">
        <v>34.733203479273833</v>
      </c>
      <c r="L20" s="3194">
        <v>7.8491564618400105</v>
      </c>
      <c r="M20" s="3460">
        <v>-2.6470780881313458</v>
      </c>
    </row>
    <row r="21" spans="2:13" ht="18" customHeight="1" x14ac:dyDescent="0.2">
      <c r="B21" s="2634" t="s">
        <v>683</v>
      </c>
      <c r="C21" s="2636" t="s">
        <v>683</v>
      </c>
      <c r="D21" s="3160">
        <v>12.370195798525017</v>
      </c>
      <c r="E21" s="3160">
        <v>128.65737091014282</v>
      </c>
      <c r="F21" s="3160">
        <v>6.0783979401569912</v>
      </c>
      <c r="G21" s="3668">
        <f t="shared" si="1"/>
        <v>1.7500000000000005E-2</v>
      </c>
      <c r="H21" s="3081">
        <f t="shared" si="2"/>
        <v>0.1476899719241537</v>
      </c>
      <c r="I21" s="3081">
        <f t="shared" si="3"/>
        <v>0.73409848655441545</v>
      </c>
      <c r="J21" s="3194">
        <v>0.21647842647418786</v>
      </c>
      <c r="K21" s="3194">
        <v>19.001403497554421</v>
      </c>
      <c r="L21" s="3194">
        <v>4.4621427285447233</v>
      </c>
      <c r="M21" s="3460">
        <v>-1.6162552116122721</v>
      </c>
    </row>
    <row r="22" spans="2:13" ht="18" customHeight="1" x14ac:dyDescent="0.2">
      <c r="B22" s="2634" t="s">
        <v>686</v>
      </c>
      <c r="C22" s="2636" t="s">
        <v>686</v>
      </c>
      <c r="D22" s="3160">
        <v>1.1177558172403135</v>
      </c>
      <c r="E22" s="3160">
        <v>11.625323245312252</v>
      </c>
      <c r="F22" s="3160">
        <v>0.54923663034679937</v>
      </c>
      <c r="G22" s="3668">
        <f t="shared" si="1"/>
        <v>1.7500000000000009E-2</v>
      </c>
      <c r="H22" s="3081">
        <f t="shared" si="2"/>
        <v>0.14768997192415367</v>
      </c>
      <c r="I22" s="3081">
        <f t="shared" si="3"/>
        <v>0.73409848655441556</v>
      </c>
      <c r="J22" s="3194">
        <v>1.9560726801705494E-2</v>
      </c>
      <c r="K22" s="3194">
        <v>1.7169436637093776</v>
      </c>
      <c r="L22" s="3194">
        <v>0.40319377909783238</v>
      </c>
      <c r="M22" s="3460">
        <v>-0.14604285124896743</v>
      </c>
    </row>
    <row r="23" spans="2:13" ht="18" customHeight="1" x14ac:dyDescent="0.2">
      <c r="B23" s="2634" t="s">
        <v>688</v>
      </c>
      <c r="C23" s="2636" t="s">
        <v>688</v>
      </c>
      <c r="D23" s="3160">
        <v>17.859455344961845</v>
      </c>
      <c r="E23" s="3160">
        <v>185.74892491547018</v>
      </c>
      <c r="F23" s="3160">
        <v>8.775679734518496</v>
      </c>
      <c r="G23" s="3668">
        <f t="shared" si="1"/>
        <v>1.7500000000000002E-2</v>
      </c>
      <c r="H23" s="3081">
        <f t="shared" si="2"/>
        <v>0.1476899719241537</v>
      </c>
      <c r="I23" s="3081">
        <f t="shared" si="3"/>
        <v>0.70643904856649775</v>
      </c>
      <c r="J23" s="3194">
        <v>0.31254046853683232</v>
      </c>
      <c r="K23" s="3194">
        <v>27.433253505707526</v>
      </c>
      <c r="L23" s="3194">
        <v>6.1994828421775416</v>
      </c>
      <c r="M23" s="3460">
        <v>-2.0907361535034847</v>
      </c>
    </row>
    <row r="24" spans="2:13" ht="18" customHeight="1" x14ac:dyDescent="0.2">
      <c r="B24" s="2634" t="s">
        <v>689</v>
      </c>
      <c r="C24" s="2636" t="s">
        <v>689</v>
      </c>
      <c r="D24" s="3160">
        <v>19.552075440890931</v>
      </c>
      <c r="E24" s="3160">
        <v>203.3531775108799</v>
      </c>
      <c r="F24" s="3160">
        <v>9.6073899735585631</v>
      </c>
      <c r="G24" s="3668">
        <f t="shared" si="1"/>
        <v>1.7500000000000005E-2</v>
      </c>
      <c r="H24" s="3081">
        <f t="shared" si="2"/>
        <v>0.14768997192415367</v>
      </c>
      <c r="I24" s="3081">
        <f t="shared" si="3"/>
        <v>0.70643904856649742</v>
      </c>
      <c r="J24" s="3194">
        <v>0.34216132021559137</v>
      </c>
      <c r="K24" s="3194">
        <v>30.033225077269293</v>
      </c>
      <c r="L24" s="3194">
        <v>6.7870354321280182</v>
      </c>
      <c r="M24" s="3460">
        <v>-2.2888845270317839</v>
      </c>
    </row>
    <row r="25" spans="2:13" ht="18" customHeight="1" x14ac:dyDescent="0.2">
      <c r="B25" s="105" t="s">
        <v>890</v>
      </c>
      <c r="C25" s="2524"/>
      <c r="D25" s="150"/>
      <c r="E25" s="150"/>
      <c r="F25" s="150"/>
      <c r="G25" s="3669"/>
      <c r="H25" s="2135"/>
      <c r="I25" s="2135"/>
      <c r="J25" s="3081">
        <f>IF(SUM(J26:J37)=0,"NO",SUM(J26:J37))</f>
        <v>9.309271638496068E-2</v>
      </c>
      <c r="K25" s="3081">
        <f>IF(SUM(K26:K37)=0,"NO",SUM(K26:K37))</f>
        <v>13.256025196279822</v>
      </c>
      <c r="L25" s="3081">
        <f>IF(SUM(L26:L37)=0,"NO",SUM(L26:L37))</f>
        <v>35.098402995728115</v>
      </c>
      <c r="M25" s="3193">
        <f>IF(SUM(M26:M37)=0,"NO",SUM(M26:M37))</f>
        <v>-10.423690086404555</v>
      </c>
    </row>
    <row r="26" spans="2:13" ht="18" customHeight="1" x14ac:dyDescent="0.2">
      <c r="B26" s="2634" t="s">
        <v>671</v>
      </c>
      <c r="C26" s="2636" t="s">
        <v>671</v>
      </c>
      <c r="D26" s="3461">
        <v>0.21267999835316151</v>
      </c>
      <c r="E26" s="3461">
        <v>10.389736481928855</v>
      </c>
      <c r="F26" s="3461">
        <v>0.62399975364589499</v>
      </c>
      <c r="G26" s="3668">
        <f>IF(SUM(D26)=0,"NA",J26/D26)</f>
        <v>6.000000000000001E-3</v>
      </c>
      <c r="H26" s="3081">
        <f>IF(SUM(E26)=0,"NA",K26/E26)</f>
        <v>1.7489241876137339E-2</v>
      </c>
      <c r="I26" s="3081">
        <f>IF(SUM(F26)=0,"NA",L26/F26)</f>
        <v>0.77101909467128971</v>
      </c>
      <c r="J26" s="3194">
        <v>1.2760799901189693E-3</v>
      </c>
      <c r="K26" s="3194">
        <v>0.18170861436178196</v>
      </c>
      <c r="L26" s="3194">
        <v>0.48111572513116579</v>
      </c>
      <c r="M26" s="3460">
        <v>-0.14288402851472923</v>
      </c>
    </row>
    <row r="27" spans="2:13" ht="18" customHeight="1" x14ac:dyDescent="0.2">
      <c r="B27" s="2634" t="s">
        <v>672</v>
      </c>
      <c r="C27" s="2636" t="s">
        <v>672</v>
      </c>
      <c r="D27" s="3461">
        <v>0.88393704440023346</v>
      </c>
      <c r="E27" s="3461">
        <v>43.181648622562875</v>
      </c>
      <c r="F27" s="3461">
        <v>2.5934573171677235</v>
      </c>
      <c r="G27" s="3668">
        <f t="shared" ref="G27:G37" si="7">IF(SUM(D27)=0,"NA",J27/D27)</f>
        <v>6.0000000000000001E-3</v>
      </c>
      <c r="H27" s="3081">
        <f t="shared" ref="H27:H37" si="8">IF(SUM(E27)=0,"NA",K27/E27)</f>
        <v>1.7489241876137339E-2</v>
      </c>
      <c r="I27" s="3081">
        <f t="shared" ref="I27:I37" si="9">IF(SUM(F27)=0,"NA",L27/F27)</f>
        <v>0.77101909467129004</v>
      </c>
      <c r="J27" s="3194">
        <v>5.303622266401401E-3</v>
      </c>
      <c r="K27" s="3194">
        <v>0.75521429737037482</v>
      </c>
      <c r="L27" s="3194">
        <v>1.9996051127512908</v>
      </c>
      <c r="M27" s="3460">
        <v>-0.59385220441643349</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v>2.853639594673675</v>
      </c>
      <c r="E29" s="3461">
        <v>139.4045685190641</v>
      </c>
      <c r="F29" s="3461">
        <v>8.3725334674570018</v>
      </c>
      <c r="G29" s="3668">
        <f t="shared" si="7"/>
        <v>5.9999999999999993E-3</v>
      </c>
      <c r="H29" s="3081">
        <f t="shared" si="8"/>
        <v>1.7489241876137339E-2</v>
      </c>
      <c r="I29" s="3081">
        <f t="shared" si="9"/>
        <v>0.7710190946712896</v>
      </c>
      <c r="J29" s="3194">
        <v>1.7121837568042048E-2</v>
      </c>
      <c r="K29" s="3194">
        <v>2.4380802174684728</v>
      </c>
      <c r="L29" s="3194">
        <v>6.4553831741837708</v>
      </c>
      <c r="M29" s="3460">
        <v>-1.9171502932732296</v>
      </c>
    </row>
    <row r="30" spans="2:13" ht="18" customHeight="1" x14ac:dyDescent="0.2">
      <c r="B30" s="2634" t="s">
        <v>676</v>
      </c>
      <c r="C30" s="2636" t="s">
        <v>676</v>
      </c>
      <c r="D30" s="3461">
        <v>7.6328690619193599E-3</v>
      </c>
      <c r="E30" s="3461">
        <v>0.37287708655481472</v>
      </c>
      <c r="F30" s="3461">
        <v>2.2394717186051988E-2</v>
      </c>
      <c r="G30" s="3668">
        <f t="shared" si="7"/>
        <v>6.000000000000001E-3</v>
      </c>
      <c r="H30" s="3081">
        <f t="shared" si="8"/>
        <v>1.7489241876137339E-2</v>
      </c>
      <c r="I30" s="3081">
        <f t="shared" si="9"/>
        <v>0.77101909467128971</v>
      </c>
      <c r="J30" s="3194">
        <v>4.5797214371516166E-5</v>
      </c>
      <c r="K30" s="3194">
        <v>6.5213375568265531E-3</v>
      </c>
      <c r="L30" s="3194">
        <v>1.7266754570209375E-2</v>
      </c>
      <c r="M30" s="3460">
        <v>-5.1279626158426111E-3</v>
      </c>
    </row>
    <row r="31" spans="2:13" ht="18" customHeight="1" x14ac:dyDescent="0.2">
      <c r="B31" s="2634" t="s">
        <v>677</v>
      </c>
      <c r="C31" s="2636" t="s">
        <v>677</v>
      </c>
      <c r="D31" s="3461">
        <v>7.9074507303027426</v>
      </c>
      <c r="E31" s="3461">
        <v>386.29081233703187</v>
      </c>
      <c r="F31" s="3461">
        <v>23.200335461177207</v>
      </c>
      <c r="G31" s="3668">
        <f t="shared" si="7"/>
        <v>6.0000000000000001E-3</v>
      </c>
      <c r="H31" s="3081">
        <f t="shared" si="8"/>
        <v>1.7489241876137339E-2</v>
      </c>
      <c r="I31" s="3081">
        <f t="shared" si="9"/>
        <v>0.77101909467128982</v>
      </c>
      <c r="J31" s="3194">
        <v>4.7444704381816458E-2</v>
      </c>
      <c r="K31" s="3194">
        <v>6.755933451491928</v>
      </c>
      <c r="L31" s="3194">
        <v>17.887901643347071</v>
      </c>
      <c r="M31" s="3460">
        <v>-5.3124338178301382</v>
      </c>
    </row>
    <row r="32" spans="2:13" ht="18" customHeight="1" x14ac:dyDescent="0.2">
      <c r="B32" s="2634" t="s">
        <v>679</v>
      </c>
      <c r="C32" s="2636" t="s">
        <v>679</v>
      </c>
      <c r="D32" s="3461">
        <v>2.5635385500618209</v>
      </c>
      <c r="E32" s="3461">
        <v>125.23269796241455</v>
      </c>
      <c r="F32" s="3461">
        <v>7.5213815877695671</v>
      </c>
      <c r="G32" s="3668">
        <f t="shared" si="7"/>
        <v>6.0000000000000001E-3</v>
      </c>
      <c r="H32" s="3081">
        <f t="shared" si="8"/>
        <v>1.7489241876137339E-2</v>
      </c>
      <c r="I32" s="3081">
        <f t="shared" si="9"/>
        <v>0.77101909467128993</v>
      </c>
      <c r="J32" s="3194">
        <v>1.5381231300370926E-2</v>
      </c>
      <c r="K32" s="3194">
        <v>2.1902249454659195</v>
      </c>
      <c r="L32" s="3194">
        <v>5.7991288224794006</v>
      </c>
      <c r="M32" s="3460">
        <v>-1.722252765290168</v>
      </c>
    </row>
    <row r="33" spans="2:13" ht="18" customHeight="1" x14ac:dyDescent="0.2">
      <c r="B33" s="2634" t="s">
        <v>681</v>
      </c>
      <c r="C33" s="2636" t="s">
        <v>681</v>
      </c>
      <c r="D33" s="3461">
        <v>0.33422646632093422</v>
      </c>
      <c r="E33" s="3461">
        <v>16.327463500326648</v>
      </c>
      <c r="F33" s="3461">
        <v>0.98061516955574457</v>
      </c>
      <c r="G33" s="3668">
        <f t="shared" si="7"/>
        <v>6.0000000000000001E-3</v>
      </c>
      <c r="H33" s="3081">
        <f t="shared" si="8"/>
        <v>1.7489241876137339E-2</v>
      </c>
      <c r="I33" s="3081">
        <f t="shared" si="9"/>
        <v>0.77101909467128971</v>
      </c>
      <c r="J33" s="3194">
        <v>2.0053587979256054E-3</v>
      </c>
      <c r="K33" s="3194">
        <v>0.28555495838101674</v>
      </c>
      <c r="L33" s="3194">
        <v>0.75607302025180345</v>
      </c>
      <c r="M33" s="3460">
        <v>-0.22454214930394115</v>
      </c>
    </row>
    <row r="34" spans="2:13" ht="18" customHeight="1" x14ac:dyDescent="0.2">
      <c r="B34" s="2634" t="s">
        <v>683</v>
      </c>
      <c r="C34" s="2636" t="s">
        <v>683</v>
      </c>
      <c r="D34" s="3461">
        <v>0.18284440563956381</v>
      </c>
      <c r="E34" s="3461">
        <v>8.9322230886773699</v>
      </c>
      <c r="F34" s="3461">
        <v>0.53646259619186176</v>
      </c>
      <c r="G34" s="3668">
        <f t="shared" si="7"/>
        <v>6.000000000000001E-3</v>
      </c>
      <c r="H34" s="3081">
        <f t="shared" si="8"/>
        <v>1.7489241876137339E-2</v>
      </c>
      <c r="I34" s="3081">
        <f t="shared" si="9"/>
        <v>0.77101909467128982</v>
      </c>
      <c r="J34" s="3194">
        <v>1.097066433837383E-3</v>
      </c>
      <c r="K34" s="3194">
        <v>0.15621781008949706</v>
      </c>
      <c r="L34" s="3194">
        <v>0.41362290524085898</v>
      </c>
      <c r="M34" s="3460">
        <v>-0.12283969095100283</v>
      </c>
    </row>
    <row r="35" spans="2:13" ht="18" customHeight="1" x14ac:dyDescent="0.2">
      <c r="B35" s="2634" t="s">
        <v>686</v>
      </c>
      <c r="C35" s="2636" t="s">
        <v>686</v>
      </c>
      <c r="D35" s="3461">
        <v>1.6521597667664978E-2</v>
      </c>
      <c r="E35" s="3461">
        <v>0.80710479291264225</v>
      </c>
      <c r="F35" s="3461">
        <v>4.8474106424151606E-2</v>
      </c>
      <c r="G35" s="3668">
        <f t="shared" si="7"/>
        <v>6.0000000000000001E-3</v>
      </c>
      <c r="H35" s="3081">
        <f t="shared" si="8"/>
        <v>1.7489241876137339E-2</v>
      </c>
      <c r="I35" s="3081">
        <f t="shared" si="9"/>
        <v>0.77101909467128971</v>
      </c>
      <c r="J35" s="3194">
        <v>9.9129586005989874E-5</v>
      </c>
      <c r="K35" s="3194">
        <v>1.4115650942638938E-2</v>
      </c>
      <c r="L35" s="3194">
        <v>3.737446165014912E-2</v>
      </c>
      <c r="M35" s="3460">
        <v>-1.1099644774002486E-2</v>
      </c>
    </row>
    <row r="36" spans="2:13" ht="18" customHeight="1" x14ac:dyDescent="0.2">
      <c r="B36" s="2634" t="s">
        <v>688</v>
      </c>
      <c r="C36" s="2636" t="s">
        <v>688</v>
      </c>
      <c r="D36" s="3461">
        <v>0.26398139130386661</v>
      </c>
      <c r="E36" s="3461">
        <v>12.895886369275726</v>
      </c>
      <c r="F36" s="3461">
        <v>0.77451722971703096</v>
      </c>
      <c r="G36" s="3668">
        <f t="shared" si="7"/>
        <v>6.000000000000001E-3</v>
      </c>
      <c r="H36" s="3081">
        <f t="shared" si="8"/>
        <v>1.7489241876137339E-2</v>
      </c>
      <c r="I36" s="3081">
        <f t="shared" si="9"/>
        <v>0.77101909467128982</v>
      </c>
      <c r="J36" s="3194">
        <v>1.5838883478231998E-3</v>
      </c>
      <c r="K36" s="3194">
        <v>0.22553927591944573</v>
      </c>
      <c r="L36" s="3194">
        <v>0.59716757326374059</v>
      </c>
      <c r="M36" s="3460">
        <v>-0.1773496564532904</v>
      </c>
    </row>
    <row r="37" spans="2:13" ht="18" customHeight="1" x14ac:dyDescent="0.2">
      <c r="B37" s="2634" t="s">
        <v>689</v>
      </c>
      <c r="C37" s="2636" t="s">
        <v>689</v>
      </c>
      <c r="D37" s="3461">
        <v>0.28900008304119851</v>
      </c>
      <c r="E37" s="3461">
        <v>14.11808693484962</v>
      </c>
      <c r="F37" s="3461">
        <v>0.84792167584042277</v>
      </c>
      <c r="G37" s="3668">
        <f t="shared" si="7"/>
        <v>6.0000000000000001E-3</v>
      </c>
      <c r="H37" s="3081">
        <f t="shared" si="8"/>
        <v>1.7489241876137342E-2</v>
      </c>
      <c r="I37" s="3081">
        <f t="shared" si="9"/>
        <v>0.77101909467128982</v>
      </c>
      <c r="J37" s="3194">
        <v>1.734000498247191E-3</v>
      </c>
      <c r="K37" s="3194">
        <v>0.24691463723191945</v>
      </c>
      <c r="L37" s="3194">
        <v>0.65376380285864566</v>
      </c>
      <c r="M37" s="3460">
        <v>-0.1941578729817772</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4.4291627695799329</v>
      </c>
      <c r="K51" s="3081">
        <f>IF(SUM(K52:K63)=0,"NO",SUM(K52:K63))</f>
        <v>131.54515642676569</v>
      </c>
      <c r="L51" s="3081">
        <f>IF(SUM(L52:L63)=0,"NO",SUM(L52:L63))</f>
        <v>54.983663451505485</v>
      </c>
      <c r="M51" s="3193">
        <f>IF(SUM(M52:M63)=0,"NO",SUM(M52:M63))</f>
        <v>-19.050860490356847</v>
      </c>
    </row>
    <row r="52" spans="2:13" ht="18" customHeight="1" x14ac:dyDescent="0.2">
      <c r="B52" s="2634" t="s">
        <v>671</v>
      </c>
      <c r="C52" s="2636" t="s">
        <v>671</v>
      </c>
      <c r="D52" s="3461">
        <v>1.1904568554881192</v>
      </c>
      <c r="E52" s="3461">
        <v>7.8586163419594719</v>
      </c>
      <c r="F52" s="3461">
        <v>1.0148374464605987</v>
      </c>
      <c r="G52" s="3081">
        <f>IF(SUM(D52)=0,"NA",J52/D52)</f>
        <v>5.1000000000000004E-2</v>
      </c>
      <c r="H52" s="3081">
        <f>IF(SUM(E52)=0,"NA",K52/E52)</f>
        <v>0.22945153660920425</v>
      </c>
      <c r="I52" s="3081">
        <f>IF(SUM(F52)=0,"NA",L52/F52)</f>
        <v>0.74267599119949745</v>
      </c>
      <c r="J52" s="3194">
        <v>6.071329962989408E-2</v>
      </c>
      <c r="K52" s="3194">
        <v>1.8031715952848046</v>
      </c>
      <c r="L52" s="3194">
        <v>0.75369540645649202</v>
      </c>
      <c r="M52" s="3460">
        <v>-0.26114204000410735</v>
      </c>
    </row>
    <row r="53" spans="2:13" ht="18" customHeight="1" x14ac:dyDescent="0.2">
      <c r="B53" s="2634" t="s">
        <v>672</v>
      </c>
      <c r="C53" s="2636" t="s">
        <v>672</v>
      </c>
      <c r="D53" s="3461">
        <v>4.9477568293883785</v>
      </c>
      <c r="E53" s="3461">
        <v>32.661849521232938</v>
      </c>
      <c r="F53" s="3461">
        <v>4.2178503851663525</v>
      </c>
      <c r="G53" s="3081">
        <f t="shared" ref="G53:G63" si="39">IF(SUM(D53)=0,"NA",J53/D53)</f>
        <v>5.1000000000000004E-2</v>
      </c>
      <c r="H53" s="3081">
        <f t="shared" ref="H53:H63" si="40">IF(SUM(E53)=0,"NA",K53/E53)</f>
        <v>0.22945153660920425</v>
      </c>
      <c r="I53" s="3081">
        <f t="shared" ref="I53:I63" si="41">IF(SUM(F53)=0,"NA",L53/F53)</f>
        <v>0.74267599119949734</v>
      </c>
      <c r="J53" s="3194">
        <v>0.25233559829880731</v>
      </c>
      <c r="K53" s="3194">
        <v>7.4943115611454996</v>
      </c>
      <c r="L53" s="3194">
        <v>3.1324962155346023</v>
      </c>
      <c r="M53" s="3460">
        <v>-1.0853541696317528</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15.972986857610227</v>
      </c>
      <c r="E55" s="3461">
        <v>105.44319600532752</v>
      </c>
      <c r="F55" s="3461">
        <v>13.616608716390092</v>
      </c>
      <c r="G55" s="3081">
        <f t="shared" si="39"/>
        <v>5.0999999999999997E-2</v>
      </c>
      <c r="H55" s="3081">
        <f t="shared" si="40"/>
        <v>0.22945153660920425</v>
      </c>
      <c r="I55" s="3081">
        <f t="shared" si="41"/>
        <v>0.74267599119949679</v>
      </c>
      <c r="J55" s="3194">
        <v>0.81462232973812154</v>
      </c>
      <c r="K55" s="3194">
        <v>24.194103348407907</v>
      </c>
      <c r="L55" s="3194">
        <v>10.112728375220719</v>
      </c>
      <c r="M55" s="3460">
        <v>-3.5038803411693737</v>
      </c>
    </row>
    <row r="56" spans="2:13" ht="18" customHeight="1" x14ac:dyDescent="0.2">
      <c r="B56" s="2634" t="s">
        <v>676</v>
      </c>
      <c r="C56" s="2636" t="s">
        <v>676</v>
      </c>
      <c r="D56" s="3461">
        <v>4.2724287061148544E-2</v>
      </c>
      <c r="E56" s="3461">
        <v>0.28203775630292921</v>
      </c>
      <c r="F56" s="3461">
        <v>3.6421484897247752E-2</v>
      </c>
      <c r="G56" s="3081">
        <f t="shared" si="39"/>
        <v>5.1000000000000004E-2</v>
      </c>
      <c r="H56" s="3081">
        <f t="shared" si="40"/>
        <v>0.22945153660920425</v>
      </c>
      <c r="I56" s="3081">
        <f t="shared" si="41"/>
        <v>0.74267599119949645</v>
      </c>
      <c r="J56" s="3194">
        <v>2.1789386401185758E-3</v>
      </c>
      <c r="K56" s="3194">
        <v>6.4713996565519391E-2</v>
      </c>
      <c r="L56" s="3194">
        <v>2.7049362397020965E-2</v>
      </c>
      <c r="M56" s="3460">
        <v>-9.3721225002267768E-3</v>
      </c>
    </row>
    <row r="57" spans="2:13" ht="18" customHeight="1" x14ac:dyDescent="0.2">
      <c r="B57" s="2634" t="s">
        <v>677</v>
      </c>
      <c r="C57" s="2636" t="s">
        <v>677</v>
      </c>
      <c r="D57" s="3461">
        <v>44.261232857882902</v>
      </c>
      <c r="E57" s="3461">
        <v>292.1836656647348</v>
      </c>
      <c r="F57" s="3461">
        <v>37.731696300975358</v>
      </c>
      <c r="G57" s="3081">
        <f t="shared" si="39"/>
        <v>5.1000000000000004E-2</v>
      </c>
      <c r="H57" s="3081">
        <f t="shared" si="40"/>
        <v>0.22945153660920423</v>
      </c>
      <c r="I57" s="3081">
        <f t="shared" si="41"/>
        <v>0.74267599119949745</v>
      </c>
      <c r="J57" s="3194">
        <v>2.2573228757520281</v>
      </c>
      <c r="K57" s="3194">
        <v>67.041991058883383</v>
      </c>
      <c r="L57" s="3194">
        <v>28.022424949965284</v>
      </c>
      <c r="M57" s="3460">
        <v>-9.7092713510101003</v>
      </c>
    </row>
    <row r="58" spans="2:13" ht="18" customHeight="1" x14ac:dyDescent="0.2">
      <c r="B58" s="2634" t="s">
        <v>679</v>
      </c>
      <c r="C58" s="2636" t="s">
        <v>679</v>
      </c>
      <c r="D58" s="3461">
        <v>14.349172770641045</v>
      </c>
      <c r="E58" s="3461">
        <v>94.723839095137194</v>
      </c>
      <c r="F58" s="3461">
        <v>12.232344067108983</v>
      </c>
      <c r="G58" s="3081">
        <f t="shared" si="39"/>
        <v>5.0999999999999997E-2</v>
      </c>
      <c r="H58" s="3081">
        <f t="shared" si="40"/>
        <v>0.22945153660920423</v>
      </c>
      <c r="I58" s="3081">
        <f t="shared" si="41"/>
        <v>0.74267599119949679</v>
      </c>
      <c r="J58" s="3194">
        <v>0.73180781130269323</v>
      </c>
      <c r="K58" s="3194">
        <v>21.734530433902243</v>
      </c>
      <c r="L58" s="3194">
        <v>9.0846682547334474</v>
      </c>
      <c r="M58" s="3460">
        <v>-3.1476758123755362</v>
      </c>
    </row>
    <row r="59" spans="2:13" ht="18" customHeight="1" x14ac:dyDescent="0.2">
      <c r="B59" s="2634" t="s">
        <v>681</v>
      </c>
      <c r="C59" s="2636" t="s">
        <v>681</v>
      </c>
      <c r="D59" s="3461">
        <v>1.870802102681183</v>
      </c>
      <c r="E59" s="3461">
        <v>12.349809998510453</v>
      </c>
      <c r="F59" s="3461">
        <v>1.5948163261570953</v>
      </c>
      <c r="G59" s="3081">
        <f t="shared" si="39"/>
        <v>5.0999999999999997E-2</v>
      </c>
      <c r="H59" s="3081">
        <f t="shared" si="40"/>
        <v>0.22945153660920425</v>
      </c>
      <c r="I59" s="3081">
        <f t="shared" si="41"/>
        <v>0.74267599119949734</v>
      </c>
      <c r="J59" s="3194">
        <v>9.5410907236740325E-2</v>
      </c>
      <c r="K59" s="3194">
        <v>2.8336828809899379</v>
      </c>
      <c r="L59" s="3194">
        <v>1.1844317958098616</v>
      </c>
      <c r="M59" s="3460">
        <v>-0.41038453034723471</v>
      </c>
    </row>
    <row r="60" spans="2:13" ht="18" customHeight="1" x14ac:dyDescent="0.2">
      <c r="B60" s="2634" t="s">
        <v>683</v>
      </c>
      <c r="C60" s="2636" t="s">
        <v>683</v>
      </c>
      <c r="D60" s="3461">
        <v>1.0234548517337507</v>
      </c>
      <c r="E60" s="3461">
        <v>6.7561785091276931</v>
      </c>
      <c r="F60" s="3461">
        <v>0.87247202913147137</v>
      </c>
      <c r="G60" s="3081">
        <f t="shared" si="39"/>
        <v>5.1000000000000004E-2</v>
      </c>
      <c r="H60" s="3081">
        <f t="shared" si="40"/>
        <v>0.22945153660920423</v>
      </c>
      <c r="I60" s="3081">
        <f t="shared" si="41"/>
        <v>0.74267599119949657</v>
      </c>
      <c r="J60" s="3194">
        <v>5.2196197438421292E-2</v>
      </c>
      <c r="K60" s="3194">
        <v>1.5502155405254316</v>
      </c>
      <c r="L60" s="3194">
        <v>0.64796402902905159</v>
      </c>
      <c r="M60" s="3460">
        <v>-0.2245080001024197</v>
      </c>
    </row>
    <row r="61" spans="2:13" ht="18" customHeight="1" x14ac:dyDescent="0.2">
      <c r="B61" s="2634" t="s">
        <v>686</v>
      </c>
      <c r="C61" s="2636" t="s">
        <v>686</v>
      </c>
      <c r="D61" s="3461">
        <v>9.2478133154903344E-2</v>
      </c>
      <c r="E61" s="3461">
        <v>0.61048005657209681</v>
      </c>
      <c r="F61" s="3461">
        <v>7.8835509301917711E-2</v>
      </c>
      <c r="G61" s="3081">
        <f t="shared" si="39"/>
        <v>5.1000000000000004E-2</v>
      </c>
      <c r="H61" s="3081">
        <f t="shared" si="40"/>
        <v>0.22945153660920423</v>
      </c>
      <c r="I61" s="3081">
        <f t="shared" si="41"/>
        <v>0.74267599119949734</v>
      </c>
      <c r="J61" s="3194">
        <v>4.7163847909000708E-3</v>
      </c>
      <c r="K61" s="3194">
        <v>0.14007558704974155</v>
      </c>
      <c r="L61" s="3194">
        <v>5.8549240012518933E-2</v>
      </c>
      <c r="M61" s="3460">
        <v>-2.028626928939883E-2</v>
      </c>
    </row>
    <row r="62" spans="2:13" ht="18" customHeight="1" x14ac:dyDescent="0.2">
      <c r="B62" s="2634" t="s">
        <v>688</v>
      </c>
      <c r="C62" s="2636" t="s">
        <v>688</v>
      </c>
      <c r="D62" s="3461">
        <v>1.4776117144647716</v>
      </c>
      <c r="E62" s="3461">
        <v>9.7542246179114009</v>
      </c>
      <c r="F62" s="3461">
        <v>1.2596304454501595</v>
      </c>
      <c r="G62" s="3081">
        <f t="shared" si="39"/>
        <v>5.0999999999999997E-2</v>
      </c>
      <c r="H62" s="3081">
        <f t="shared" si="40"/>
        <v>0.2294515366092042</v>
      </c>
      <c r="I62" s="3081">
        <f t="shared" si="41"/>
        <v>0.74267599119949701</v>
      </c>
      <c r="J62" s="3194">
        <v>7.5358197437703348E-2</v>
      </c>
      <c r="K62" s="3194">
        <v>2.2381218270110987</v>
      </c>
      <c r="L62" s="3194">
        <v>0.93549728961976109</v>
      </c>
      <c r="M62" s="3460">
        <v>-0.32413315583039876</v>
      </c>
    </row>
    <row r="63" spans="2:13" ht="18" customHeight="1" x14ac:dyDescent="0.2">
      <c r="B63" s="2634" t="s">
        <v>689</v>
      </c>
      <c r="C63" s="2636" t="s">
        <v>689</v>
      </c>
      <c r="D63" s="3461">
        <v>1.6176515551863895</v>
      </c>
      <c r="E63" s="3461">
        <v>10.678675912174448</v>
      </c>
      <c r="F63" s="3461">
        <v>1.3790112308230185</v>
      </c>
      <c r="G63" s="3081">
        <f t="shared" si="39"/>
        <v>5.0999999999999997E-2</v>
      </c>
      <c r="H63" s="3081">
        <f t="shared" si="40"/>
        <v>0.22945153660920423</v>
      </c>
      <c r="I63" s="3081">
        <f t="shared" si="41"/>
        <v>0.74267599119949668</v>
      </c>
      <c r="J63" s="3194">
        <v>8.250022931450586E-2</v>
      </c>
      <c r="K63" s="3194">
        <v>2.4502385970001228</v>
      </c>
      <c r="L63" s="3194">
        <v>1.0241585327267231</v>
      </c>
      <c r="M63" s="3460">
        <v>-0.35485269809629527</v>
      </c>
    </row>
    <row r="64" spans="2:13" ht="18" customHeight="1" x14ac:dyDescent="0.2">
      <c r="B64" s="104" t="s">
        <v>893</v>
      </c>
      <c r="C64" s="2524"/>
      <c r="D64" s="150"/>
      <c r="E64" s="150"/>
      <c r="F64" s="150"/>
      <c r="G64" s="2135"/>
      <c r="H64" s="2135"/>
      <c r="I64" s="2135"/>
      <c r="J64" s="3081">
        <f>IF(SUM(J65:J76)=0,"NO",SUM(J65:J76))</f>
        <v>0.29369721658182341</v>
      </c>
      <c r="K64" s="3081">
        <f>IF(SUM(K65:K76)=0,"NO",SUM(K65:K76))</f>
        <v>455.59298253065015</v>
      </c>
      <c r="L64" s="3081">
        <f>IF(SUM(L65:L76)=0,"NO",SUM(L65:L76))</f>
        <v>89.766189990633819</v>
      </c>
      <c r="M64" s="3193">
        <f>IF(SUM(M65:M76)=0,"NO",SUM(M65:M76))</f>
        <v>-46.869021453742867</v>
      </c>
    </row>
    <row r="65" spans="2:13" ht="18" customHeight="1" x14ac:dyDescent="0.2">
      <c r="B65" s="2634" t="s">
        <v>671</v>
      </c>
      <c r="C65" s="2636" t="s">
        <v>671</v>
      </c>
      <c r="D65" s="3461">
        <v>1.1502546087920476</v>
      </c>
      <c r="E65" s="3461">
        <v>57.140883147270976</v>
      </c>
      <c r="F65" s="3461">
        <v>2.0724820548637437</v>
      </c>
      <c r="G65" s="3081">
        <f>IF(SUM(D65)=0,"NA",J65/D65)</f>
        <v>3.5000000000000001E-3</v>
      </c>
      <c r="H65" s="3081">
        <f>IF(SUM(E65)=0,"NA",K65/E65)</f>
        <v>0.10929298144465503</v>
      </c>
      <c r="I65" s="3081">
        <f>IF(SUM(F65)=0,"NA",L65/F65)</f>
        <v>0.59372345969299645</v>
      </c>
      <c r="J65" s="3194">
        <v>4.0258911307721667E-3</v>
      </c>
      <c r="K65" s="3194">
        <v>6.245097481545888</v>
      </c>
      <c r="L65" s="3194">
        <v>1.2304812157653524</v>
      </c>
      <c r="M65" s="3460">
        <v>-0.64246294185094976</v>
      </c>
    </row>
    <row r="66" spans="2:13" ht="18" customHeight="1" x14ac:dyDescent="0.2">
      <c r="B66" s="2634" t="s">
        <v>672</v>
      </c>
      <c r="C66" s="2636" t="s">
        <v>672</v>
      </c>
      <c r="D66" s="3461">
        <v>4.7806689255048846</v>
      </c>
      <c r="E66" s="3461">
        <v>237.4879807914339</v>
      </c>
      <c r="F66" s="3461">
        <v>8.6136151793022986</v>
      </c>
      <c r="G66" s="3081">
        <f t="shared" ref="G66:G76" si="42">IF(SUM(D66)=0,"NA",J66/D66)</f>
        <v>3.5000000000000001E-3</v>
      </c>
      <c r="H66" s="3081">
        <f t="shared" ref="H66:H76" si="43">IF(SUM(E66)=0,"NA",K66/E66)</f>
        <v>0.10929298144465503</v>
      </c>
      <c r="I66" s="3081">
        <f t="shared" ref="I66:I76" si="44">IF(SUM(F66)=0,"NA",L66/F66)</f>
        <v>0.59372345969299689</v>
      </c>
      <c r="J66" s="3194">
        <v>1.6732341239267097E-2</v>
      </c>
      <c r="K66" s="3194">
        <v>25.955769477966776</v>
      </c>
      <c r="L66" s="3194">
        <v>5.1141054047194743</v>
      </c>
      <c r="M66" s="3460">
        <v>-2.6701937105218421</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15.43357213194219</v>
      </c>
      <c r="E68" s="3461">
        <v>766.68933555711703</v>
      </c>
      <c r="F68" s="3461">
        <v>27.807583678787079</v>
      </c>
      <c r="G68" s="3081">
        <f t="shared" si="42"/>
        <v>3.5000000000000009E-3</v>
      </c>
      <c r="H68" s="3081">
        <f t="shared" si="43"/>
        <v>0.10929298144465503</v>
      </c>
      <c r="I68" s="3081">
        <f t="shared" si="44"/>
        <v>0.59372345969299622</v>
      </c>
      <c r="J68" s="3194">
        <v>5.4017502461797678E-2</v>
      </c>
      <c r="K68" s="3194">
        <v>83.793763324858887</v>
      </c>
      <c r="L68" s="3194">
        <v>16.51001478747196</v>
      </c>
      <c r="M68" s="3460">
        <v>-8.6202637914828983</v>
      </c>
    </row>
    <row r="69" spans="2:13" ht="18" customHeight="1" x14ac:dyDescent="0.2">
      <c r="B69" s="2634" t="s">
        <v>676</v>
      </c>
      <c r="C69" s="2636" t="s">
        <v>676</v>
      </c>
      <c r="D69" s="3461">
        <v>4.128146927197146E-2</v>
      </c>
      <c r="E69" s="3461">
        <v>2.0507282420668242</v>
      </c>
      <c r="F69" s="3461">
        <v>7.4379275345322474E-2</v>
      </c>
      <c r="G69" s="3081">
        <f t="shared" si="42"/>
        <v>3.4999999999999996E-3</v>
      </c>
      <c r="H69" s="3081">
        <f t="shared" si="43"/>
        <v>0.10929298144465505</v>
      </c>
      <c r="I69" s="3081">
        <f t="shared" si="44"/>
        <v>0.59372345969299622</v>
      </c>
      <c r="J69" s="3194">
        <v>1.444851424519001E-4</v>
      </c>
      <c r="K69" s="3194">
        <v>0.22413020370823949</v>
      </c>
      <c r="L69" s="3194">
        <v>4.4160720687482835E-2</v>
      </c>
      <c r="M69" s="3460">
        <v>-2.305734225247099E-2</v>
      </c>
    </row>
    <row r="70" spans="2:13" ht="18" customHeight="1" x14ac:dyDescent="0.2">
      <c r="B70" s="2634" t="s">
        <v>677</v>
      </c>
      <c r="C70" s="2636" t="s">
        <v>677</v>
      </c>
      <c r="D70" s="3461">
        <v>42.766511739497403</v>
      </c>
      <c r="E70" s="3461">
        <v>2124.5002899743295</v>
      </c>
      <c r="F70" s="3461">
        <v>77.054964571980051</v>
      </c>
      <c r="G70" s="3081">
        <f t="shared" si="42"/>
        <v>3.5000000000000005E-3</v>
      </c>
      <c r="H70" s="3081">
        <f t="shared" si="43"/>
        <v>0.10929298144465505</v>
      </c>
      <c r="I70" s="3081">
        <f t="shared" si="44"/>
        <v>0.59372345969299622</v>
      </c>
      <c r="J70" s="3194">
        <v>0.14968279108824092</v>
      </c>
      <c r="K70" s="3194">
        <v>232.19297077132865</v>
      </c>
      <c r="L70" s="3194">
        <v>45.749340152197249</v>
      </c>
      <c r="M70" s="3460">
        <v>-23.886797527127321</v>
      </c>
    </row>
    <row r="71" spans="2:13" ht="18" customHeight="1" x14ac:dyDescent="0.2">
      <c r="B71" s="2634" t="s">
        <v>679</v>
      </c>
      <c r="C71" s="2636" t="s">
        <v>679</v>
      </c>
      <c r="D71" s="3461">
        <v>13.864594954191466</v>
      </c>
      <c r="E71" s="3461">
        <v>688.74768603941675</v>
      </c>
      <c r="F71" s="3461">
        <v>24.980664298916977</v>
      </c>
      <c r="G71" s="3081">
        <f t="shared" si="42"/>
        <v>3.5000000000000001E-3</v>
      </c>
      <c r="H71" s="3081">
        <f t="shared" si="43"/>
        <v>0.10929298144465505</v>
      </c>
      <c r="I71" s="3081">
        <f t="shared" si="44"/>
        <v>0.59372345969299656</v>
      </c>
      <c r="J71" s="3194">
        <v>4.852608233967013E-2</v>
      </c>
      <c r="K71" s="3194">
        <v>75.275288070355074</v>
      </c>
      <c r="L71" s="3194">
        <v>14.831606432982312</v>
      </c>
      <c r="M71" s="3460">
        <v>-7.7439276432858462</v>
      </c>
    </row>
    <row r="72" spans="2:13" ht="18" customHeight="1" x14ac:dyDescent="0.2">
      <c r="B72" s="2634" t="s">
        <v>681</v>
      </c>
      <c r="C72" s="2636" t="s">
        <v>681</v>
      </c>
      <c r="D72" s="3461">
        <v>1.8076243005585853</v>
      </c>
      <c r="E72" s="3461">
        <v>89.796857272196362</v>
      </c>
      <c r="F72" s="3461">
        <v>3.2569040768960527</v>
      </c>
      <c r="G72" s="3081">
        <f t="shared" si="42"/>
        <v>3.5000000000000005E-3</v>
      </c>
      <c r="H72" s="3081">
        <f t="shared" si="43"/>
        <v>0.10929298144465503</v>
      </c>
      <c r="I72" s="3081">
        <f t="shared" si="44"/>
        <v>0.59372345969299656</v>
      </c>
      <c r="J72" s="3194">
        <v>6.3266850519550491E-3</v>
      </c>
      <c r="K72" s="3194">
        <v>9.8141662556384937</v>
      </c>
      <c r="L72" s="3194">
        <v>1.9337003564229498</v>
      </c>
      <c r="M72" s="3460">
        <v>-1.0096300567034626</v>
      </c>
    </row>
    <row r="73" spans="2:13" ht="18" customHeight="1" x14ac:dyDescent="0.2">
      <c r="B73" s="2634" t="s">
        <v>683</v>
      </c>
      <c r="C73" s="2636" t="s">
        <v>683</v>
      </c>
      <c r="D73" s="3461">
        <v>0.98889233546782429</v>
      </c>
      <c r="E73" s="3461">
        <v>49.124933692323495</v>
      </c>
      <c r="F73" s="3461">
        <v>1.7817460619450396</v>
      </c>
      <c r="G73" s="3081">
        <f t="shared" si="42"/>
        <v>3.5000000000000005E-3</v>
      </c>
      <c r="H73" s="3081">
        <f t="shared" si="43"/>
        <v>0.10929298144465503</v>
      </c>
      <c r="I73" s="3081">
        <f t="shared" si="44"/>
        <v>0.59372345969299667</v>
      </c>
      <c r="J73" s="3194">
        <v>3.4611231741373855E-3</v>
      </c>
      <c r="K73" s="3194">
        <v>5.3690104665050207</v>
      </c>
      <c r="L73" s="3194">
        <v>1.0578644361923812</v>
      </c>
      <c r="M73" s="3460">
        <v>-0.55233569521247994</v>
      </c>
    </row>
    <row r="74" spans="2:13" ht="18" customHeight="1" x14ac:dyDescent="0.2">
      <c r="B74" s="2634" t="s">
        <v>686</v>
      </c>
      <c r="C74" s="2636" t="s">
        <v>686</v>
      </c>
      <c r="D74" s="3461">
        <v>8.9355106305214455E-2</v>
      </c>
      <c r="E74" s="3461">
        <v>4.4388691416417609</v>
      </c>
      <c r="F74" s="3461">
        <v>0.1609964028072664</v>
      </c>
      <c r="G74" s="3081">
        <f t="shared" si="42"/>
        <v>3.5000000000000005E-3</v>
      </c>
      <c r="H74" s="3081">
        <f t="shared" si="43"/>
        <v>0.10929298144465505</v>
      </c>
      <c r="I74" s="3081">
        <f t="shared" si="44"/>
        <v>0.59372345969299678</v>
      </c>
      <c r="J74" s="3194">
        <v>3.1274287206825064E-4</v>
      </c>
      <c r="K74" s="3194">
        <v>0.48513724273270487</v>
      </c>
      <c r="L74" s="3194">
        <v>9.5587341272857507E-2</v>
      </c>
      <c r="M74" s="3460">
        <v>-4.9908380307677608E-2</v>
      </c>
    </row>
    <row r="75" spans="2:13" ht="18" customHeight="1" x14ac:dyDescent="0.2">
      <c r="B75" s="2634" t="s">
        <v>688</v>
      </c>
      <c r="C75" s="2636" t="s">
        <v>688</v>
      </c>
      <c r="D75" s="3461">
        <v>1.4277121230666765</v>
      </c>
      <c r="E75" s="3461">
        <v>70.924064088530827</v>
      </c>
      <c r="F75" s="3461">
        <v>2.5723937395690446</v>
      </c>
      <c r="G75" s="3081">
        <f t="shared" si="42"/>
        <v>3.5000000000000001E-3</v>
      </c>
      <c r="H75" s="3081">
        <f t="shared" si="43"/>
        <v>0.10929298144465503</v>
      </c>
      <c r="I75" s="3081">
        <f t="shared" si="44"/>
        <v>0.593723459692997</v>
      </c>
      <c r="J75" s="3194">
        <v>4.9969924307333678E-3</v>
      </c>
      <c r="K75" s="3194">
        <v>7.7515024204073235</v>
      </c>
      <c r="L75" s="3194">
        <v>1.5272905107495394</v>
      </c>
      <c r="M75" s="3460">
        <v>-0.7974339973868434</v>
      </c>
    </row>
    <row r="76" spans="2:13" ht="18" customHeight="1" x14ac:dyDescent="0.2">
      <c r="B76" s="2634" t="s">
        <v>689</v>
      </c>
      <c r="C76" s="2636" t="s">
        <v>689</v>
      </c>
      <c r="D76" s="3461">
        <v>1.5630227573512745</v>
      </c>
      <c r="E76" s="3461">
        <v>77.645853406427079</v>
      </c>
      <c r="F76" s="3461">
        <v>2.8161909469382507</v>
      </c>
      <c r="G76" s="3081">
        <f t="shared" si="42"/>
        <v>3.5000000000000005E-3</v>
      </c>
      <c r="H76" s="3081">
        <f t="shared" si="43"/>
        <v>0.10929298144465503</v>
      </c>
      <c r="I76" s="3081">
        <f t="shared" si="44"/>
        <v>0.59372345969299745</v>
      </c>
      <c r="J76" s="3194">
        <v>5.4705796507294614E-3</v>
      </c>
      <c r="K76" s="3194">
        <v>8.4861468156030391</v>
      </c>
      <c r="L76" s="3194">
        <v>1.6720386321722769</v>
      </c>
      <c r="M76" s="3460">
        <v>-0.87301036761107886</v>
      </c>
    </row>
    <row r="77" spans="2:13" ht="18" customHeight="1" x14ac:dyDescent="0.2">
      <c r="B77" s="104" t="s">
        <v>894</v>
      </c>
      <c r="C77" s="2524"/>
      <c r="D77" s="150"/>
      <c r="E77" s="150"/>
      <c r="F77" s="150"/>
      <c r="G77" s="2135"/>
      <c r="H77" s="2135"/>
      <c r="I77" s="2135"/>
      <c r="J77" s="3081">
        <f>IF(SUM(J78:J89)=0,"NO",SUM(J78:J89))</f>
        <v>1.0847789213492227</v>
      </c>
      <c r="K77" s="3081">
        <f>IF(SUM(K78:K89)=0,"NO",SUM(K78:K89))</f>
        <v>495.22172740437668</v>
      </c>
      <c r="L77" s="3081">
        <f>IF(SUM(L78:L89)=0,"NO",SUM(L78:L89))</f>
        <v>426.26864680629672</v>
      </c>
      <c r="M77" s="3193">
        <f>IF(SUM(M78:M89)=0,"NO",SUM(M78:M89))</f>
        <v>-143.78553883573693</v>
      </c>
    </row>
    <row r="78" spans="2:13" ht="18" customHeight="1" x14ac:dyDescent="0.2">
      <c r="B78" s="2634" t="s">
        <v>671</v>
      </c>
      <c r="C78" s="2636" t="s">
        <v>671</v>
      </c>
      <c r="D78" s="3461">
        <v>1.5656977356407682</v>
      </c>
      <c r="E78" s="3461">
        <v>164.51445812008473</v>
      </c>
      <c r="F78" s="3461">
        <v>5.6662591125533828</v>
      </c>
      <c r="G78" s="3081">
        <f>IF(SUM(D78)=0,"NA",J78/D78)</f>
        <v>9.497198384479752E-3</v>
      </c>
      <c r="H78" s="3081">
        <f>IF(SUM(E78)=0,"NA",K78/E78)</f>
        <v>4.1262716414667659E-2</v>
      </c>
      <c r="I78" s="3081">
        <f>IF(SUM(F78)=0,"NA",L78/F78)</f>
        <v>0.83897702708429922</v>
      </c>
      <c r="J78" s="3194">
        <v>1.4869742005511109E-2</v>
      </c>
      <c r="K78" s="3194">
        <v>6.7883134315217752</v>
      </c>
      <c r="L78" s="3194">
        <v>4.7538612249393566</v>
      </c>
      <c r="M78" s="3460">
        <v>-0.88168888293556913</v>
      </c>
    </row>
    <row r="79" spans="2:13" ht="18" customHeight="1" x14ac:dyDescent="0.2">
      <c r="B79" s="2634" t="s">
        <v>672</v>
      </c>
      <c r="C79" s="2636" t="s">
        <v>672</v>
      </c>
      <c r="D79" s="3461">
        <v>6.5073266860210408</v>
      </c>
      <c r="E79" s="3461">
        <v>683.75223339196509</v>
      </c>
      <c r="F79" s="3461">
        <v>23.55001115074004</v>
      </c>
      <c r="G79" s="3081">
        <f t="shared" ref="G79:G89" si="45">IF(SUM(D79)=0,"NA",J79/D79)</f>
        <v>9.4971983844797485E-3</v>
      </c>
      <c r="H79" s="3081">
        <f t="shared" ref="H79:H89" si="46">IF(SUM(E79)=0,"NA",K79/E79)</f>
        <v>4.1262716414667666E-2</v>
      </c>
      <c r="I79" s="3081">
        <f t="shared" ref="I79:I89" si="47">IF(SUM(F79)=0,"NA",L79/F79)</f>
        <v>3.7407747192415219</v>
      </c>
      <c r="J79" s="3194">
        <v>6.1801372489760989E-2</v>
      </c>
      <c r="K79" s="3194">
        <v>28.213474504348316</v>
      </c>
      <c r="L79" s="3194">
        <v>88.095286350544285</v>
      </c>
      <c r="M79" s="3460">
        <v>-72.001828564657117</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21.007791453412882</v>
      </c>
      <c r="E81" s="3461">
        <v>2207.3771639220959</v>
      </c>
      <c r="F81" s="3461">
        <v>76.027183949912271</v>
      </c>
      <c r="G81" s="3081">
        <f t="shared" si="45"/>
        <v>9.4971983844797502E-3</v>
      </c>
      <c r="H81" s="3081">
        <f t="shared" si="46"/>
        <v>4.1262716414667666E-2</v>
      </c>
      <c r="I81" s="3081">
        <f t="shared" si="47"/>
        <v>0.83897702708429944</v>
      </c>
      <c r="J81" s="3194">
        <v>0.19951516305284034</v>
      </c>
      <c r="K81" s="3194">
        <v>91.082377935130822</v>
      </c>
      <c r="L81" s="3194">
        <v>63.785060767888567</v>
      </c>
      <c r="M81" s="3460">
        <v>-11.830084286302334</v>
      </c>
    </row>
    <row r="82" spans="2:13" ht="18" customHeight="1" x14ac:dyDescent="0.2">
      <c r="B82" s="2634" t="s">
        <v>676</v>
      </c>
      <c r="C82" s="2636" t="s">
        <v>676</v>
      </c>
      <c r="D82" s="3461">
        <v>5.6191301011978632E-2</v>
      </c>
      <c r="E82" s="3461">
        <v>5.9042567582592653</v>
      </c>
      <c r="F82" s="3461">
        <v>0.2033562827342596</v>
      </c>
      <c r="G82" s="3081">
        <f t="shared" si="45"/>
        <v>9.4971983844797502E-3</v>
      </c>
      <c r="H82" s="3081">
        <f t="shared" si="46"/>
        <v>4.1262716414667652E-2</v>
      </c>
      <c r="I82" s="3081">
        <f t="shared" si="47"/>
        <v>1.5884833859593122</v>
      </c>
      <c r="J82" s="3194">
        <v>5.3365993319277882E-4</v>
      </c>
      <c r="K82" s="3194">
        <v>0.24362567225543702</v>
      </c>
      <c r="L82" s="3194">
        <v>0.32302807655381588</v>
      </c>
      <c r="M82" s="3460">
        <v>-0.18405974525534424</v>
      </c>
    </row>
    <row r="83" spans="2:13" ht="18" customHeight="1" x14ac:dyDescent="0.2">
      <c r="B83" s="2634" t="s">
        <v>677</v>
      </c>
      <c r="C83" s="2636" t="s">
        <v>677</v>
      </c>
      <c r="D83" s="3461">
        <v>58.212703587515811</v>
      </c>
      <c r="E83" s="3461">
        <v>6116.6540440105564</v>
      </c>
      <c r="F83" s="3461">
        <v>210.67173737345848</v>
      </c>
      <c r="G83" s="3081">
        <f t="shared" si="45"/>
        <v>9.497198384479752E-3</v>
      </c>
      <c r="H83" s="3081">
        <f t="shared" si="46"/>
        <v>4.1262716414667652E-2</v>
      </c>
      <c r="I83" s="3081">
        <f t="shared" si="47"/>
        <v>0.86318530515512182</v>
      </c>
      <c r="J83" s="3194">
        <v>0.55285759446755378</v>
      </c>
      <c r="K83" s="3194">
        <v>252.38976122463768</v>
      </c>
      <c r="L83" s="3194">
        <v>181.84874791226844</v>
      </c>
      <c r="M83" s="3460">
        <v>-37.881227455586149</v>
      </c>
    </row>
    <row r="84" spans="2:13" ht="18" customHeight="1" x14ac:dyDescent="0.2">
      <c r="B84" s="2634" t="s">
        <v>679</v>
      </c>
      <c r="C84" s="2636" t="s">
        <v>679</v>
      </c>
      <c r="D84" s="3461">
        <v>18.872139054631258</v>
      </c>
      <c r="E84" s="3461">
        <v>1982.9751678531502</v>
      </c>
      <c r="F84" s="3461">
        <v>68.298259272831871</v>
      </c>
      <c r="G84" s="3081">
        <f t="shared" si="45"/>
        <v>9.4971983844797502E-3</v>
      </c>
      <c r="H84" s="3081">
        <f t="shared" si="46"/>
        <v>4.1262716414667659E-2</v>
      </c>
      <c r="I84" s="3081">
        <f t="shared" si="47"/>
        <v>0.9152776639002862</v>
      </c>
      <c r="J84" s="3194">
        <v>0.1792324485413212</v>
      </c>
      <c r="K84" s="3194">
        <v>81.822942008452543</v>
      </c>
      <c r="L84" s="3194">
        <v>62.511871195693615</v>
      </c>
      <c r="M84" s="3460">
        <v>-15.838638413705917</v>
      </c>
    </row>
    <row r="85" spans="2:13" ht="18" customHeight="1" x14ac:dyDescent="0.2">
      <c r="B85" s="2634" t="s">
        <v>681</v>
      </c>
      <c r="C85" s="2636" t="s">
        <v>681</v>
      </c>
      <c r="D85" s="3461" t="s">
        <v>199</v>
      </c>
      <c r="E85" s="3461">
        <v>240.93739438960884</v>
      </c>
      <c r="F85" s="3461">
        <v>8.7521053429557139</v>
      </c>
      <c r="G85" s="3081" t="str">
        <f t="shared" si="45"/>
        <v>NA</v>
      </c>
      <c r="H85" s="3081">
        <f t="shared" si="46"/>
        <v>4.4276355532700686E-2</v>
      </c>
      <c r="I85" s="3081">
        <f t="shared" si="47"/>
        <v>0.86734246266823989</v>
      </c>
      <c r="J85" s="3194">
        <v>2.3367788997973073E-2</v>
      </c>
      <c r="K85" s="3194">
        <v>10.667829735116845</v>
      </c>
      <c r="L85" s="3194">
        <v>7.591072601691069</v>
      </c>
      <c r="M85" s="3460">
        <v>-1.5059565170813978</v>
      </c>
    </row>
    <row r="86" spans="2:13" ht="18" customHeight="1" x14ac:dyDescent="0.2">
      <c r="B86" s="2634" t="s">
        <v>683</v>
      </c>
      <c r="C86" s="2636" t="s">
        <v>683</v>
      </c>
      <c r="D86" s="3461">
        <v>1.3460554546792511</v>
      </c>
      <c r="E86" s="3461">
        <v>141.4357182010701</v>
      </c>
      <c r="F86" s="3461">
        <v>4.8713738370178277</v>
      </c>
      <c r="G86" s="3081">
        <f t="shared" si="45"/>
        <v>9.4971983844797502E-3</v>
      </c>
      <c r="H86" s="3081">
        <f t="shared" si="46"/>
        <v>4.1262716414667666E-2</v>
      </c>
      <c r="I86" s="3081">
        <f t="shared" si="47"/>
        <v>0.84091741970027645</v>
      </c>
      <c r="J86" s="3194">
        <v>1.278375568959994E-2</v>
      </c>
      <c r="K86" s="3194">
        <v>5.8360219310356056</v>
      </c>
      <c r="L86" s="3194">
        <v>4.0964231174204668</v>
      </c>
      <c r="M86" s="3460">
        <v>-0.76745445139679702</v>
      </c>
    </row>
    <row r="87" spans="2:13" ht="18" customHeight="1" x14ac:dyDescent="0.2">
      <c r="B87" s="2634" t="s">
        <v>686</v>
      </c>
      <c r="C87" s="2636" t="s">
        <v>686</v>
      </c>
      <c r="D87" s="3461">
        <v>0.12162793049526242</v>
      </c>
      <c r="E87" s="3461">
        <v>12.779959134006434</v>
      </c>
      <c r="F87" s="3461">
        <v>0.4401714033441726</v>
      </c>
      <c r="G87" s="3081">
        <f t="shared" si="45"/>
        <v>9.4971983844797502E-3</v>
      </c>
      <c r="H87" s="3081">
        <f t="shared" si="46"/>
        <v>4.1262716414667659E-2</v>
      </c>
      <c r="I87" s="3081">
        <f t="shared" si="47"/>
        <v>1.7519602343168208</v>
      </c>
      <c r="J87" s="3194">
        <v>1.1551245850072217E-3</v>
      </c>
      <c r="K87" s="3194">
        <v>0.52733582953754921</v>
      </c>
      <c r="L87" s="3194">
        <v>0.77116279494242046</v>
      </c>
      <c r="M87" s="3460">
        <v>-0.47036124317536121</v>
      </c>
    </row>
    <row r="88" spans="2:13" ht="18" customHeight="1" x14ac:dyDescent="0.2">
      <c r="B88" s="2634" t="s">
        <v>688</v>
      </c>
      <c r="C88" s="2636" t="s">
        <v>688</v>
      </c>
      <c r="D88" s="3461" t="s">
        <v>199</v>
      </c>
      <c r="E88" s="3461">
        <v>190.29907861044097</v>
      </c>
      <c r="F88" s="3461">
        <v>6.9126570696317788</v>
      </c>
      <c r="G88" s="3081" t="str">
        <f t="shared" si="45"/>
        <v>NA</v>
      </c>
      <c r="H88" s="3081">
        <f t="shared" si="46"/>
        <v>4.4276355532700699E-2</v>
      </c>
      <c r="I88" s="3081">
        <f t="shared" si="47"/>
        <v>0.87265306881055604</v>
      </c>
      <c r="J88" s="3194">
        <v>1.8456531941599102E-2</v>
      </c>
      <c r="K88" s="3194">
        <v>8.4257496621012429</v>
      </c>
      <c r="L88" s="3194">
        <v>6.0323514054491572</v>
      </c>
      <c r="M88" s="3460">
        <v>-1.2261568872737898</v>
      </c>
    </row>
    <row r="89" spans="2:13" ht="18" customHeight="1" x14ac:dyDescent="0.2">
      <c r="B89" s="2634" t="s">
        <v>689</v>
      </c>
      <c r="C89" s="2636" t="s">
        <v>689</v>
      </c>
      <c r="D89" s="3461" t="s">
        <v>199</v>
      </c>
      <c r="E89" s="3461">
        <v>208.33456952946767</v>
      </c>
      <c r="F89" s="3461">
        <v>7.5678003562732581</v>
      </c>
      <c r="G89" s="3081" t="str">
        <f t="shared" si="45"/>
        <v>NA</v>
      </c>
      <c r="H89" s="3081">
        <f t="shared" si="46"/>
        <v>4.4276355532700692E-2</v>
      </c>
      <c r="I89" s="3081">
        <f t="shared" si="47"/>
        <v>0.85358770776117676</v>
      </c>
      <c r="J89" s="3194">
        <v>2.0205739644863163E-2</v>
      </c>
      <c r="K89" s="3194">
        <v>9.2242954702388626</v>
      </c>
      <c r="L89" s="3194">
        <v>6.4597813589055075</v>
      </c>
      <c r="M89" s="3460">
        <v>-1.1980823883671676</v>
      </c>
    </row>
    <row r="90" spans="2:13" ht="18" customHeight="1" x14ac:dyDescent="0.2">
      <c r="B90" s="88" t="s">
        <v>657</v>
      </c>
      <c r="C90" s="2524" t="s">
        <v>895</v>
      </c>
      <c r="D90" s="150"/>
      <c r="E90" s="150"/>
      <c r="F90" s="150"/>
      <c r="G90" s="2135"/>
      <c r="H90" s="2135"/>
      <c r="I90" s="2135"/>
      <c r="J90" s="3081">
        <f>IF(SUM(J91,J104)=0,"NO",SUM(J91,J104))</f>
        <v>21.903424959821788</v>
      </c>
      <c r="K90" s="3081">
        <f t="shared" ref="K90:M90" si="48">IF(SUM(K91,K104)=0,"NO",SUM(K91,K104))</f>
        <v>3.5321574718493007</v>
      </c>
      <c r="L90" s="3081">
        <f t="shared" si="48"/>
        <v>2.6321155592042471</v>
      </c>
      <c r="M90" s="3193" t="str">
        <f t="shared" si="48"/>
        <v>NO</v>
      </c>
    </row>
    <row r="91" spans="2:13" ht="18" customHeight="1" x14ac:dyDescent="0.2">
      <c r="B91" s="104" t="s">
        <v>896</v>
      </c>
      <c r="C91" s="2524"/>
      <c r="D91" s="150"/>
      <c r="E91" s="150"/>
      <c r="F91" s="150"/>
      <c r="G91" s="2135"/>
      <c r="H91" s="2135"/>
      <c r="I91" s="2135"/>
      <c r="J91" s="3081">
        <f>IF(SUM(J92:J103)=0,"NO",SUM(J92:J103))</f>
        <v>21.903424959821788</v>
      </c>
      <c r="K91" s="3081">
        <f>IF(SUM(K92:K103)=0,"NO",SUM(K92:K103))</f>
        <v>3.5321574718493007</v>
      </c>
      <c r="L91" s="3081">
        <f>IF(SUM(L92:L103)=0,"NO",SUM(L92:L103))</f>
        <v>2.6321155592042471</v>
      </c>
      <c r="M91" s="3193" t="str">
        <f>IF(SUM(M92:M103)=0,"NO",SUM(M92:M103))</f>
        <v>NO</v>
      </c>
    </row>
    <row r="92" spans="2:13" ht="18" customHeight="1" x14ac:dyDescent="0.2">
      <c r="B92" s="2634" t="s">
        <v>671</v>
      </c>
      <c r="C92" s="2636" t="s">
        <v>671</v>
      </c>
      <c r="D92" s="3461">
        <v>0.50040653719027939</v>
      </c>
      <c r="E92" s="3461">
        <v>2.0291508716198092</v>
      </c>
      <c r="F92" s="3461">
        <v>3.6080051449910687E-2</v>
      </c>
      <c r="G92" s="3081">
        <f>IF(SUM(D92)=0,"NA",J92/D92)</f>
        <v>0.59999999999999987</v>
      </c>
      <c r="H92" s="3081">
        <f>IF(SUM(E92)=0,"NA",K92/E92)</f>
        <v>2.3860960072225618E-2</v>
      </c>
      <c r="I92" s="3081">
        <f>IF(SUM(F92)=0,"NA",L92/F92)</f>
        <v>1.0000000000000056</v>
      </c>
      <c r="J92" s="3194">
        <v>0.30024392231416758</v>
      </c>
      <c r="K92" s="3194">
        <v>4.8417487928242083E-2</v>
      </c>
      <c r="L92" s="3194">
        <v>3.6080051449910888E-2</v>
      </c>
      <c r="M92" s="3460" t="s">
        <v>199</v>
      </c>
    </row>
    <row r="93" spans="2:13" ht="18" customHeight="1" x14ac:dyDescent="0.2">
      <c r="B93" s="2634" t="s">
        <v>672</v>
      </c>
      <c r="C93" s="2636" t="s">
        <v>672</v>
      </c>
      <c r="D93" s="3461">
        <v>2.0797812624957444</v>
      </c>
      <c r="E93" s="3461">
        <v>8.4335228417830628</v>
      </c>
      <c r="F93" s="3461">
        <v>0.14995530509401248</v>
      </c>
      <c r="G93" s="3081">
        <f t="shared" ref="G93:G103" si="49">IF(SUM(D93)=0,"NA",J93/D93)</f>
        <v>0.59999999999999987</v>
      </c>
      <c r="H93" s="3081">
        <f t="shared" ref="H93:H103" si="50">IF(SUM(E93)=0,"NA",K93/E93)</f>
        <v>2.3860960072225622E-2</v>
      </c>
      <c r="I93" s="3081">
        <f t="shared" ref="I93:I103" si="51">IF(SUM(F93)=0,"NA",L93/F93)</f>
        <v>1.0000000000000036</v>
      </c>
      <c r="J93" s="3194">
        <v>1.2478687574974463</v>
      </c>
      <c r="K93" s="3194">
        <v>0.20123195179598843</v>
      </c>
      <c r="L93" s="3194">
        <v>0.149955305094013</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6.7142181635177671</v>
      </c>
      <c r="E95" s="3461">
        <v>27.22618636288329</v>
      </c>
      <c r="F95" s="3461">
        <v>0.48410506014938542</v>
      </c>
      <c r="G95" s="3081">
        <f t="shared" si="49"/>
        <v>0.59999999999999987</v>
      </c>
      <c r="H95" s="3081">
        <f t="shared" si="50"/>
        <v>2.3860960072225618E-2</v>
      </c>
      <c r="I95" s="3081">
        <f t="shared" si="51"/>
        <v>1.000000000000002</v>
      </c>
      <c r="J95" s="3194">
        <v>4.0285308981106596</v>
      </c>
      <c r="K95" s="3194">
        <v>0.64964294572373182</v>
      </c>
      <c r="L95" s="3194">
        <v>0.48410506014938637</v>
      </c>
      <c r="M95" s="3460" t="s">
        <v>199</v>
      </c>
    </row>
    <row r="96" spans="2:13" ht="18" customHeight="1" x14ac:dyDescent="0.2">
      <c r="B96" s="2634" t="s">
        <v>676</v>
      </c>
      <c r="C96" s="2636" t="s">
        <v>676</v>
      </c>
      <c r="D96" s="3461">
        <v>1.79590822158999E-2</v>
      </c>
      <c r="E96" s="3461">
        <v>7.2824163202384717E-2</v>
      </c>
      <c r="F96" s="3461">
        <v>1.2948763898670975E-3</v>
      </c>
      <c r="G96" s="3081">
        <f t="shared" si="49"/>
        <v>0.6</v>
      </c>
      <c r="H96" s="3081">
        <f t="shared" si="50"/>
        <v>2.3860960072225622E-2</v>
      </c>
      <c r="I96" s="3081">
        <f t="shared" si="51"/>
        <v>1.0000000000000038</v>
      </c>
      <c r="J96" s="3194">
        <v>1.077544932953994E-2</v>
      </c>
      <c r="K96" s="3194">
        <v>1.737654450465344E-3</v>
      </c>
      <c r="L96" s="3194">
        <v>1.2948763898671025E-3</v>
      </c>
      <c r="M96" s="3460" t="s">
        <v>199</v>
      </c>
    </row>
    <row r="97" spans="2:13" ht="18" customHeight="1" x14ac:dyDescent="0.2">
      <c r="B97" s="2634" t="s">
        <v>677</v>
      </c>
      <c r="C97" s="2636" t="s">
        <v>677</v>
      </c>
      <c r="D97" s="3461">
        <v>18.605134796845931</v>
      </c>
      <c r="E97" s="3461">
        <v>75.443909469289252</v>
      </c>
      <c r="F97" s="3461">
        <v>1.3414577364873095</v>
      </c>
      <c r="G97" s="3081">
        <f t="shared" si="49"/>
        <v>0.6</v>
      </c>
      <c r="H97" s="3081">
        <f t="shared" si="50"/>
        <v>2.3860960072225625E-2</v>
      </c>
      <c r="I97" s="3081">
        <f t="shared" si="51"/>
        <v>1.000000000000006</v>
      </c>
      <c r="J97" s="3194">
        <v>11.163080878107557</v>
      </c>
      <c r="K97" s="3194">
        <v>1.8001641115393157</v>
      </c>
      <c r="L97" s="3194">
        <v>1.3414577364873175</v>
      </c>
      <c r="M97" s="3460" t="s">
        <v>199</v>
      </c>
    </row>
    <row r="98" spans="2:13" ht="18" customHeight="1" x14ac:dyDescent="0.2">
      <c r="B98" s="2634" t="s">
        <v>679</v>
      </c>
      <c r="C98" s="2636" t="s">
        <v>679</v>
      </c>
      <c r="D98" s="3461">
        <v>6.0316506428596002</v>
      </c>
      <c r="E98" s="3461">
        <v>24.458371842993763</v>
      </c>
      <c r="F98" s="3461">
        <v>0.43489093236907583</v>
      </c>
      <c r="G98" s="3081">
        <f t="shared" si="49"/>
        <v>0.6</v>
      </c>
      <c r="H98" s="3081">
        <f t="shared" si="50"/>
        <v>2.3860960072225618E-2</v>
      </c>
      <c r="I98" s="3081">
        <f t="shared" si="51"/>
        <v>1.0000000000000033</v>
      </c>
      <c r="J98" s="3194">
        <v>3.6189903857157599</v>
      </c>
      <c r="K98" s="3194">
        <v>0.58360023397732153</v>
      </c>
      <c r="L98" s="3194">
        <v>0.43489093236907728</v>
      </c>
      <c r="M98" s="3460" t="s">
        <v>199</v>
      </c>
    </row>
    <row r="99" spans="2:13" ht="18" customHeight="1" x14ac:dyDescent="0.2">
      <c r="B99" s="2634" t="s">
        <v>681</v>
      </c>
      <c r="C99" s="2636" t="s">
        <v>681</v>
      </c>
      <c r="D99" s="3461">
        <v>0.78638851769821838</v>
      </c>
      <c r="E99" s="3461">
        <v>3.1888091532113325</v>
      </c>
      <c r="F99" s="3461">
        <v>5.6699775221725222E-2</v>
      </c>
      <c r="G99" s="3081">
        <f t="shared" si="49"/>
        <v>0.6</v>
      </c>
      <c r="H99" s="3081">
        <f t="shared" si="50"/>
        <v>2.3860960072225618E-2</v>
      </c>
      <c r="I99" s="3081">
        <f t="shared" si="51"/>
        <v>1.0000000000000016</v>
      </c>
      <c r="J99" s="3194">
        <v>0.47183311061893102</v>
      </c>
      <c r="K99" s="3194">
        <v>7.6088047882723192E-2</v>
      </c>
      <c r="L99" s="3194">
        <v>5.6699775221725313E-2</v>
      </c>
      <c r="M99" s="3460" t="s">
        <v>199</v>
      </c>
    </row>
    <row r="100" spans="2:13" ht="18" customHeight="1" x14ac:dyDescent="0.2">
      <c r="B100" s="2634" t="s">
        <v>683</v>
      </c>
      <c r="C100" s="2636" t="s">
        <v>683</v>
      </c>
      <c r="D100" s="3461">
        <v>0.43020752576260679</v>
      </c>
      <c r="E100" s="3461">
        <v>1.7444935487456554</v>
      </c>
      <c r="F100" s="3461">
        <v>3.1018598899221476E-2</v>
      </c>
      <c r="G100" s="3081">
        <f t="shared" si="49"/>
        <v>0.60000000000000009</v>
      </c>
      <c r="H100" s="3081">
        <f t="shared" si="50"/>
        <v>2.3860960072225622E-2</v>
      </c>
      <c r="I100" s="3081">
        <f t="shared" si="51"/>
        <v>1.0000000000000073</v>
      </c>
      <c r="J100" s="3194">
        <v>0.2581245154575641</v>
      </c>
      <c r="K100" s="3194">
        <v>4.1625290912875264E-2</v>
      </c>
      <c r="L100" s="3194">
        <v>3.1018598899221705E-2</v>
      </c>
      <c r="M100" s="3460" t="s">
        <v>199</v>
      </c>
    </row>
    <row r="101" spans="2:13" ht="18" customHeight="1" x14ac:dyDescent="0.2">
      <c r="B101" s="2634" t="s">
        <v>686</v>
      </c>
      <c r="C101" s="2636" t="s">
        <v>686</v>
      </c>
      <c r="D101" s="3461">
        <v>3.8873027749411447E-2</v>
      </c>
      <c r="E101" s="3461">
        <v>0.15763031111287315</v>
      </c>
      <c r="F101" s="3461">
        <v>2.8028027952785419E-3</v>
      </c>
      <c r="G101" s="3081">
        <f t="shared" si="49"/>
        <v>0.59999999999999987</v>
      </c>
      <c r="H101" s="3081">
        <f t="shared" si="50"/>
        <v>2.3860960072225625E-2</v>
      </c>
      <c r="I101" s="3081">
        <f t="shared" si="51"/>
        <v>1.0000000000000047</v>
      </c>
      <c r="J101" s="3194">
        <v>2.3323816649646865E-2</v>
      </c>
      <c r="K101" s="3194">
        <v>3.7612105596367693E-3</v>
      </c>
      <c r="L101" s="3194">
        <v>2.8028027952785549E-3</v>
      </c>
      <c r="M101" s="3460" t="s">
        <v>199</v>
      </c>
    </row>
    <row r="102" spans="2:13" ht="18" customHeight="1" x14ac:dyDescent="0.2">
      <c r="B102" s="2634" t="s">
        <v>688</v>
      </c>
      <c r="C102" s="2636" t="s">
        <v>688</v>
      </c>
      <c r="D102" s="3461">
        <v>0.62111159924727521</v>
      </c>
      <c r="E102" s="3461">
        <v>2.5186104683251624</v>
      </c>
      <c r="F102" s="3461">
        <v>4.4783064951161307E-2</v>
      </c>
      <c r="G102" s="3081">
        <f t="shared" si="49"/>
        <v>0.6</v>
      </c>
      <c r="H102" s="3081">
        <f t="shared" si="50"/>
        <v>2.3860960072225618E-2</v>
      </c>
      <c r="I102" s="3081">
        <f t="shared" si="51"/>
        <v>1.0000000000000036</v>
      </c>
      <c r="J102" s="3194">
        <v>0.3726669595483651</v>
      </c>
      <c r="K102" s="3194">
        <v>6.0096463822196168E-2</v>
      </c>
      <c r="L102" s="3194">
        <v>4.4783064951161466E-2</v>
      </c>
      <c r="M102" s="3460" t="s">
        <v>199</v>
      </c>
    </row>
    <row r="103" spans="2:13" ht="18" customHeight="1" x14ac:dyDescent="0.2">
      <c r="B103" s="2634" t="s">
        <v>689</v>
      </c>
      <c r="C103" s="2636" t="s">
        <v>689</v>
      </c>
      <c r="D103" s="3461">
        <v>0.67997711078691836</v>
      </c>
      <c r="E103" s="3461">
        <v>2.7573103956276572</v>
      </c>
      <c r="F103" s="3461">
        <v>4.9027355397287177E-2</v>
      </c>
      <c r="G103" s="3081">
        <f t="shared" si="49"/>
        <v>0.6</v>
      </c>
      <c r="H103" s="3081">
        <f t="shared" si="50"/>
        <v>2.3860960072225618E-2</v>
      </c>
      <c r="I103" s="3081">
        <f t="shared" si="51"/>
        <v>1.0000000000000049</v>
      </c>
      <c r="J103" s="3194">
        <v>0.40798626647215097</v>
      </c>
      <c r="K103" s="3194">
        <v>6.5792073256804154E-2</v>
      </c>
      <c r="L103" s="3194">
        <v>4.902735539728742E-2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0.13250400359130413</v>
      </c>
      <c r="K117" s="3081">
        <f>IF(SUM(K118:K129)=0,"NO",SUM(K118:K129))</f>
        <v>17.61325179993274</v>
      </c>
      <c r="L117" s="3081">
        <f>IF(SUM(L118:L129)=0,"NO",SUM(L118:L129))</f>
        <v>17.605211066154947</v>
      </c>
      <c r="M117" s="3193">
        <f>IF(SUM(M118:M129)=0,"NO",SUM(M118:M129))</f>
        <v>-14.814023919115193</v>
      </c>
    </row>
    <row r="118" spans="2:13" ht="18" customHeight="1" x14ac:dyDescent="0.2">
      <c r="B118" s="2634" t="s">
        <v>671</v>
      </c>
      <c r="C118" s="2636" t="s">
        <v>671</v>
      </c>
      <c r="D118" s="3461">
        <v>0.4874052804300476</v>
      </c>
      <c r="E118" s="3461">
        <v>4.7972941181367794</v>
      </c>
      <c r="F118" s="3461">
        <v>0.44439069635260292</v>
      </c>
      <c r="G118" s="4443">
        <f>IF(SUM(D118)=0,"NA",J118/D118)</f>
        <v>3.7264986347008261E-3</v>
      </c>
      <c r="H118" s="3081">
        <f>IF(SUM(E118)=0,"NA",K118/E118)</f>
        <v>5.0327504235346002E-2</v>
      </c>
      <c r="I118" s="3081">
        <f>IF(SUM(F118)=0,"NA",L118/F118)</f>
        <v>0.54304831912764095</v>
      </c>
      <c r="J118" s="3194">
        <v>1.8163151120685456E-3</v>
      </c>
      <c r="K118" s="3194">
        <v>0.24143584004872923</v>
      </c>
      <c r="L118" s="3194">
        <v>0.24132562069024291</v>
      </c>
      <c r="M118" s="3460">
        <v>-0.20306507566236032</v>
      </c>
    </row>
    <row r="119" spans="2:13" ht="18" customHeight="1" x14ac:dyDescent="0.2">
      <c r="B119" s="2634" t="s">
        <v>672</v>
      </c>
      <c r="C119" s="2636" t="s">
        <v>672</v>
      </c>
      <c r="D119" s="3461">
        <v>2.025745657064506</v>
      </c>
      <c r="E119" s="3461">
        <v>19.938433405773129</v>
      </c>
      <c r="F119" s="3461">
        <v>1.8469691636944769</v>
      </c>
      <c r="G119" s="4443">
        <f t="shared" ref="G119:G129" si="77">IF(SUM(D119)=0,"NA",J119/D119)</f>
        <v>3.7264986347008261E-3</v>
      </c>
      <c r="H119" s="3081">
        <f t="shared" ref="H119:H129" si="78">IF(SUM(E119)=0,"NA",K119/E119)</f>
        <v>5.0327504235346002E-2</v>
      </c>
      <c r="I119" s="3081">
        <f t="shared" ref="I119:I129" si="79">IF(SUM(F119)=0,"NA",L119/F119)</f>
        <v>0.54304831912764073</v>
      </c>
      <c r="J119" s="3194">
        <v>7.5489384253020096E-3</v>
      </c>
      <c r="K119" s="3194">
        <v>1.0034515916752114</v>
      </c>
      <c r="L119" s="3194">
        <v>1.00299349982487</v>
      </c>
      <c r="M119" s="3460">
        <v>-0.84397566386960754</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6.5397734514677461</v>
      </c>
      <c r="E121" s="3461">
        <v>64.367822779827208</v>
      </c>
      <c r="F121" s="3461">
        <v>5.9626241133904117</v>
      </c>
      <c r="G121" s="4443">
        <f t="shared" si="77"/>
        <v>3.7264986347008261E-3</v>
      </c>
      <c r="H121" s="3081">
        <f t="shared" si="78"/>
        <v>5.0327504235346009E-2</v>
      </c>
      <c r="I121" s="3081">
        <f t="shared" si="79"/>
        <v>0.54304831912764073</v>
      </c>
      <c r="J121" s="3194">
        <v>2.4370456838147266E-2</v>
      </c>
      <c r="K121" s="3194">
        <v>3.2394718735717549</v>
      </c>
      <c r="L121" s="3194">
        <v>3.2379930023666024</v>
      </c>
      <c r="M121" s="3460">
        <v>-2.7246311110238115</v>
      </c>
    </row>
    <row r="122" spans="2:13" ht="18" customHeight="1" x14ac:dyDescent="0.2">
      <c r="B122" s="2634" t="s">
        <v>676</v>
      </c>
      <c r="C122" s="2636" t="s">
        <v>676</v>
      </c>
      <c r="D122" s="3461">
        <v>1.7492480319813476E-2</v>
      </c>
      <c r="E122" s="3461">
        <v>0.1721700119371363</v>
      </c>
      <c r="F122" s="3461">
        <v>1.5948730599302085E-2</v>
      </c>
      <c r="G122" s="4443">
        <f t="shared" si="77"/>
        <v>3.7264986347008261E-3</v>
      </c>
      <c r="H122" s="3081">
        <f t="shared" si="78"/>
        <v>5.0327504235346002E-2</v>
      </c>
      <c r="I122" s="3081">
        <f t="shared" si="79"/>
        <v>0.54304831912764095</v>
      </c>
      <c r="J122" s="3194">
        <v>6.5185704029315986E-5</v>
      </c>
      <c r="K122" s="3194">
        <v>8.6648870049657982E-3</v>
      </c>
      <c r="L122" s="3194">
        <v>8.6609313441705707E-3</v>
      </c>
      <c r="M122" s="3460">
        <v>-7.2877992551315237E-3</v>
      </c>
    </row>
    <row r="123" spans="2:13" ht="18" customHeight="1" x14ac:dyDescent="0.2">
      <c r="B123" s="2634" t="s">
        <v>677</v>
      </c>
      <c r="C123" s="2636" t="s">
        <v>677</v>
      </c>
      <c r="D123" s="3461">
        <v>18.121747557521083</v>
      </c>
      <c r="E123" s="3461">
        <v>178.36358459504299</v>
      </c>
      <c r="F123" s="3461">
        <v>16.522463624332158</v>
      </c>
      <c r="G123" s="4443">
        <f t="shared" si="77"/>
        <v>3.7264986347008257E-3</v>
      </c>
      <c r="H123" s="3081">
        <f t="shared" si="78"/>
        <v>5.0327504235345995E-2</v>
      </c>
      <c r="I123" s="3081">
        <f t="shared" si="79"/>
        <v>0.54304831912764073</v>
      </c>
      <c r="J123" s="3194">
        <v>6.7530667531495336E-2</v>
      </c>
      <c r="K123" s="3194">
        <v>8.9765940591385203</v>
      </c>
      <c r="L123" s="3194">
        <v>8.972496099041166</v>
      </c>
      <c r="M123" s="3460">
        <v>-7.5499675252909988</v>
      </c>
    </row>
    <row r="124" spans="2:13" ht="18" customHeight="1" x14ac:dyDescent="0.2">
      <c r="B124" s="2634" t="s">
        <v>679</v>
      </c>
      <c r="C124" s="2636" t="s">
        <v>679</v>
      </c>
      <c r="D124" s="3461">
        <v>5.8749399828907123</v>
      </c>
      <c r="E124" s="3461">
        <v>57.824188936691563</v>
      </c>
      <c r="F124" s="3461">
        <v>5.3564636553034841</v>
      </c>
      <c r="G124" s="4443">
        <f t="shared" si="77"/>
        <v>3.7264986347008257E-3</v>
      </c>
      <c r="H124" s="3081">
        <f t="shared" si="78"/>
        <v>5.0327504235345995E-2</v>
      </c>
      <c r="I124" s="3081">
        <f t="shared" si="79"/>
        <v>0.54304831912764084</v>
      </c>
      <c r="J124" s="3194">
        <v>2.1892955825191532E-2</v>
      </c>
      <c r="K124" s="3194">
        <v>2.9101471136167918</v>
      </c>
      <c r="L124" s="3194">
        <v>2.9088185844808558</v>
      </c>
      <c r="M124" s="3460">
        <v>-2.4476450708226309</v>
      </c>
    </row>
    <row r="125" spans="2:13" ht="18" customHeight="1" x14ac:dyDescent="0.2">
      <c r="B125" s="2634" t="s">
        <v>681</v>
      </c>
      <c r="C125" s="2636" t="s">
        <v>681</v>
      </c>
      <c r="D125" s="3461">
        <v>0.76595705193580199</v>
      </c>
      <c r="E125" s="3461">
        <v>7.5389442985822921</v>
      </c>
      <c r="F125" s="3461">
        <v>0.69835966361630297</v>
      </c>
      <c r="G125" s="4443">
        <f t="shared" si="77"/>
        <v>3.7264986347008253E-3</v>
      </c>
      <c r="H125" s="3081">
        <f t="shared" si="78"/>
        <v>5.0327504235346002E-2</v>
      </c>
      <c r="I125" s="3081">
        <f t="shared" si="79"/>
        <v>0.54304831912764073</v>
      </c>
      <c r="J125" s="3194">
        <v>2.8543379082782354E-3</v>
      </c>
      <c r="K125" s="3194">
        <v>0.37941625111693789</v>
      </c>
      <c r="L125" s="3194">
        <v>0.37924304147337795</v>
      </c>
      <c r="M125" s="3460">
        <v>-0.3191166221429253</v>
      </c>
    </row>
    <row r="126" spans="2:13" ht="18" customHeight="1" x14ac:dyDescent="0.2">
      <c r="B126" s="2634" t="s">
        <v>683</v>
      </c>
      <c r="C126" s="2636" t="s">
        <v>683</v>
      </c>
      <c r="D126" s="3461">
        <v>0.41903013680596168</v>
      </c>
      <c r="E126" s="3461">
        <v>4.1243106944751204</v>
      </c>
      <c r="F126" s="3461">
        <v>0.38204980898776519</v>
      </c>
      <c r="G126" s="4443">
        <f t="shared" si="77"/>
        <v>3.7264986347008261E-3</v>
      </c>
      <c r="H126" s="3081">
        <f t="shared" si="78"/>
        <v>5.0327504235346002E-2</v>
      </c>
      <c r="I126" s="3081">
        <f t="shared" si="79"/>
        <v>0.54304831912764062</v>
      </c>
      <c r="J126" s="3194">
        <v>1.5615152327059167E-3</v>
      </c>
      <c r="K126" s="3194">
        <v>0.20756626394407943</v>
      </c>
      <c r="L126" s="3194">
        <v>0.20747150659384206</v>
      </c>
      <c r="M126" s="3460">
        <v>-0.17457830239392322</v>
      </c>
    </row>
    <row r="127" spans="2:13" ht="18" customHeight="1" x14ac:dyDescent="0.2">
      <c r="B127" s="2634" t="s">
        <v>686</v>
      </c>
      <c r="C127" s="2636" t="s">
        <v>686</v>
      </c>
      <c r="D127" s="3461">
        <v>3.7863052504772433E-2</v>
      </c>
      <c r="E127" s="3461">
        <v>0.3726676882030987</v>
      </c>
      <c r="F127" s="3461">
        <v>3.4521555149720738E-2</v>
      </c>
      <c r="G127" s="4443">
        <f t="shared" si="77"/>
        <v>3.7264986347008261E-3</v>
      </c>
      <c r="H127" s="3081">
        <f t="shared" si="78"/>
        <v>5.0327504235345995E-2</v>
      </c>
      <c r="I127" s="3081">
        <f t="shared" si="79"/>
        <v>0.54304831912764073</v>
      </c>
      <c r="J127" s="3194">
        <v>1.4109661346464018E-4</v>
      </c>
      <c r="K127" s="3194">
        <v>1.875543465641805E-2</v>
      </c>
      <c r="L127" s="3194">
        <v>1.8746872497727995E-2</v>
      </c>
      <c r="M127" s="3460">
        <v>-1.5774682651992753E-2</v>
      </c>
    </row>
    <row r="128" spans="2:13" ht="18" customHeight="1" x14ac:dyDescent="0.2">
      <c r="B128" s="2634" t="s">
        <v>688</v>
      </c>
      <c r="C128" s="2636" t="s">
        <v>688</v>
      </c>
      <c r="D128" s="3461">
        <v>0.60497425734939869</v>
      </c>
      <c r="E128" s="3461">
        <v>5.9544686176680974</v>
      </c>
      <c r="F128" s="3461">
        <v>0.55158395342309541</v>
      </c>
      <c r="G128" s="4443">
        <f t="shared" si="77"/>
        <v>3.7264986347008257E-3</v>
      </c>
      <c r="H128" s="3081">
        <f t="shared" si="78"/>
        <v>5.0327504235346002E-2</v>
      </c>
      <c r="I128" s="3081">
        <f t="shared" si="79"/>
        <v>0.54304831912764073</v>
      </c>
      <c r="J128" s="3194">
        <v>2.2544357440416802E-3</v>
      </c>
      <c r="K128" s="3194">
        <v>0.29967354457492601</v>
      </c>
      <c r="L128" s="3194">
        <v>0.29953673876419085</v>
      </c>
      <c r="M128" s="3460">
        <v>-0.25204721465890473</v>
      </c>
    </row>
    <row r="129" spans="2:13" ht="18" customHeight="1" x14ac:dyDescent="0.2">
      <c r="B129" s="2634" t="s">
        <v>689</v>
      </c>
      <c r="C129" s="2636" t="s">
        <v>689</v>
      </c>
      <c r="D129" s="3461">
        <v>0.66231036115159203</v>
      </c>
      <c r="E129" s="3461">
        <v>6.5188001187229334</v>
      </c>
      <c r="F129" s="3461">
        <v>0.60386002042081155</v>
      </c>
      <c r="G129" s="4443">
        <f t="shared" si="77"/>
        <v>3.7264986347008257E-3</v>
      </c>
      <c r="H129" s="3081">
        <f t="shared" si="78"/>
        <v>5.0327504235346002E-2</v>
      </c>
      <c r="I129" s="3081">
        <f t="shared" si="79"/>
        <v>0.54304831912764073</v>
      </c>
      <c r="J129" s="3194">
        <v>2.4680986565796185E-3</v>
      </c>
      <c r="K129" s="3194">
        <v>0.32807494058440245</v>
      </c>
      <c r="L129" s="3194">
        <v>0.32792516907790453</v>
      </c>
      <c r="M129" s="3460">
        <v>-0.27593485134290724</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70.780674594963074</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70.780674594963074</v>
      </c>
      <c r="L131" s="3196"/>
      <c r="M131" s="3193" t="str">
        <f>IF(SUM(M132:M143)=0,"NO",SUM(M132:M143))</f>
        <v>NO</v>
      </c>
    </row>
    <row r="132" spans="2:13" ht="18" customHeight="1" x14ac:dyDescent="0.2">
      <c r="B132" s="2634" t="s">
        <v>671</v>
      </c>
      <c r="C132" s="2636" t="s">
        <v>671</v>
      </c>
      <c r="D132" s="3461" t="s">
        <v>199</v>
      </c>
      <c r="E132" s="3461">
        <v>1.1421295244405731</v>
      </c>
      <c r="F132" s="346"/>
      <c r="G132" s="3668" t="str">
        <f>IF(SUM(D132)=0,"NA",J132/D132)</f>
        <v>NA</v>
      </c>
      <c r="H132" s="3081">
        <f>IF(SUM(E132)=0,"NA",K132/E132)</f>
        <v>0.84949638461582622</v>
      </c>
      <c r="I132" s="4253"/>
      <c r="J132" s="3194" t="s">
        <v>199</v>
      </c>
      <c r="K132" s="3194">
        <v>0.97023490177525984</v>
      </c>
      <c r="L132" s="3196"/>
      <c r="M132" s="3460" t="s">
        <v>199</v>
      </c>
    </row>
    <row r="133" spans="2:13" ht="18" customHeight="1" x14ac:dyDescent="0.2">
      <c r="B133" s="2634" t="s">
        <v>672</v>
      </c>
      <c r="C133" s="2636" t="s">
        <v>672</v>
      </c>
      <c r="D133" s="3461" t="s">
        <v>199</v>
      </c>
      <c r="E133" s="3461">
        <v>4.7468995861088086</v>
      </c>
      <c r="F133" s="346"/>
      <c r="G133" s="3668" t="str">
        <f t="shared" ref="G133:G143" si="80">IF(SUM(D133)=0,"NA",J133/D133)</f>
        <v>NA</v>
      </c>
      <c r="H133" s="3081">
        <f t="shared" ref="H133:H143" si="81">IF(SUM(E133)=0,"NA",K133/E133)</f>
        <v>0.84949638461582611</v>
      </c>
      <c r="I133" s="4253"/>
      <c r="J133" s="3194" t="s">
        <v>199</v>
      </c>
      <c r="K133" s="3194">
        <v>4.0324740365337943</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15.324553594256621</v>
      </c>
      <c r="F135" s="346"/>
      <c r="G135" s="3668" t="str">
        <f t="shared" si="80"/>
        <v>NA</v>
      </c>
      <c r="H135" s="3081">
        <f t="shared" si="81"/>
        <v>0.84949638461582622</v>
      </c>
      <c r="I135" s="4253"/>
      <c r="J135" s="3194" t="s">
        <v>199</v>
      </c>
      <c r="K135" s="3194">
        <v>13.018152874172465</v>
      </c>
      <c r="L135" s="3196"/>
      <c r="M135" s="3460" t="s">
        <v>199</v>
      </c>
    </row>
    <row r="136" spans="2:13" ht="18" customHeight="1" x14ac:dyDescent="0.2">
      <c r="B136" s="2634" t="s">
        <v>676</v>
      </c>
      <c r="C136" s="2636" t="s">
        <v>676</v>
      </c>
      <c r="D136" s="3461" t="s">
        <v>199</v>
      </c>
      <c r="E136" s="3461">
        <v>4.0989868249533642E-2</v>
      </c>
      <c r="F136" s="346"/>
      <c r="G136" s="3668" t="str">
        <f t="shared" si="80"/>
        <v>NA</v>
      </c>
      <c r="H136" s="3081">
        <f t="shared" si="81"/>
        <v>0.84949638461582622</v>
      </c>
      <c r="I136" s="4253"/>
      <c r="J136" s="3194" t="s">
        <v>199</v>
      </c>
      <c r="K136" s="3194">
        <v>3.4820744883857876E-2</v>
      </c>
      <c r="L136" s="3196"/>
      <c r="M136" s="3460" t="s">
        <v>199</v>
      </c>
    </row>
    <row r="137" spans="2:13" ht="18" customHeight="1" x14ac:dyDescent="0.2">
      <c r="B137" s="2634" t="s">
        <v>677</v>
      </c>
      <c r="C137" s="2636" t="s">
        <v>677</v>
      </c>
      <c r="D137" s="3461" t="s">
        <v>199</v>
      </c>
      <c r="E137" s="3461">
        <v>42.464420782725099</v>
      </c>
      <c r="F137" s="346"/>
      <c r="G137" s="3668" t="str">
        <f t="shared" si="80"/>
        <v>NA</v>
      </c>
      <c r="H137" s="3081">
        <f t="shared" si="81"/>
        <v>0.84949638461582633</v>
      </c>
      <c r="I137" s="4253"/>
      <c r="J137" s="3194" t="s">
        <v>199</v>
      </c>
      <c r="K137" s="3194">
        <v>36.073371929730129</v>
      </c>
      <c r="L137" s="3196"/>
      <c r="M137" s="3460" t="s">
        <v>199</v>
      </c>
    </row>
    <row r="138" spans="2:13" ht="18" customHeight="1" x14ac:dyDescent="0.2">
      <c r="B138" s="2634" t="s">
        <v>679</v>
      </c>
      <c r="C138" s="2636" t="s">
        <v>679</v>
      </c>
      <c r="D138" s="3461" t="s">
        <v>199</v>
      </c>
      <c r="E138" s="3461">
        <v>13.766659242705696</v>
      </c>
      <c r="F138" s="346"/>
      <c r="G138" s="3668" t="str">
        <f t="shared" si="80"/>
        <v>NA</v>
      </c>
      <c r="H138" s="3081">
        <f t="shared" si="81"/>
        <v>0.84949638461582644</v>
      </c>
      <c r="I138" s="4253"/>
      <c r="J138" s="3194" t="s">
        <v>199</v>
      </c>
      <c r="K138" s="3194">
        <v>11.69472725491654</v>
      </c>
      <c r="L138" s="3196"/>
      <c r="M138" s="3460" t="s">
        <v>199</v>
      </c>
    </row>
    <row r="139" spans="2:13" ht="18" customHeight="1" x14ac:dyDescent="0.2">
      <c r="B139" s="2634" t="s">
        <v>681</v>
      </c>
      <c r="C139" s="2636" t="s">
        <v>681</v>
      </c>
      <c r="D139" s="3461" t="s">
        <v>199</v>
      </c>
      <c r="E139" s="3461">
        <v>1.7948557362724249</v>
      </c>
      <c r="F139" s="346"/>
      <c r="G139" s="3668" t="str">
        <f t="shared" si="80"/>
        <v>NA</v>
      </c>
      <c r="H139" s="3081">
        <f t="shared" si="81"/>
        <v>0.84949638461582633</v>
      </c>
      <c r="I139" s="4253"/>
      <c r="J139" s="3194" t="s">
        <v>199</v>
      </c>
      <c r="K139" s="3194">
        <v>1.5247234588704019</v>
      </c>
      <c r="L139" s="3196"/>
      <c r="M139" s="3460" t="s">
        <v>199</v>
      </c>
    </row>
    <row r="140" spans="2:13" ht="18" customHeight="1" x14ac:dyDescent="0.2">
      <c r="B140" s="2634" t="s">
        <v>683</v>
      </c>
      <c r="C140" s="2636" t="s">
        <v>683</v>
      </c>
      <c r="D140" s="3461" t="s">
        <v>199</v>
      </c>
      <c r="E140" s="3461">
        <v>0.98190707013718548</v>
      </c>
      <c r="F140" s="346"/>
      <c r="G140" s="3668" t="str">
        <f t="shared" si="80"/>
        <v>NA</v>
      </c>
      <c r="H140" s="3081">
        <f t="shared" si="81"/>
        <v>0.84949638461582622</v>
      </c>
      <c r="I140" s="4253"/>
      <c r="J140" s="3194" t="s">
        <v>199</v>
      </c>
      <c r="K140" s="3194">
        <v>0.83412650611025752</v>
      </c>
      <c r="L140" s="3196"/>
      <c r="M140" s="3460" t="s">
        <v>199</v>
      </c>
    </row>
    <row r="141" spans="2:13" ht="18" customHeight="1" x14ac:dyDescent="0.2">
      <c r="B141" s="2634" t="s">
        <v>686</v>
      </c>
      <c r="C141" s="2636" t="s">
        <v>686</v>
      </c>
      <c r="D141" s="3461" t="s">
        <v>199</v>
      </c>
      <c r="E141" s="3461">
        <v>8.8723926242630508E-2</v>
      </c>
      <c r="F141" s="346"/>
      <c r="G141" s="3668" t="str">
        <f t="shared" si="80"/>
        <v>NA</v>
      </c>
      <c r="H141" s="3081">
        <f t="shared" si="81"/>
        <v>0.84949638461582644</v>
      </c>
      <c r="I141" s="4253"/>
      <c r="J141" s="3194" t="s">
        <v>199</v>
      </c>
      <c r="K141" s="3194">
        <v>7.5370654572035858E-2</v>
      </c>
      <c r="L141" s="3196"/>
      <c r="M141" s="3460" t="s">
        <v>199</v>
      </c>
    </row>
    <row r="142" spans="2:13" ht="18" customHeight="1" x14ac:dyDescent="0.2">
      <c r="B142" s="2634" t="s">
        <v>688</v>
      </c>
      <c r="C142" s="2636" t="s">
        <v>688</v>
      </c>
      <c r="D142" s="3461" t="s">
        <v>199</v>
      </c>
      <c r="E142" s="3461">
        <v>1.4176271546250185</v>
      </c>
      <c r="F142" s="346"/>
      <c r="G142" s="3668" t="str">
        <f t="shared" si="80"/>
        <v>NA</v>
      </c>
      <c r="H142" s="3081">
        <f t="shared" si="81"/>
        <v>0.84949638461582633</v>
      </c>
      <c r="I142" s="4253"/>
      <c r="J142" s="3194" t="s">
        <v>199</v>
      </c>
      <c r="K142" s="3194">
        <v>1.2042691425871743</v>
      </c>
      <c r="L142" s="3196"/>
      <c r="M142" s="3460" t="s">
        <v>199</v>
      </c>
    </row>
    <row r="143" spans="2:13" ht="18" customHeight="1" x14ac:dyDescent="0.2">
      <c r="B143" s="2634" t="s">
        <v>689</v>
      </c>
      <c r="C143" s="2636" t="s">
        <v>689</v>
      </c>
      <c r="D143" s="3461" t="s">
        <v>199</v>
      </c>
      <c r="E143" s="3461">
        <v>1.5519819915506576</v>
      </c>
      <c r="F143" s="346"/>
      <c r="G143" s="3668" t="str">
        <f t="shared" si="80"/>
        <v>NA</v>
      </c>
      <c r="H143" s="3081">
        <f t="shared" si="81"/>
        <v>0.84949638461582611</v>
      </c>
      <c r="I143" s="4253"/>
      <c r="J143" s="3194" t="s">
        <v>199</v>
      </c>
      <c r="K143" s="3194">
        <v>1.3184030908111533</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26.843559180313125</v>
      </c>
      <c r="L146" s="3081">
        <f>IF(SUM(L147:L158)=0,"NO",SUM(L147:L158))</f>
        <v>10.340269878617148</v>
      </c>
      <c r="M146" s="3193" t="str">
        <f>IF(SUM(M147:M158)=0,"NO",SUM(M147:M158))</f>
        <v>NO</v>
      </c>
    </row>
    <row r="147" spans="2:13" ht="18" customHeight="1" x14ac:dyDescent="0.2">
      <c r="B147" s="2634" t="s">
        <v>671</v>
      </c>
      <c r="C147" s="2636" t="s">
        <v>671</v>
      </c>
      <c r="D147" s="3461">
        <v>0.57844333495274292</v>
      </c>
      <c r="E147" s="3461">
        <v>1.0251445208158585</v>
      </c>
      <c r="F147" s="3461">
        <v>0.14174053563942315</v>
      </c>
      <c r="G147" s="3668" t="str">
        <f>IFERROR(J147/D147,"NA")</f>
        <v>NA</v>
      </c>
      <c r="H147" s="3081">
        <f>IF(SUM(E147)=0,"NA",K147/E147)</f>
        <v>0.35893614919475203</v>
      </c>
      <c r="I147" s="3081">
        <f>IF(SUM(F147)=0,"NA",L147/F147)</f>
        <v>1.0000000000000002</v>
      </c>
      <c r="J147" s="3194" t="s">
        <v>199</v>
      </c>
      <c r="K147" s="3194">
        <v>0.36796142666974357</v>
      </c>
      <c r="L147" s="3194">
        <v>0.14174053563942318</v>
      </c>
      <c r="M147" s="3460" t="s">
        <v>199</v>
      </c>
    </row>
    <row r="148" spans="2:13" ht="18" customHeight="1" x14ac:dyDescent="0.2">
      <c r="B148" s="2634" t="s">
        <v>672</v>
      </c>
      <c r="C148" s="2636" t="s">
        <v>672</v>
      </c>
      <c r="D148" s="3461">
        <v>2.4041164933718888</v>
      </c>
      <c r="E148" s="3461">
        <v>4.2606884748435645</v>
      </c>
      <c r="F148" s="3461">
        <v>0.5890996384943088</v>
      </c>
      <c r="G148" s="3668" t="str">
        <f t="shared" ref="G148:G158" si="82">IFERROR(J148/D148,"NA")</f>
        <v>NA</v>
      </c>
      <c r="H148" s="3081">
        <f t="shared" ref="H148:H158" si="83">IF(SUM(E148)=0,"NA",K148/E148)</f>
        <v>0.35893614919475197</v>
      </c>
      <c r="I148" s="3081">
        <f t="shared" ref="I148:I158" si="84">IF(SUM(F148)=0,"NA",L148/F148)</f>
        <v>1.0000000000000004</v>
      </c>
      <c r="J148" s="3194" t="s">
        <v>199</v>
      </c>
      <c r="K148" s="3194">
        <v>1.5293151140788099</v>
      </c>
      <c r="L148" s="3194">
        <v>0.58909963849430902</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7.761278995099711</v>
      </c>
      <c r="E150" s="3461">
        <v>13.754904163602644</v>
      </c>
      <c r="F150" s="3461">
        <v>1.9018074468820889</v>
      </c>
      <c r="G150" s="3668" t="str">
        <f t="shared" si="82"/>
        <v>NA</v>
      </c>
      <c r="H150" s="3081">
        <f t="shared" si="83"/>
        <v>0.35893614919475197</v>
      </c>
      <c r="I150" s="3081">
        <f t="shared" si="84"/>
        <v>1.0000000000000011</v>
      </c>
      <c r="J150" s="3194" t="s">
        <v>199</v>
      </c>
      <c r="K150" s="3194">
        <v>4.9371323330263941</v>
      </c>
      <c r="L150" s="3194">
        <v>1.9018074468820911</v>
      </c>
      <c r="M150" s="3460" t="s">
        <v>199</v>
      </c>
    </row>
    <row r="151" spans="2:13" ht="18" customHeight="1" x14ac:dyDescent="0.2">
      <c r="B151" s="2634" t="s">
        <v>676</v>
      </c>
      <c r="C151" s="2636" t="s">
        <v>676</v>
      </c>
      <c r="D151" s="3461">
        <v>2.075974360364018E-2</v>
      </c>
      <c r="E151" s="3461">
        <v>3.6791395324059624E-2</v>
      </c>
      <c r="F151" s="3461">
        <v>5.0869238183156541E-3</v>
      </c>
      <c r="G151" s="3668" t="str">
        <f t="shared" si="82"/>
        <v>NA</v>
      </c>
      <c r="H151" s="3081">
        <f t="shared" si="83"/>
        <v>0.35893614919475197</v>
      </c>
      <c r="I151" s="3081">
        <f t="shared" si="84"/>
        <v>1.0000000000000009</v>
      </c>
      <c r="J151" s="3194" t="s">
        <v>199</v>
      </c>
      <c r="K151" s="3194">
        <v>1.3205761761119764E-2</v>
      </c>
      <c r="L151" s="3194">
        <v>5.0869238183156584E-3</v>
      </c>
      <c r="M151" s="3460" t="s">
        <v>199</v>
      </c>
    </row>
    <row r="152" spans="2:13" ht="18" customHeight="1" x14ac:dyDescent="0.2">
      <c r="B152" s="2634" t="s">
        <v>677</v>
      </c>
      <c r="C152" s="2636" t="s">
        <v>677</v>
      </c>
      <c r="D152" s="3461">
        <v>21.506546016685292</v>
      </c>
      <c r="E152" s="3461">
        <v>38.114913732181307</v>
      </c>
      <c r="F152" s="3461">
        <v>5.2699187076084408</v>
      </c>
      <c r="G152" s="3668" t="str">
        <f t="shared" si="82"/>
        <v>NA</v>
      </c>
      <c r="H152" s="3081">
        <f t="shared" si="83"/>
        <v>0.35893614919475203</v>
      </c>
      <c r="I152" s="3081">
        <f t="shared" si="84"/>
        <v>1.0000000000000016</v>
      </c>
      <c r="J152" s="3194" t="s">
        <v>199</v>
      </c>
      <c r="K152" s="3194">
        <v>13.680820361919332</v>
      </c>
      <c r="L152" s="3194">
        <v>5.2699187076084488</v>
      </c>
      <c r="M152" s="3460" t="s">
        <v>199</v>
      </c>
    </row>
    <row r="153" spans="2:13" ht="18" customHeight="1" x14ac:dyDescent="0.2">
      <c r="B153" s="2634" t="s">
        <v>679</v>
      </c>
      <c r="C153" s="2636" t="s">
        <v>679</v>
      </c>
      <c r="D153" s="3461">
        <v>6.9722672543721869</v>
      </c>
      <c r="E153" s="3461">
        <v>12.356580397053781</v>
      </c>
      <c r="F153" s="3461">
        <v>1.7084696728965876</v>
      </c>
      <c r="G153" s="3668" t="str">
        <f t="shared" si="82"/>
        <v>NA</v>
      </c>
      <c r="H153" s="3081">
        <f t="shared" si="83"/>
        <v>0.35893614919475197</v>
      </c>
      <c r="I153" s="3081">
        <f t="shared" si="84"/>
        <v>1.0000000000000009</v>
      </c>
      <c r="J153" s="3194" t="s">
        <v>199</v>
      </c>
      <c r="K153" s="3194">
        <v>4.4352233849338436</v>
      </c>
      <c r="L153" s="3194">
        <v>1.7084696728965891</v>
      </c>
      <c r="M153" s="3460" t="s">
        <v>199</v>
      </c>
    </row>
    <row r="154" spans="2:13" ht="18" customHeight="1" x14ac:dyDescent="0.2">
      <c r="B154" s="2634" t="s">
        <v>681</v>
      </c>
      <c r="C154" s="2636" t="s">
        <v>681</v>
      </c>
      <c r="D154" s="3461">
        <v>0.90902328994341886</v>
      </c>
      <c r="E154" s="3461">
        <v>1.6110138861840861</v>
      </c>
      <c r="F154" s="3461">
        <v>0.22274515106275211</v>
      </c>
      <c r="G154" s="3668" t="str">
        <f t="shared" si="82"/>
        <v>NA</v>
      </c>
      <c r="H154" s="3081">
        <f t="shared" si="83"/>
        <v>0.35893614919475203</v>
      </c>
      <c r="I154" s="3081">
        <f t="shared" si="84"/>
        <v>1.0000000000000002</v>
      </c>
      <c r="J154" s="3194" t="s">
        <v>199</v>
      </c>
      <c r="K154" s="3194">
        <v>0.57825112060618844</v>
      </c>
      <c r="L154" s="3194">
        <v>0.22274515106275217</v>
      </c>
      <c r="M154" s="3460" t="s">
        <v>199</v>
      </c>
    </row>
    <row r="155" spans="2:13" ht="18" customHeight="1" x14ac:dyDescent="0.2">
      <c r="B155" s="2634" t="s">
        <v>683</v>
      </c>
      <c r="C155" s="2636" t="s">
        <v>683</v>
      </c>
      <c r="D155" s="3461">
        <v>0.49729701238748009</v>
      </c>
      <c r="E155" s="3461">
        <v>0.88133318626407986</v>
      </c>
      <c r="F155" s="3461">
        <v>0.12185661178626055</v>
      </c>
      <c r="G155" s="3668" t="str">
        <f t="shared" si="82"/>
        <v>NA</v>
      </c>
      <c r="H155" s="3081">
        <f t="shared" si="83"/>
        <v>0.35893614919475197</v>
      </c>
      <c r="I155" s="3081">
        <f t="shared" si="84"/>
        <v>1.0000000000000016</v>
      </c>
      <c r="J155" s="3194" t="s">
        <v>199</v>
      </c>
      <c r="K155" s="3194">
        <v>0.31634234003516992</v>
      </c>
      <c r="L155" s="3194">
        <v>0.12185661178626073</v>
      </c>
      <c r="M155" s="3460" t="s">
        <v>199</v>
      </c>
    </row>
    <row r="156" spans="2:13" ht="18" customHeight="1" x14ac:dyDescent="0.2">
      <c r="B156" s="2634" t="s">
        <v>686</v>
      </c>
      <c r="C156" s="2636" t="s">
        <v>686</v>
      </c>
      <c r="D156" s="3461">
        <v>4.4935152001281391E-2</v>
      </c>
      <c r="E156" s="3461">
        <v>7.9636192661645497E-2</v>
      </c>
      <c r="F156" s="3461">
        <v>1.1010814938719729E-2</v>
      </c>
      <c r="G156" s="3668" t="str">
        <f t="shared" si="82"/>
        <v>NA</v>
      </c>
      <c r="H156" s="3081">
        <f t="shared" si="83"/>
        <v>0.35893614919475203</v>
      </c>
      <c r="I156" s="3081">
        <f t="shared" si="84"/>
        <v>1.0000000000000011</v>
      </c>
      <c r="J156" s="3194" t="s">
        <v>199</v>
      </c>
      <c r="K156" s="3194">
        <v>2.8584308330502406E-2</v>
      </c>
      <c r="L156" s="3194">
        <v>1.1010814938719742E-2</v>
      </c>
      <c r="M156" s="3460" t="s">
        <v>199</v>
      </c>
    </row>
    <row r="157" spans="2:13" ht="18" customHeight="1" x14ac:dyDescent="0.2">
      <c r="B157" s="2634" t="s">
        <v>688</v>
      </c>
      <c r="C157" s="2636" t="s">
        <v>688</v>
      </c>
      <c r="D157" s="3461">
        <v>0.71797196508208316</v>
      </c>
      <c r="E157" s="3461">
        <v>1.2724237304306107</v>
      </c>
      <c r="F157" s="3461">
        <v>0.17593033708848535</v>
      </c>
      <c r="G157" s="3668" t="str">
        <f t="shared" si="82"/>
        <v>NA</v>
      </c>
      <c r="H157" s="3081">
        <f t="shared" si="83"/>
        <v>0.35893614919475203</v>
      </c>
      <c r="I157" s="3081">
        <f t="shared" si="84"/>
        <v>1.0000000000000011</v>
      </c>
      <c r="J157" s="3194" t="s">
        <v>199</v>
      </c>
      <c r="K157" s="3194">
        <v>0.45671887394478466</v>
      </c>
      <c r="L157" s="3194">
        <v>0.17593033708848554</v>
      </c>
      <c r="M157" s="3460" t="s">
        <v>199</v>
      </c>
    </row>
    <row r="158" spans="2:13" ht="18" customHeight="1" x14ac:dyDescent="0.2">
      <c r="B158" s="2634" t="s">
        <v>689</v>
      </c>
      <c r="C158" s="2636" t="s">
        <v>689</v>
      </c>
      <c r="D158" s="3461">
        <v>0.78601736472829664</v>
      </c>
      <c r="E158" s="3461">
        <v>1.3930169923786284</v>
      </c>
      <c r="F158" s="3461">
        <v>0.19260403840175375</v>
      </c>
      <c r="G158" s="3668" t="str">
        <f t="shared" si="82"/>
        <v>NA</v>
      </c>
      <c r="H158" s="3081">
        <f t="shared" si="83"/>
        <v>0.35893614919475203</v>
      </c>
      <c r="I158" s="3081">
        <f t="shared" si="84"/>
        <v>1.0000000000000007</v>
      </c>
      <c r="J158" s="3194" t="s">
        <v>199</v>
      </c>
      <c r="K158" s="3194">
        <v>0.50000415500724016</v>
      </c>
      <c r="L158" s="3194">
        <v>0.19260403840175389</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0.55182965578429821</v>
      </c>
      <c r="K162" s="3200">
        <f t="shared" ref="K162:M162" si="90">IF(SUM(K163,K165,K175)=0,"NO",SUM(K163,K165,K175))</f>
        <v>4.0296024924968332</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0.55182965578429821</v>
      </c>
      <c r="K163" s="3197">
        <f t="shared" ref="K163:M163" si="91">K164</f>
        <v>3.229207687923116</v>
      </c>
      <c r="L163" s="3197">
        <f t="shared" si="91"/>
        <v>0</v>
      </c>
      <c r="M163" s="3193" t="str">
        <f t="shared" si="91"/>
        <v>NO</v>
      </c>
    </row>
    <row r="164" spans="2:13" ht="18" customHeight="1" x14ac:dyDescent="0.2">
      <c r="B164" s="2634" t="s">
        <v>905</v>
      </c>
      <c r="C164" s="2636" t="s">
        <v>905</v>
      </c>
      <c r="D164" s="4136">
        <v>6.492113597462331</v>
      </c>
      <c r="E164" s="4136">
        <v>599.50031630170622</v>
      </c>
      <c r="F164" s="2635">
        <v>0</v>
      </c>
      <c r="G164" s="3668">
        <f t="shared" ref="G164" si="92">IF(SUM(D164)=0,"NA",J164/D164)</f>
        <v>8.5000000000000006E-2</v>
      </c>
      <c r="H164" s="3081">
        <f t="shared" ref="H164" si="93">IF(SUM(E164)=0,"NA",K164/E164)</f>
        <v>5.3864987225427513E-3</v>
      </c>
      <c r="I164" s="3081" t="str">
        <f t="shared" ref="I164" si="94">IF(SUM(F164)=0,"NA",L164/F164)</f>
        <v>NA</v>
      </c>
      <c r="J164" s="3120">
        <v>0.55182965578429821</v>
      </c>
      <c r="K164" s="3120">
        <v>3.229207687923116</v>
      </c>
      <c r="L164" s="3120">
        <v>0</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0.8003948045737177</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0.8003948045737177</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0.8003948045737177</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0.8003948045737177</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2038.1123900765215</v>
      </c>
      <c r="D10" s="2517">
        <f t="shared" ref="D10:I10" si="0">IF(SUM(D11,D21,D32:D33,D43:D48)=0,"NO",SUM(D11,D21,D32:D33,D43:D48))</f>
        <v>2413.3047906240672</v>
      </c>
      <c r="E10" s="2517">
        <f t="shared" si="0"/>
        <v>40.712124607374015</v>
      </c>
      <c r="F10" s="2517">
        <f t="shared" si="0"/>
        <v>23.451409339934074</v>
      </c>
      <c r="G10" s="2517">
        <f t="shared" si="0"/>
        <v>370.72642008033051</v>
      </c>
      <c r="H10" s="2925">
        <f t="shared" si="0"/>
        <v>21.625707838019281</v>
      </c>
      <c r="I10" s="2934" t="str">
        <f t="shared" si="0"/>
        <v>NO</v>
      </c>
      <c r="J10" s="2935">
        <f>IF(SUM(C10:E10)=0,"NO",SUM(C10)+28*SUM(D10)+265*SUM(E10))</f>
        <v>80399.359548504523</v>
      </c>
    </row>
    <row r="11" spans="1:10" ht="18" customHeight="1" x14ac:dyDescent="0.2">
      <c r="B11" s="234" t="s">
        <v>923</v>
      </c>
      <c r="C11" s="2936"/>
      <c r="D11" s="2163">
        <f>SUM(D17:D20)</f>
        <v>2139.5329622033564</v>
      </c>
      <c r="E11" s="1955"/>
      <c r="F11" s="1955"/>
      <c r="G11" s="1955"/>
      <c r="H11" s="2937"/>
      <c r="I11" s="2937"/>
      <c r="J11" s="1887">
        <f>IF(SUM(C11:E11)=0,"NO",SUM(C11)+28*SUM(D11)+265*SUM(E11))</f>
        <v>59906.922941693978</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1623.4763508748047</v>
      </c>
      <c r="E17" s="615"/>
      <c r="F17" s="615"/>
      <c r="G17" s="615"/>
      <c r="H17" s="2939"/>
      <c r="I17" s="2940"/>
      <c r="J17" s="2943">
        <f>IF(SUM(C17:E17)=0,"NO",SUM(C17)+28*SUM(D17)+265*SUM(E17))</f>
        <v>45457.337824494534</v>
      </c>
    </row>
    <row r="18" spans="2:10" ht="18" customHeight="1" x14ac:dyDescent="0.2">
      <c r="B18" s="228" t="s">
        <v>930</v>
      </c>
      <c r="C18" s="2945"/>
      <c r="D18" s="2930">
        <f>Table3.A!G24</f>
        <v>503.19259136135145</v>
      </c>
      <c r="E18" s="615"/>
      <c r="F18" s="615"/>
      <c r="G18" s="615"/>
      <c r="H18" s="2939"/>
      <c r="I18" s="2940"/>
      <c r="J18" s="2943">
        <f t="shared" ref="J18:J22" si="1">IF(SUM(C18:E18)=0,"NO",SUM(C18)+28*SUM(D18)+265*SUM(E18))</f>
        <v>14089.392558117841</v>
      </c>
    </row>
    <row r="19" spans="2:10" ht="18" customHeight="1" x14ac:dyDescent="0.2">
      <c r="B19" s="228" t="s">
        <v>931</v>
      </c>
      <c r="C19" s="2945"/>
      <c r="D19" s="2930">
        <f>Table3.A!G27</f>
        <v>3.2895340338892529</v>
      </c>
      <c r="E19" s="615"/>
      <c r="F19" s="615"/>
      <c r="G19" s="615"/>
      <c r="H19" s="2939"/>
      <c r="I19" s="2940"/>
      <c r="J19" s="2943">
        <f t="shared" si="1"/>
        <v>92.106952948899078</v>
      </c>
    </row>
    <row r="20" spans="2:10" ht="18" customHeight="1" thickBot="1" x14ac:dyDescent="0.25">
      <c r="B20" s="1296" t="s">
        <v>932</v>
      </c>
      <c r="C20" s="2946"/>
      <c r="D20" s="2517">
        <f>Table3.A!G30</f>
        <v>9.5744859333113475</v>
      </c>
      <c r="E20" s="1948"/>
      <c r="F20" s="1948"/>
      <c r="G20" s="1948"/>
      <c r="H20" s="2947"/>
      <c r="I20" s="2948"/>
      <c r="J20" s="2943">
        <f t="shared" si="1"/>
        <v>268.08560613271771</v>
      </c>
    </row>
    <row r="21" spans="2:10" ht="18" customHeight="1" x14ac:dyDescent="0.2">
      <c r="B21" s="1455" t="s">
        <v>933</v>
      </c>
      <c r="C21" s="2949"/>
      <c r="D21" s="2930">
        <f>IF(SUM(D27:D31)=0,"NO",SUM(D27:D31))</f>
        <v>246.20890485262561</v>
      </c>
      <c r="E21" s="2930">
        <f>IF(SUM(E27:E31)=0,"NO",SUM(E27:E31))</f>
        <v>1.8689614980946547</v>
      </c>
      <c r="F21" s="2160"/>
      <c r="G21" s="2160"/>
      <c r="H21" s="2930" t="str">
        <f>IF(SUM(H27:H31)=0,"NE",SUM(H27:H31))</f>
        <v>NE</v>
      </c>
      <c r="I21" s="2940"/>
      <c r="J21" s="2950">
        <f t="shared" si="1"/>
        <v>7389.1241328686001</v>
      </c>
    </row>
    <row r="22" spans="2:10" ht="18" customHeight="1" x14ac:dyDescent="0.2">
      <c r="B22" s="228" t="s">
        <v>934</v>
      </c>
      <c r="C22" s="2945"/>
      <c r="D22" s="2930">
        <f>D27</f>
        <v>168.50870901824536</v>
      </c>
      <c r="E22" s="2930">
        <f>E27</f>
        <v>0.75138824227470447</v>
      </c>
      <c r="F22" s="2951"/>
      <c r="G22" s="2951"/>
      <c r="H22" s="2930" t="str">
        <f>H27</f>
        <v>NE</v>
      </c>
      <c r="I22" s="2940"/>
      <c r="J22" s="2943">
        <f t="shared" si="1"/>
        <v>4917.3617367136667</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168.50870901824536</v>
      </c>
      <c r="E27" s="2930">
        <f>'Table3.B(b)'!X15</f>
        <v>0.75138824227470447</v>
      </c>
      <c r="F27" s="615"/>
      <c r="G27" s="615"/>
      <c r="H27" s="2953" t="s">
        <v>221</v>
      </c>
      <c r="I27" s="2940"/>
      <c r="J27" s="2943">
        <f t="shared" ref="J27:J49" si="2">IF(SUM(C27:E27)=0,"NO",SUM(C27)+28*SUM(D27)+265*SUM(E27))</f>
        <v>4917.3617367136667</v>
      </c>
    </row>
    <row r="28" spans="2:10" ht="18" customHeight="1" x14ac:dyDescent="0.2">
      <c r="B28" s="228" t="s">
        <v>938</v>
      </c>
      <c r="C28" s="2945"/>
      <c r="D28" s="2930">
        <f>'Table3.B(a)'!K24</f>
        <v>25.525074268363976</v>
      </c>
      <c r="E28" s="2930" t="str">
        <f>'Table3.B(b)'!X24</f>
        <v>NA</v>
      </c>
      <c r="F28" s="2951"/>
      <c r="G28" s="2951"/>
      <c r="H28" s="2953" t="s">
        <v>221</v>
      </c>
      <c r="I28" s="2940"/>
      <c r="J28" s="2943">
        <f t="shared" si="2"/>
        <v>714.70207951419138</v>
      </c>
    </row>
    <row r="29" spans="2:10" ht="18" customHeight="1" x14ac:dyDescent="0.2">
      <c r="B29" s="228" t="s">
        <v>939</v>
      </c>
      <c r="C29" s="2945"/>
      <c r="D29" s="2930">
        <f>'Table3.B(a)'!K27</f>
        <v>47.788821576290538</v>
      </c>
      <c r="E29" s="2930">
        <f>'Table3.B(b)'!X27</f>
        <v>0.17182382364124399</v>
      </c>
      <c r="F29" s="2951"/>
      <c r="G29" s="2951"/>
      <c r="H29" s="2953" t="s">
        <v>221</v>
      </c>
      <c r="I29" s="2940"/>
      <c r="J29" s="2943">
        <f t="shared" si="2"/>
        <v>1383.6203174010645</v>
      </c>
    </row>
    <row r="30" spans="2:10" ht="18" customHeight="1" x14ac:dyDescent="0.2">
      <c r="B30" s="228" t="s">
        <v>940</v>
      </c>
      <c r="C30" s="2945"/>
      <c r="D30" s="2930">
        <f>'Table3.B(a)'!K30</f>
        <v>4.3862999897257566</v>
      </c>
      <c r="E30" s="2930">
        <f>'Table3.B(b)'!X30</f>
        <v>0.40223636655327416</v>
      </c>
      <c r="F30" s="2951"/>
      <c r="G30" s="2951"/>
      <c r="H30" s="2953" t="s">
        <v>221</v>
      </c>
      <c r="I30" s="2940"/>
      <c r="J30" s="2943">
        <f t="shared" si="2"/>
        <v>229.40903684893885</v>
      </c>
    </row>
    <row r="31" spans="2:10" ht="18" customHeight="1" thickBot="1" x14ac:dyDescent="0.25">
      <c r="B31" s="1296" t="s">
        <v>941</v>
      </c>
      <c r="C31" s="2954"/>
      <c r="D31" s="2955"/>
      <c r="E31" s="2956">
        <f>SUM('Table3.B(b)'!Y47:Z47)</f>
        <v>0.54351306562543211</v>
      </c>
      <c r="F31" s="2957"/>
      <c r="G31" s="2957"/>
      <c r="H31" s="2958"/>
      <c r="I31" s="2959"/>
      <c r="J31" s="2943">
        <f t="shared" si="2"/>
        <v>144.03096239073952</v>
      </c>
    </row>
    <row r="32" spans="2:10" ht="18" customHeight="1" thickBot="1" x14ac:dyDescent="0.25">
      <c r="B32" s="2658" t="s">
        <v>942</v>
      </c>
      <c r="C32" s="2960"/>
      <c r="D32" s="2961">
        <f>Table3.C!G11</f>
        <v>18.057117925000004</v>
      </c>
      <c r="E32" s="2962"/>
      <c r="F32" s="2962"/>
      <c r="G32" s="2962"/>
      <c r="H32" s="2963" t="s">
        <v>221</v>
      </c>
      <c r="I32" s="2964"/>
      <c r="J32" s="2965">
        <f t="shared" si="2"/>
        <v>505.59930190000011</v>
      </c>
    </row>
    <row r="33" spans="2:10" ht="18" customHeight="1" x14ac:dyDescent="0.2">
      <c r="B33" s="2657" t="s">
        <v>943</v>
      </c>
      <c r="C33" s="2966"/>
      <c r="D33" s="2967" t="s">
        <v>221</v>
      </c>
      <c r="E33" s="2967">
        <f>IF(SUM(E34,E42)=0,"NO",SUM(E34,E42))</f>
        <v>38.437254657764143</v>
      </c>
      <c r="F33" s="2967" t="str">
        <f>IF(SUM(F34,F42)=0,"NO",SUM(F34,F42))</f>
        <v>NO</v>
      </c>
      <c r="G33" s="2967" t="str">
        <f>IF(SUM(G34,G42)=0,"NO",SUM(G34,G42))</f>
        <v>NO</v>
      </c>
      <c r="H33" s="2967" t="str">
        <f>IF(SUM(H34,H42)=0,"NO",SUM(H34,H42))</f>
        <v>NO</v>
      </c>
      <c r="I33" s="2968"/>
      <c r="J33" s="2969">
        <f t="shared" si="2"/>
        <v>10185.872484307498</v>
      </c>
    </row>
    <row r="34" spans="2:10" ht="18" customHeight="1" x14ac:dyDescent="0.2">
      <c r="B34" s="228" t="s">
        <v>944</v>
      </c>
      <c r="C34" s="2970"/>
      <c r="D34" s="615"/>
      <c r="E34" s="2971">
        <f>IF(SUM(E35:E41)=0,"NO",SUM(E35:E41))</f>
        <v>27.824446651622743</v>
      </c>
      <c r="F34" s="615"/>
      <c r="G34" s="615"/>
      <c r="H34" s="615"/>
      <c r="I34" s="2940"/>
      <c r="J34" s="2972">
        <f t="shared" si="2"/>
        <v>7373.4783626800272</v>
      </c>
    </row>
    <row r="35" spans="2:10" ht="18" customHeight="1" x14ac:dyDescent="0.2">
      <c r="B35" s="232" t="s">
        <v>945</v>
      </c>
      <c r="C35" s="2970"/>
      <c r="D35" s="615"/>
      <c r="E35" s="4248">
        <f>Table3.D!F11</f>
        <v>8.7637902792258373</v>
      </c>
      <c r="F35" s="615"/>
      <c r="G35" s="615"/>
      <c r="H35" s="615"/>
      <c r="I35" s="2940"/>
      <c r="J35" s="2972">
        <f t="shared" si="2"/>
        <v>2322.4044239948471</v>
      </c>
    </row>
    <row r="36" spans="2:10" ht="18" customHeight="1" x14ac:dyDescent="0.2">
      <c r="B36" s="232" t="s">
        <v>946</v>
      </c>
      <c r="C36" s="2970"/>
      <c r="D36" s="615"/>
      <c r="E36" s="4248">
        <f>Table3.D!F12</f>
        <v>1.4177511034402848</v>
      </c>
      <c r="F36" s="615"/>
      <c r="G36" s="615"/>
      <c r="H36" s="615"/>
      <c r="I36" s="2940"/>
      <c r="J36" s="2972">
        <f t="shared" si="2"/>
        <v>375.70404241167546</v>
      </c>
    </row>
    <row r="37" spans="2:10" ht="18" customHeight="1" x14ac:dyDescent="0.2">
      <c r="B37" s="232" t="s">
        <v>947</v>
      </c>
      <c r="C37" s="2970"/>
      <c r="D37" s="615"/>
      <c r="E37" s="4248">
        <f>Table3.D!F16</f>
        <v>10.827363346183907</v>
      </c>
      <c r="F37" s="615"/>
      <c r="G37" s="615"/>
      <c r="H37" s="615"/>
      <c r="I37" s="2940"/>
      <c r="J37" s="2972">
        <f t="shared" si="2"/>
        <v>2869.2512867387354</v>
      </c>
    </row>
    <row r="38" spans="2:10" ht="18" customHeight="1" x14ac:dyDescent="0.2">
      <c r="B38" s="232" t="s">
        <v>948</v>
      </c>
      <c r="C38" s="2970"/>
      <c r="D38" s="615"/>
      <c r="E38" s="4248">
        <f>Table3.D!F17</f>
        <v>6.5766463362492296</v>
      </c>
      <c r="F38" s="615"/>
      <c r="G38" s="615"/>
      <c r="H38" s="615"/>
      <c r="I38" s="2940"/>
      <c r="J38" s="2972">
        <f t="shared" si="2"/>
        <v>1742.8112791060457</v>
      </c>
    </row>
    <row r="39" spans="2:10" ht="26.25" customHeight="1" x14ac:dyDescent="0.2">
      <c r="B39" s="1708" t="s">
        <v>949</v>
      </c>
      <c r="C39" s="2970"/>
      <c r="D39" s="2951"/>
      <c r="E39" s="4248">
        <f>Table3.D!F18</f>
        <v>0.15089558652348431</v>
      </c>
      <c r="F39" s="2951"/>
      <c r="G39" s="2951"/>
      <c r="H39" s="2951"/>
      <c r="I39" s="2940"/>
      <c r="J39" s="2972">
        <f t="shared" si="2"/>
        <v>39.98733042872334</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10.612808006141401</v>
      </c>
      <c r="F42" s="2957"/>
      <c r="G42" s="2957"/>
      <c r="H42" s="2957"/>
      <c r="I42" s="2976"/>
      <c r="J42" s="2977">
        <f t="shared" si="2"/>
        <v>2812.3941216274716</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9.505805643085397</v>
      </c>
      <c r="E44" s="2984">
        <f>SUM(Table3.F!J10,Table3.F!J20,Table3.F!J23,Table3.F!J26:J27)</f>
        <v>0.40590845151521493</v>
      </c>
      <c r="F44" s="2919">
        <v>23.451409339934074</v>
      </c>
      <c r="G44" s="2919">
        <v>370.72642008033051</v>
      </c>
      <c r="H44" s="2920">
        <v>21.625707838019281</v>
      </c>
      <c r="I44" s="2985" t="s">
        <v>199</v>
      </c>
      <c r="J44" s="2986">
        <f t="shared" si="2"/>
        <v>373.72829765792306</v>
      </c>
    </row>
    <row r="45" spans="2:10" ht="18" customHeight="1" thickBot="1" x14ac:dyDescent="0.25">
      <c r="B45" s="2660" t="s">
        <v>955</v>
      </c>
      <c r="C45" s="2987">
        <f>'Table3.G-J'!E10</f>
        <v>760.31554032500014</v>
      </c>
      <c r="D45" s="2988"/>
      <c r="E45" s="2988"/>
      <c r="F45" s="2988"/>
      <c r="G45" s="2988"/>
      <c r="H45" s="2989"/>
      <c r="I45" s="2990"/>
      <c r="J45" s="2986">
        <f t="shared" si="2"/>
        <v>760.31554032500014</v>
      </c>
    </row>
    <row r="46" spans="2:10" ht="18" customHeight="1" thickBot="1" x14ac:dyDescent="0.25">
      <c r="B46" s="2660" t="s">
        <v>956</v>
      </c>
      <c r="C46" s="2987">
        <f>'Table3.G-J'!E13</f>
        <v>1277.7968497515212</v>
      </c>
      <c r="D46" s="2988"/>
      <c r="E46" s="2988"/>
      <c r="F46" s="2988"/>
      <c r="G46" s="2988"/>
      <c r="H46" s="2989"/>
      <c r="I46" s="2990"/>
      <c r="J46" s="2986">
        <f t="shared" si="2"/>
        <v>1277.7968497515212</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29290.77</v>
      </c>
      <c r="D10" s="3208"/>
      <c r="E10" s="3208"/>
      <c r="F10" s="3109">
        <f>IF(SUM(C10)=0,"NA",G10*1000/C10)</f>
        <v>55.426209378408444</v>
      </c>
      <c r="G10" s="3209">
        <f>G15</f>
        <v>1623.4763508748047</v>
      </c>
      <c r="I10" s="275" t="s">
        <v>977</v>
      </c>
      <c r="J10" s="276" t="s">
        <v>978</v>
      </c>
      <c r="K10" s="699">
        <v>454.87084064775598</v>
      </c>
      <c r="L10" s="699">
        <v>359.11666603441529</v>
      </c>
      <c r="M10" s="3125">
        <v>524.73704034096556</v>
      </c>
      <c r="N10" s="3125">
        <v>43.468218254774463</v>
      </c>
      <c r="O10" s="2921">
        <v>56.920128069315517</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15.525164163580527</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29290.77</v>
      </c>
      <c r="D15" s="3215"/>
      <c r="E15" s="3215"/>
      <c r="F15" s="3109">
        <f>IF(SUM(C15)=0,"NA",G15*1000/C15)</f>
        <v>55.426209378408444</v>
      </c>
      <c r="G15" s="3216">
        <f>G20</f>
        <v>1623.4763508748047</v>
      </c>
      <c r="I15" s="1780" t="s">
        <v>989</v>
      </c>
      <c r="J15" s="1853" t="s">
        <v>428</v>
      </c>
      <c r="K15" s="3408">
        <v>75</v>
      </c>
      <c r="L15" s="3408">
        <v>57.644226262823736</v>
      </c>
      <c r="M15" s="1563">
        <v>80.436510243450897</v>
      </c>
      <c r="N15" s="1563">
        <v>66.690627365918814</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1623.4763508748047</v>
      </c>
      <c r="I20" s="72"/>
      <c r="J20" s="287"/>
      <c r="K20" s="287"/>
      <c r="L20" s="287"/>
      <c r="M20" s="287"/>
      <c r="N20" s="287"/>
      <c r="O20" s="287"/>
    </row>
    <row r="21" spans="2:15" ht="18" customHeight="1" x14ac:dyDescent="0.2">
      <c r="B21" s="2652" t="s">
        <v>994</v>
      </c>
      <c r="C21" s="3239">
        <v>2833.8649999999998</v>
      </c>
      <c r="D21" s="3224">
        <v>227.35718156647687</v>
      </c>
      <c r="E21" s="3224">
        <v>6.1444857658625649</v>
      </c>
      <c r="F21" s="3109">
        <f t="shared" ref="F21:F30" si="0">IF(SUM(C21)=0,"NA",G21*1000/C21)</f>
        <v>92.34015881615683</v>
      </c>
      <c r="G21" s="3206">
        <v>261.67954416354826</v>
      </c>
      <c r="I21" s="72"/>
      <c r="J21" s="287"/>
      <c r="K21" s="287"/>
      <c r="L21" s="287"/>
      <c r="M21" s="287"/>
      <c r="N21" s="287"/>
      <c r="O21" s="287"/>
    </row>
    <row r="22" spans="2:15" ht="18" customHeight="1" x14ac:dyDescent="0.2">
      <c r="B22" s="2652" t="s">
        <v>965</v>
      </c>
      <c r="C22" s="3239">
        <v>25671.098999999998</v>
      </c>
      <c r="D22" s="3224">
        <v>124.2223243350453</v>
      </c>
      <c r="E22" s="3224">
        <v>6.21225</v>
      </c>
      <c r="F22" s="3109">
        <f t="shared" si="0"/>
        <v>51.008791653654932</v>
      </c>
      <c r="G22" s="3206">
        <v>1309.4517404113494</v>
      </c>
      <c r="I22" s="72"/>
      <c r="J22" s="287"/>
      <c r="K22" s="287"/>
      <c r="L22" s="287"/>
      <c r="M22" s="287"/>
      <c r="N22" s="287"/>
      <c r="O22" s="287"/>
    </row>
    <row r="23" spans="2:15" ht="18" customHeight="1" x14ac:dyDescent="0.2">
      <c r="B23" s="2652" t="s">
        <v>966</v>
      </c>
      <c r="C23" s="3239">
        <v>785.80600000000004</v>
      </c>
      <c r="D23" s="3224">
        <v>199.79196674844161</v>
      </c>
      <c r="E23" s="3224">
        <v>5.0441263487047241</v>
      </c>
      <c r="F23" s="3109">
        <f t="shared" si="0"/>
        <v>66.613217893356719</v>
      </c>
      <c r="G23" s="3206">
        <v>52.345066299907067</v>
      </c>
      <c r="I23" s="72"/>
      <c r="J23" s="287"/>
      <c r="K23" s="287"/>
      <c r="L23" s="287"/>
      <c r="M23" s="287"/>
      <c r="N23" s="287"/>
      <c r="O23" s="287"/>
    </row>
    <row r="24" spans="2:15" ht="18" customHeight="1" x14ac:dyDescent="0.2">
      <c r="B24" s="286" t="s">
        <v>995</v>
      </c>
      <c r="C24" s="2654">
        <f>C25</f>
        <v>75547.846000000005</v>
      </c>
      <c r="D24" s="3225"/>
      <c r="E24" s="3225"/>
      <c r="F24" s="3109">
        <f t="shared" si="0"/>
        <v>6.6605815784787747</v>
      </c>
      <c r="G24" s="3106">
        <f>G25</f>
        <v>503.19259136135145</v>
      </c>
      <c r="I24" s="72"/>
    </row>
    <row r="25" spans="2:15" ht="18" customHeight="1" x14ac:dyDescent="0.2">
      <c r="B25" s="282" t="s">
        <v>996</v>
      </c>
      <c r="C25" s="2654">
        <f>C26</f>
        <v>75547.846000000005</v>
      </c>
      <c r="D25" s="3225"/>
      <c r="E25" s="3225"/>
      <c r="F25" s="3109">
        <f t="shared" si="0"/>
        <v>6.6605815784787747</v>
      </c>
      <c r="G25" s="3106">
        <f>G26</f>
        <v>503.19259136135145</v>
      </c>
    </row>
    <row r="26" spans="2:15" ht="18" customHeight="1" x14ac:dyDescent="0.2">
      <c r="B26" s="2653" t="s">
        <v>967</v>
      </c>
      <c r="C26" s="288">
        <v>75547.846000000005</v>
      </c>
      <c r="D26" s="3226">
        <v>16.313526709642865</v>
      </c>
      <c r="E26" s="3226">
        <v>6.1768610045559544</v>
      </c>
      <c r="F26" s="3109">
        <f t="shared" si="0"/>
        <v>6.6605815784787747</v>
      </c>
      <c r="G26" s="3207">
        <v>503.19259136135145</v>
      </c>
    </row>
    <row r="27" spans="2:15" ht="18" customHeight="1" x14ac:dyDescent="0.2">
      <c r="B27" s="286" t="s">
        <v>997</v>
      </c>
      <c r="C27" s="2654">
        <f>C28</f>
        <v>2098.1469999999999</v>
      </c>
      <c r="D27" s="3225"/>
      <c r="E27" s="3225"/>
      <c r="F27" s="3109">
        <f t="shared" si="0"/>
        <v>1.5678281997825954</v>
      </c>
      <c r="G27" s="3106">
        <f>G28</f>
        <v>3.2895340338892529</v>
      </c>
    </row>
    <row r="28" spans="2:15" ht="18" customHeight="1" x14ac:dyDescent="0.2">
      <c r="B28" s="282" t="s">
        <v>998</v>
      </c>
      <c r="C28" s="2654">
        <f>C29</f>
        <v>2098.1469999999999</v>
      </c>
      <c r="D28" s="3225"/>
      <c r="E28" s="3225"/>
      <c r="F28" s="3109">
        <f t="shared" si="0"/>
        <v>1.5678281997825954</v>
      </c>
      <c r="G28" s="3106">
        <f>G29</f>
        <v>3.2895340338892529</v>
      </c>
    </row>
    <row r="29" spans="2:15" ht="18" customHeight="1" x14ac:dyDescent="0.2">
      <c r="B29" s="2653" t="s">
        <v>968</v>
      </c>
      <c r="C29" s="288">
        <v>2098.1469999999999</v>
      </c>
      <c r="D29" s="3226">
        <v>33.884727580740048</v>
      </c>
      <c r="E29" s="3226">
        <v>0.70000000000000007</v>
      </c>
      <c r="F29" s="3109">
        <f t="shared" si="0"/>
        <v>1.5678281997825954</v>
      </c>
      <c r="G29" s="3207">
        <v>3.2895340338892529</v>
      </c>
    </row>
    <row r="30" spans="2:15" ht="18" customHeight="1" x14ac:dyDescent="0.2">
      <c r="B30" s="286" t="s">
        <v>999</v>
      </c>
      <c r="C30" s="2654">
        <f>SUM(C32:C39)</f>
        <v>90219.266999999993</v>
      </c>
      <c r="D30" s="3225"/>
      <c r="E30" s="3225"/>
      <c r="F30" s="3109">
        <f t="shared" si="0"/>
        <v>0.10612462561141567</v>
      </c>
      <c r="G30" s="3106">
        <f>SUM(G32:G39)</f>
        <v>9.5744859333113475</v>
      </c>
    </row>
    <row r="31" spans="2:15" ht="18" customHeight="1" x14ac:dyDescent="0.2">
      <c r="B31" s="1304" t="s">
        <v>498</v>
      </c>
      <c r="C31" s="3240"/>
      <c r="D31" s="3228"/>
      <c r="E31" s="3228"/>
      <c r="F31" s="3228"/>
      <c r="G31" s="3229"/>
    </row>
    <row r="32" spans="2:15" ht="18" customHeight="1" x14ac:dyDescent="0.2">
      <c r="B32" s="285" t="s">
        <v>1000</v>
      </c>
      <c r="C32" s="3234">
        <v>5.0890000000000004</v>
      </c>
      <c r="D32" s="3230" t="s">
        <v>205</v>
      </c>
      <c r="E32" s="3230" t="s">
        <v>205</v>
      </c>
      <c r="F32" s="3109">
        <f t="shared" ref="F32:F41" si="1">IF(SUM(C32)=0,"NA",G32*1000/C32)</f>
        <v>76.000917856735185</v>
      </c>
      <c r="G32" s="3206">
        <v>0.38676867097292539</v>
      </c>
    </row>
    <row r="33" spans="2:7" ht="18" customHeight="1" x14ac:dyDescent="0.2">
      <c r="B33" s="285" t="s">
        <v>1001</v>
      </c>
      <c r="C33" s="3234">
        <v>3.2629999999999999</v>
      </c>
      <c r="D33" s="3230" t="s">
        <v>205</v>
      </c>
      <c r="E33" s="3230" t="s">
        <v>205</v>
      </c>
      <c r="F33" s="3109">
        <f t="shared" si="1"/>
        <v>46.002614614974689</v>
      </c>
      <c r="G33" s="3206">
        <v>0.1501065314886624</v>
      </c>
    </row>
    <row r="34" spans="2:7" ht="18" customHeight="1" x14ac:dyDescent="0.2">
      <c r="B34" s="285" t="s">
        <v>1002</v>
      </c>
      <c r="C34" s="3234">
        <v>38.395000000000003</v>
      </c>
      <c r="D34" s="3230" t="s">
        <v>205</v>
      </c>
      <c r="E34" s="3230" t="s">
        <v>205</v>
      </c>
      <c r="F34" s="3109">
        <f t="shared" si="1"/>
        <v>20.000104477061658</v>
      </c>
      <c r="G34" s="3206">
        <v>0.76790401139678233</v>
      </c>
    </row>
    <row r="35" spans="2:7" ht="18" customHeight="1" x14ac:dyDescent="0.2">
      <c r="B35" s="285" t="s">
        <v>1003</v>
      </c>
      <c r="C35" s="3234">
        <v>516.14300000000003</v>
      </c>
      <c r="D35" s="3230" t="s">
        <v>205</v>
      </c>
      <c r="E35" s="3230" t="s">
        <v>205</v>
      </c>
      <c r="F35" s="3109">
        <f t="shared" si="1"/>
        <v>5</v>
      </c>
      <c r="G35" s="3206">
        <v>2.5807150000000001</v>
      </c>
    </row>
    <row r="36" spans="2:7" ht="18" customHeight="1" x14ac:dyDescent="0.2">
      <c r="B36" s="285" t="s">
        <v>1004</v>
      </c>
      <c r="C36" s="3234">
        <v>254.21799999999999</v>
      </c>
      <c r="D36" s="3230" t="s">
        <v>205</v>
      </c>
      <c r="E36" s="3230" t="s">
        <v>205</v>
      </c>
      <c r="F36" s="3109">
        <f t="shared" si="1"/>
        <v>17.999968534089721</v>
      </c>
      <c r="G36" s="3206">
        <v>4.5759160007992206</v>
      </c>
    </row>
    <row r="37" spans="2:7" ht="18" customHeight="1" x14ac:dyDescent="0.2">
      <c r="B37" s="285" t="s">
        <v>1005</v>
      </c>
      <c r="C37" s="3234">
        <v>0.86099999999999999</v>
      </c>
      <c r="D37" s="3230" t="s">
        <v>205</v>
      </c>
      <c r="E37" s="3230" t="s">
        <v>205</v>
      </c>
      <c r="F37" s="3109">
        <f t="shared" si="1"/>
        <v>10.00183900665497</v>
      </c>
      <c r="G37" s="3206">
        <v>8.6115833847299292E-3</v>
      </c>
    </row>
    <row r="38" spans="2:7" ht="18" customHeight="1" x14ac:dyDescent="0.2">
      <c r="B38" s="285" t="s">
        <v>1006</v>
      </c>
      <c r="C38" s="3241">
        <v>89259.612999999998</v>
      </c>
      <c r="D38" s="3230" t="s">
        <v>205</v>
      </c>
      <c r="E38" s="3230" t="s">
        <v>205</v>
      </c>
      <c r="F38" s="3109" t="s">
        <v>205</v>
      </c>
      <c r="G38" s="3231" t="s">
        <v>221</v>
      </c>
    </row>
    <row r="39" spans="2:7" ht="18" customHeight="1" x14ac:dyDescent="0.2">
      <c r="B39" s="285" t="s">
        <v>1007</v>
      </c>
      <c r="C39" s="2654">
        <f>SUM(C41:C45)</f>
        <v>141.685</v>
      </c>
      <c r="D39" s="3225"/>
      <c r="E39" s="3225"/>
      <c r="F39" s="3109">
        <f t="shared" si="1"/>
        <v>7.7952086337228925</v>
      </c>
      <c r="G39" s="3106">
        <f>SUM(G41:G45)</f>
        <v>1.1044641352690281</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9.673</v>
      </c>
      <c r="D43" s="2974" t="s">
        <v>205</v>
      </c>
      <c r="E43" s="2974" t="s">
        <v>205</v>
      </c>
      <c r="F43" s="3109">
        <f t="shared" si="2"/>
        <v>5.0000868744065352</v>
      </c>
      <c r="G43" s="3170">
        <v>4.8365840336134419E-2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132.012</v>
      </c>
      <c r="D45" s="3225"/>
      <c r="E45" s="3225"/>
      <c r="F45" s="3109">
        <f>IF(SUM(C45)=0,"NA",G45*1000/C45)</f>
        <v>8.0000173842748659</v>
      </c>
      <c r="G45" s="3106">
        <f>G46</f>
        <v>1.0560982949328936</v>
      </c>
    </row>
    <row r="46" spans="2:7" ht="18" customHeight="1" thickBot="1" x14ac:dyDescent="0.25">
      <c r="B46" s="2655" t="s">
        <v>1013</v>
      </c>
      <c r="C46" s="3243">
        <v>132.012</v>
      </c>
      <c r="D46" s="3115" t="s">
        <v>205</v>
      </c>
      <c r="E46" s="3115" t="s">
        <v>205</v>
      </c>
      <c r="F46" s="3232">
        <f>IF(SUM(C46)=0,"NA",G46*1000/C46)</f>
        <v>8.0000173842748659</v>
      </c>
      <c r="G46" s="3172">
        <v>1.0560982949328936</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29290.77</v>
      </c>
      <c r="D10" s="2951"/>
      <c r="E10" s="2951"/>
      <c r="F10" s="2951"/>
      <c r="G10" s="2951"/>
      <c r="H10" s="2951"/>
      <c r="I10" s="3246"/>
      <c r="J10" s="3247">
        <f>IF(SUM(C10)=0,"NA",K10*1000/C10)</f>
        <v>5.7529627598811972</v>
      </c>
      <c r="K10" s="3248">
        <f>K15</f>
        <v>168.50870901824536</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29290.77</v>
      </c>
      <c r="D15" s="3260"/>
      <c r="E15" s="3260"/>
      <c r="F15" s="3260"/>
      <c r="G15" s="3260"/>
      <c r="H15" s="3260"/>
      <c r="I15" s="3255"/>
      <c r="J15" s="3254">
        <f>IF(SUM(C15)=0,"NA",K15*1000/C15)</f>
        <v>5.7529627598811972</v>
      </c>
      <c r="K15" s="3248">
        <f>SUM(K17:K20)</f>
        <v>168.50870901824536</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29290.77</v>
      </c>
      <c r="D20" s="3260"/>
      <c r="E20" s="3260"/>
      <c r="F20" s="3260"/>
      <c r="G20" s="3260"/>
      <c r="H20" s="3260"/>
      <c r="I20" s="3255"/>
      <c r="J20" s="3268">
        <f>IF(SUM(C20)=0,"NA",K20*1000/C20)</f>
        <v>5.7529627598811972</v>
      </c>
      <c r="K20" s="3248">
        <f>SUM(K21:K23)</f>
        <v>168.50870901824536</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2833.8649999999998</v>
      </c>
      <c r="D21" s="3290">
        <v>8.7382912277339653</v>
      </c>
      <c r="E21" s="3290">
        <v>91.261708772266033</v>
      </c>
      <c r="F21" s="3290" t="s">
        <v>199</v>
      </c>
      <c r="G21" s="3265">
        <f>Table3.A!K10</f>
        <v>454.87084064775598</v>
      </c>
      <c r="H21" s="3266">
        <v>3.2622946409501923</v>
      </c>
      <c r="I21" s="3267">
        <v>0.24</v>
      </c>
      <c r="J21" s="3268">
        <f>IF(SUM(C21)=0,"NA",K21*1000/C21)</f>
        <v>14.922369031210728</v>
      </c>
      <c r="K21" s="3244">
        <v>42.28797931463199</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25671.098999999998</v>
      </c>
      <c r="D22" s="3290" t="s">
        <v>199</v>
      </c>
      <c r="E22" s="3290">
        <v>82.668569684314647</v>
      </c>
      <c r="F22" s="3290">
        <v>17.331430315685353</v>
      </c>
      <c r="G22" s="3265">
        <f>Table3.A!L10</f>
        <v>359.11666603441529</v>
      </c>
      <c r="H22" s="3266" t="s">
        <v>205</v>
      </c>
      <c r="I22" s="3267" t="s">
        <v>205</v>
      </c>
      <c r="J22" s="3268">
        <f t="shared" ref="J22:J46" si="0">IF(SUM(C22)=0,"NA",K22*1000/C22)</f>
        <v>4.8098933513484212</v>
      </c>
      <c r="K22" s="3244">
        <v>123.47524840190709</v>
      </c>
      <c r="M22" s="1597" t="s">
        <v>1049</v>
      </c>
      <c r="N22" s="4511" t="s">
        <v>994</v>
      </c>
      <c r="O22" s="1693" t="s">
        <v>1051</v>
      </c>
      <c r="P22" s="1694" t="s">
        <v>1039</v>
      </c>
      <c r="Q22" s="4444">
        <v>6.4377786719637413</v>
      </c>
      <c r="R22" s="4445" t="s">
        <v>199</v>
      </c>
      <c r="S22" s="4445">
        <v>3.9046176406396631</v>
      </c>
      <c r="T22" s="4445">
        <v>1.6054109720811838</v>
      </c>
      <c r="U22" s="4445" t="s">
        <v>199</v>
      </c>
      <c r="V22" s="4445" t="s">
        <v>274</v>
      </c>
      <c r="W22" s="4445" t="s">
        <v>199</v>
      </c>
      <c r="X22" s="4445">
        <v>88.052192715315414</v>
      </c>
      <c r="Y22" s="4446" t="s">
        <v>199</v>
      </c>
      <c r="Z22" s="4446" t="s">
        <v>199</v>
      </c>
      <c r="AA22" s="4446" t="s">
        <v>199</v>
      </c>
      <c r="AB22" s="4447" t="s">
        <v>199</v>
      </c>
    </row>
    <row r="23" spans="2:28" s="84" customFormat="1" ht="18" customHeight="1" x14ac:dyDescent="0.2">
      <c r="B23" s="2661" t="s">
        <v>966</v>
      </c>
      <c r="C23" s="3290">
        <f>Table3.A!C23</f>
        <v>785.80600000000004</v>
      </c>
      <c r="D23" s="3290" t="s">
        <v>199</v>
      </c>
      <c r="E23" s="3290">
        <v>100</v>
      </c>
      <c r="F23" s="3290" t="s">
        <v>199</v>
      </c>
      <c r="G23" s="3265">
        <f>Table3.A!M10</f>
        <v>524.73704034096556</v>
      </c>
      <c r="H23" s="3266">
        <v>1.7100247915292222</v>
      </c>
      <c r="I23" s="3267">
        <v>0.19</v>
      </c>
      <c r="J23" s="3268">
        <f t="shared" si="0"/>
        <v>3.4938411029010363</v>
      </c>
      <c r="K23" s="3244">
        <v>2.7454813017062518</v>
      </c>
      <c r="M23" s="1667" t="s">
        <v>1061</v>
      </c>
      <c r="N23" s="4512"/>
      <c r="O23" s="1695" t="s">
        <v>1042</v>
      </c>
      <c r="P23" s="1696" t="s">
        <v>1040</v>
      </c>
      <c r="Q23" s="4448">
        <v>9.1787961569609013</v>
      </c>
      <c r="R23" s="4165" t="s">
        <v>199</v>
      </c>
      <c r="S23" s="4165">
        <v>1.9455045237227231</v>
      </c>
      <c r="T23" s="4166">
        <v>2.5114503679071865</v>
      </c>
      <c r="U23" s="4166" t="s">
        <v>199</v>
      </c>
      <c r="V23" s="4166" t="s">
        <v>274</v>
      </c>
      <c r="W23" s="4166" t="s">
        <v>199</v>
      </c>
      <c r="X23" s="4166">
        <v>86.364248951409166</v>
      </c>
      <c r="Y23" s="4166" t="s">
        <v>199</v>
      </c>
      <c r="Z23" s="4166" t="s">
        <v>199</v>
      </c>
      <c r="AA23" s="4166" t="s">
        <v>199</v>
      </c>
      <c r="AB23" s="4140" t="s">
        <v>199</v>
      </c>
    </row>
    <row r="24" spans="2:28" s="84" customFormat="1" ht="18" customHeight="1" thickBot="1" x14ac:dyDescent="0.25">
      <c r="B24" s="1646" t="s">
        <v>1062</v>
      </c>
      <c r="C24" s="4172">
        <f>C25</f>
        <v>75547.846000000005</v>
      </c>
      <c r="D24" s="3270"/>
      <c r="E24" s="3270"/>
      <c r="F24" s="3270"/>
      <c r="G24" s="3270"/>
      <c r="H24" s="3270"/>
      <c r="I24" s="3271"/>
      <c r="J24" s="3268">
        <f t="shared" si="0"/>
        <v>0.33786634060174231</v>
      </c>
      <c r="K24" s="3248">
        <f>K25</f>
        <v>25.525074268363976</v>
      </c>
      <c r="M24" s="1659"/>
      <c r="N24" s="4512"/>
      <c r="O24" s="1697"/>
      <c r="P24" s="1696" t="s">
        <v>1041</v>
      </c>
      <c r="Q24" s="4449" t="s">
        <v>199</v>
      </c>
      <c r="R24" s="4450" t="s">
        <v>199</v>
      </c>
      <c r="S24" s="4450" t="s">
        <v>199</v>
      </c>
      <c r="T24" s="4451" t="s">
        <v>199</v>
      </c>
      <c r="U24" s="4451" t="s">
        <v>199</v>
      </c>
      <c r="V24" s="4451" t="s">
        <v>274</v>
      </c>
      <c r="W24" s="4451" t="s">
        <v>199</v>
      </c>
      <c r="X24" s="4451" t="s">
        <v>199</v>
      </c>
      <c r="Y24" s="4451" t="s">
        <v>199</v>
      </c>
      <c r="Z24" s="4451" t="s">
        <v>199</v>
      </c>
      <c r="AA24" s="4451" t="s">
        <v>199</v>
      </c>
      <c r="AB24" s="4452" t="s">
        <v>199</v>
      </c>
    </row>
    <row r="25" spans="2:28" s="84" customFormat="1" ht="18" customHeight="1" x14ac:dyDescent="0.2">
      <c r="B25" s="1647" t="s">
        <v>1063</v>
      </c>
      <c r="C25" s="4172">
        <f>C26</f>
        <v>75547.846000000005</v>
      </c>
      <c r="D25" s="3217"/>
      <c r="E25" s="3217"/>
      <c r="F25" s="3217"/>
      <c r="G25" s="3217"/>
      <c r="H25" s="3217"/>
      <c r="I25" s="3227"/>
      <c r="J25" s="3268">
        <f t="shared" si="0"/>
        <v>0.33786634060174231</v>
      </c>
      <c r="K25" s="3248">
        <f>K26</f>
        <v>25.525074268363976</v>
      </c>
      <c r="M25" s="1659"/>
      <c r="N25" s="4512"/>
      <c r="O25" s="1698" t="s">
        <v>1054</v>
      </c>
      <c r="P25" s="1694" t="s">
        <v>1039</v>
      </c>
      <c r="Q25" s="4453">
        <v>0.7</v>
      </c>
      <c r="R25" s="4454" t="s">
        <v>199</v>
      </c>
      <c r="S25" s="4454">
        <v>3.9113636363636371E-2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75547.846000000005</v>
      </c>
      <c r="D26" s="3290" t="s">
        <v>199</v>
      </c>
      <c r="E26" s="3290">
        <v>100</v>
      </c>
      <c r="F26" s="3290" t="s">
        <v>199</v>
      </c>
      <c r="G26" s="3272">
        <f>Table3.A!N10</f>
        <v>43.468218254774463</v>
      </c>
      <c r="H26" s="3014" t="s">
        <v>205</v>
      </c>
      <c r="I26" s="3104" t="s">
        <v>205</v>
      </c>
      <c r="J26" s="3268">
        <f t="shared" si="0"/>
        <v>0.33786634060174231</v>
      </c>
      <c r="K26" s="3244">
        <v>25.525074268363976</v>
      </c>
      <c r="M26" s="1659"/>
      <c r="N26" s="4512"/>
      <c r="O26" s="1699"/>
      <c r="P26" s="1696" t="s">
        <v>1040</v>
      </c>
      <c r="Q26" s="4448">
        <v>0.73686270562356537</v>
      </c>
      <c r="R26" s="4165" t="s">
        <v>199</v>
      </c>
      <c r="S26" s="4165">
        <v>6.5825368852634875E-2</v>
      </c>
      <c r="T26" s="4166">
        <v>1.9999999999999997E-2</v>
      </c>
      <c r="U26" s="4166" t="s">
        <v>199</v>
      </c>
      <c r="V26" s="4166" t="s">
        <v>274</v>
      </c>
      <c r="W26" s="4166" t="s">
        <v>199</v>
      </c>
      <c r="X26" s="4166">
        <v>9.9999999999999985E-3</v>
      </c>
      <c r="Y26" s="4166" t="s">
        <v>199</v>
      </c>
      <c r="Z26" s="4166" t="s">
        <v>199</v>
      </c>
      <c r="AA26" s="4166" t="s">
        <v>199</v>
      </c>
      <c r="AB26" s="4140" t="s">
        <v>199</v>
      </c>
    </row>
    <row r="27" spans="2:28" s="84" customFormat="1" ht="18" customHeight="1" thickBot="1" x14ac:dyDescent="0.25">
      <c r="B27" s="1646" t="s">
        <v>1064</v>
      </c>
      <c r="C27" s="4172">
        <f>C28</f>
        <v>2098.1469999999999</v>
      </c>
      <c r="D27" s="3217"/>
      <c r="E27" s="3217"/>
      <c r="F27" s="3217"/>
      <c r="G27" s="3217"/>
      <c r="H27" s="3217"/>
      <c r="I27" s="3227"/>
      <c r="J27" s="3268">
        <f t="shared" si="0"/>
        <v>22.776679411066308</v>
      </c>
      <c r="K27" s="3248">
        <f>K28</f>
        <v>47.788821576290538</v>
      </c>
      <c r="M27" s="1659"/>
      <c r="N27" s="4513"/>
      <c r="O27" s="1700"/>
      <c r="P27" s="1696" t="s">
        <v>1041</v>
      </c>
      <c r="Q27" s="4449" t="s">
        <v>199</v>
      </c>
      <c r="R27" s="4450" t="s">
        <v>199</v>
      </c>
      <c r="S27" s="4450" t="s">
        <v>199</v>
      </c>
      <c r="T27" s="4451" t="s">
        <v>199</v>
      </c>
      <c r="U27" s="4451" t="s">
        <v>199</v>
      </c>
      <c r="V27" s="4451" t="s">
        <v>274</v>
      </c>
      <c r="W27" s="4451" t="s">
        <v>199</v>
      </c>
      <c r="X27" s="4451" t="s">
        <v>199</v>
      </c>
      <c r="Y27" s="4451" t="s">
        <v>199</v>
      </c>
      <c r="Z27" s="4451" t="s">
        <v>199</v>
      </c>
      <c r="AA27" s="4451" t="s">
        <v>199</v>
      </c>
      <c r="AB27" s="4452" t="s">
        <v>199</v>
      </c>
    </row>
    <row r="28" spans="2:28" s="84" customFormat="1" ht="18" customHeight="1" x14ac:dyDescent="0.2">
      <c r="B28" s="1647" t="s">
        <v>1065</v>
      </c>
      <c r="C28" s="4172">
        <f>C29</f>
        <v>2098.1469999999999</v>
      </c>
      <c r="D28" s="3217"/>
      <c r="E28" s="3217"/>
      <c r="F28" s="3217"/>
      <c r="G28" s="3217"/>
      <c r="H28" s="3217"/>
      <c r="I28" s="3227"/>
      <c r="J28" s="3268">
        <f t="shared" si="0"/>
        <v>22.776679411066308</v>
      </c>
      <c r="K28" s="3248">
        <f>K29</f>
        <v>47.788821576290538</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2098.1469999999999</v>
      </c>
      <c r="D29" s="3290">
        <v>0.59310266032056247</v>
      </c>
      <c r="E29" s="3290">
        <v>99.406897339679432</v>
      </c>
      <c r="F29" s="3290" t="s">
        <v>199</v>
      </c>
      <c r="G29" s="3272">
        <f>Table3.A!O10</f>
        <v>56.920128069315517</v>
      </c>
      <c r="H29" s="3014">
        <v>0.39627533037749002</v>
      </c>
      <c r="I29" s="3104">
        <v>0.45</v>
      </c>
      <c r="J29" s="3268">
        <f t="shared" si="0"/>
        <v>22.776679411066308</v>
      </c>
      <c r="K29" s="3244">
        <v>47.788821576290538</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90219.266999999993</v>
      </c>
      <c r="D30" s="3217"/>
      <c r="E30" s="3217"/>
      <c r="F30" s="3217"/>
      <c r="G30" s="3217"/>
      <c r="H30" s="3217"/>
      <c r="I30" s="3227"/>
      <c r="J30" s="3268">
        <f t="shared" si="0"/>
        <v>4.8618217988024189E-2</v>
      </c>
      <c r="K30" s="3248">
        <f>SUM(K32:K39)</f>
        <v>4.3862999897257566</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5.0890000000000004</v>
      </c>
      <c r="D32" s="3290" t="s">
        <v>199</v>
      </c>
      <c r="E32" s="3290">
        <v>34.310358085392807</v>
      </c>
      <c r="F32" s="3290">
        <v>65.689641914607193</v>
      </c>
      <c r="G32" s="3274" t="s">
        <v>205</v>
      </c>
      <c r="H32" s="3274" t="s">
        <v>205</v>
      </c>
      <c r="I32" s="3274" t="s">
        <v>205</v>
      </c>
      <c r="J32" s="3268">
        <f t="shared" si="0"/>
        <v>8.629576980932061</v>
      </c>
      <c r="K32" s="3244">
        <v>4.3915917255963256E-2</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3.2629999999999999</v>
      </c>
      <c r="D33" s="3290" t="s">
        <v>199</v>
      </c>
      <c r="E33" s="3290">
        <v>21.475934970551833</v>
      </c>
      <c r="F33" s="3290">
        <v>78.524065029448167</v>
      </c>
      <c r="G33" s="3274" t="s">
        <v>205</v>
      </c>
      <c r="H33" s="3274" t="s">
        <v>205</v>
      </c>
      <c r="I33" s="3274" t="s">
        <v>205</v>
      </c>
      <c r="J33" s="3254">
        <f t="shared" si="0"/>
        <v>9.7299830582010678</v>
      </c>
      <c r="K33" s="3244">
        <v>3.1748934718910084E-2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38.395000000000003</v>
      </c>
      <c r="D34" s="3290" t="s">
        <v>199</v>
      </c>
      <c r="E34" s="3290">
        <v>98.888532958113444</v>
      </c>
      <c r="F34" s="3290">
        <v>1.1114670418865535</v>
      </c>
      <c r="G34" s="3274" t="s">
        <v>205</v>
      </c>
      <c r="H34" s="3274" t="s">
        <v>205</v>
      </c>
      <c r="I34" s="3274" t="s">
        <v>205</v>
      </c>
      <c r="J34" s="3254">
        <f t="shared" si="0"/>
        <v>1.0316339171529203</v>
      </c>
      <c r="K34" s="3244">
        <v>3.960958424908638E-2</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516.14300000000003</v>
      </c>
      <c r="D35" s="3290" t="s">
        <v>199</v>
      </c>
      <c r="E35" s="3290">
        <v>99.913589838474991</v>
      </c>
      <c r="F35" s="3290">
        <v>8.641016152500372E-2</v>
      </c>
      <c r="G35" s="3274" t="s">
        <v>205</v>
      </c>
      <c r="H35" s="3274" t="s">
        <v>205</v>
      </c>
      <c r="I35" s="3274" t="s">
        <v>205</v>
      </c>
      <c r="J35" s="3254">
        <f t="shared" si="0"/>
        <v>0.35820472932343683</v>
      </c>
      <c r="K35" s="3244">
        <v>0.18488486360718667</v>
      </c>
      <c r="M35" s="1667"/>
      <c r="N35" s="4512"/>
      <c r="O35" s="1695" t="s">
        <v>1042</v>
      </c>
      <c r="P35" s="1696" t="s">
        <v>1040</v>
      </c>
      <c r="Q35" s="4448">
        <v>1.7999999999999998</v>
      </c>
      <c r="R35" s="4165" t="s">
        <v>199</v>
      </c>
      <c r="S35" s="4165" t="s">
        <v>199</v>
      </c>
      <c r="T35" s="4166" t="s">
        <v>274</v>
      </c>
      <c r="U35" s="4166" t="s">
        <v>199</v>
      </c>
      <c r="V35" s="4166">
        <v>100</v>
      </c>
      <c r="W35" s="4166" t="s">
        <v>199</v>
      </c>
      <c r="X35" s="4166" t="s">
        <v>199</v>
      </c>
      <c r="Y35" s="4166">
        <v>19</v>
      </c>
      <c r="Z35" s="4166" t="s">
        <v>199</v>
      </c>
      <c r="AA35" s="4166" t="s">
        <v>199</v>
      </c>
      <c r="AB35" s="4140" t="s">
        <v>199</v>
      </c>
    </row>
    <row r="36" spans="2:28" s="84" customFormat="1" ht="18" customHeight="1" thickBot="1" x14ac:dyDescent="0.25">
      <c r="B36" s="1647" t="s">
        <v>1071</v>
      </c>
      <c r="C36" s="3274">
        <f>Table3.A!C36</f>
        <v>254.21799999999999</v>
      </c>
      <c r="D36" s="3290" t="s">
        <v>199</v>
      </c>
      <c r="E36" s="3290">
        <v>97.628856714567107</v>
      </c>
      <c r="F36" s="3290">
        <v>2.3711432854328907</v>
      </c>
      <c r="G36" s="3274" t="s">
        <v>205</v>
      </c>
      <c r="H36" s="3274" t="s">
        <v>205</v>
      </c>
      <c r="I36" s="3274" t="s">
        <v>205</v>
      </c>
      <c r="J36" s="3254">
        <f t="shared" si="0"/>
        <v>3.2028388739022913</v>
      </c>
      <c r="K36" s="3244">
        <v>0.81421929284569261</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0.86099999999999999</v>
      </c>
      <c r="D37" s="3290" t="s">
        <v>199</v>
      </c>
      <c r="E37" s="3290">
        <v>96.728275269248215</v>
      </c>
      <c r="F37" s="3290">
        <v>3.2717247307517856</v>
      </c>
      <c r="G37" s="3274" t="s">
        <v>205</v>
      </c>
      <c r="H37" s="3274" t="s">
        <v>205</v>
      </c>
      <c r="I37" s="3274" t="s">
        <v>205</v>
      </c>
      <c r="J37" s="3254">
        <f t="shared" si="0"/>
        <v>1.0935436050982703</v>
      </c>
      <c r="K37" s="3244">
        <v>9.4154104398961084E-4</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89259.612999999998</v>
      </c>
      <c r="D38" s="3290">
        <v>0.88404709351071376</v>
      </c>
      <c r="E38" s="3290">
        <v>99.115952906489284</v>
      </c>
      <c r="F38" s="3290" t="s">
        <v>199</v>
      </c>
      <c r="G38" s="3274" t="s">
        <v>205</v>
      </c>
      <c r="H38" s="3274" t="s">
        <v>205</v>
      </c>
      <c r="I38" s="3274" t="s">
        <v>205</v>
      </c>
      <c r="J38" s="3254">
        <f t="shared" si="0"/>
        <v>3.6078494403092499E-2</v>
      </c>
      <c r="K38" s="3244">
        <v>3.2203524480427022</v>
      </c>
      <c r="M38" s="1659"/>
      <c r="N38" s="4512"/>
      <c r="O38" s="1699"/>
      <c r="P38" s="1696" t="s">
        <v>1040</v>
      </c>
      <c r="Q38" s="4448">
        <v>0.76319828296791881</v>
      </c>
      <c r="R38" s="4165" t="s">
        <v>199</v>
      </c>
      <c r="S38" s="4165" t="s">
        <v>199</v>
      </c>
      <c r="T38" s="4166" t="s">
        <v>274</v>
      </c>
      <c r="U38" s="4166" t="s">
        <v>199</v>
      </c>
      <c r="V38" s="4166">
        <v>2.1882121684935186E-2</v>
      </c>
      <c r="W38" s="4166" t="s">
        <v>199</v>
      </c>
      <c r="X38" s="4166" t="s">
        <v>199</v>
      </c>
      <c r="Y38" s="4166">
        <v>0.01</v>
      </c>
      <c r="Z38" s="4166" t="s">
        <v>199</v>
      </c>
      <c r="AA38" s="4166" t="s">
        <v>199</v>
      </c>
      <c r="AB38" s="4140" t="s">
        <v>199</v>
      </c>
    </row>
    <row r="39" spans="2:28" s="84" customFormat="1" ht="18" customHeight="1" thickBot="1" x14ac:dyDescent="0.25">
      <c r="B39" s="1647" t="s">
        <v>1074</v>
      </c>
      <c r="C39" s="4172">
        <f>SUM(C41:C45)</f>
        <v>141.685</v>
      </c>
      <c r="D39" s="3261"/>
      <c r="E39" s="3261"/>
      <c r="F39" s="3261"/>
      <c r="G39" s="3261"/>
      <c r="H39" s="3261"/>
      <c r="I39" s="3262"/>
      <c r="J39" s="3254">
        <f t="shared" si="0"/>
        <v>0.35732369666673458</v>
      </c>
      <c r="K39" s="3248">
        <f>SUM(K41:K45)</f>
        <v>5.0627407962226291E-2</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73</v>
      </c>
      <c r="R40" s="4445" t="s">
        <v>199</v>
      </c>
      <c r="S40" s="4445" t="s">
        <v>199</v>
      </c>
      <c r="T40" s="4446" t="s">
        <v>274</v>
      </c>
      <c r="U40" s="4446" t="s">
        <v>274</v>
      </c>
      <c r="V40" s="4446">
        <v>23</v>
      </c>
      <c r="W40" s="4446" t="s">
        <v>274</v>
      </c>
      <c r="X40" s="4446" t="s">
        <v>199</v>
      </c>
      <c r="Y40" s="4446" t="s">
        <v>199</v>
      </c>
      <c r="Z40" s="4446" t="s">
        <v>199</v>
      </c>
      <c r="AA40" s="4446" t="s">
        <v>199</v>
      </c>
      <c r="AB40" s="4447">
        <v>23</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65.035498518168652</v>
      </c>
      <c r="R41" s="4165" t="s">
        <v>199</v>
      </c>
      <c r="S41" s="4165" t="s">
        <v>199</v>
      </c>
      <c r="T41" s="4166" t="s">
        <v>274</v>
      </c>
      <c r="U41" s="4166" t="s">
        <v>274</v>
      </c>
      <c r="V41" s="4166">
        <v>27.541114848748933</v>
      </c>
      <c r="W41" s="4166" t="s">
        <v>274</v>
      </c>
      <c r="X41" s="4166" t="s">
        <v>199</v>
      </c>
      <c r="Y41" s="4166" t="s">
        <v>199</v>
      </c>
      <c r="Z41" s="4166">
        <v>5.9033590251160968</v>
      </c>
      <c r="AA41" s="4166" t="s">
        <v>199</v>
      </c>
      <c r="AB41" s="4140">
        <v>23.015617684329506</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9.673</v>
      </c>
      <c r="D43" s="3290" t="s">
        <v>199</v>
      </c>
      <c r="E43" s="3290">
        <v>100</v>
      </c>
      <c r="F43" s="3290" t="s">
        <v>199</v>
      </c>
      <c r="G43" s="3274" t="s">
        <v>205</v>
      </c>
      <c r="H43" s="3274" t="s">
        <v>205</v>
      </c>
      <c r="I43" s="3274" t="s">
        <v>205</v>
      </c>
      <c r="J43" s="3254">
        <f t="shared" si="0"/>
        <v>0.35732875778301937</v>
      </c>
      <c r="K43" s="3244">
        <v>3.4564410740351463E-3</v>
      </c>
      <c r="M43" s="4516"/>
      <c r="N43" s="4517"/>
      <c r="O43" s="1698" t="s">
        <v>1054</v>
      </c>
      <c r="P43" s="1694" t="s">
        <v>1039</v>
      </c>
      <c r="Q43" s="4444">
        <v>0.7</v>
      </c>
      <c r="R43" s="4445" t="s">
        <v>199</v>
      </c>
      <c r="S43" s="4445" t="s">
        <v>199</v>
      </c>
      <c r="T43" s="4446" t="s">
        <v>274</v>
      </c>
      <c r="U43" s="4446" t="s">
        <v>274</v>
      </c>
      <c r="V43" s="4446">
        <v>1.9130434782608695E-2</v>
      </c>
      <c r="W43" s="4446" t="s">
        <v>274</v>
      </c>
      <c r="X43" s="4446" t="s">
        <v>199</v>
      </c>
      <c r="Y43" s="4446" t="s">
        <v>199</v>
      </c>
      <c r="Z43" s="4446" t="s">
        <v>199</v>
      </c>
      <c r="AA43" s="4446" t="s">
        <v>199</v>
      </c>
      <c r="AB43" s="4447">
        <v>3.8695652173913041E-2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0.75341496171439071</v>
      </c>
      <c r="R44" s="4165" t="s">
        <v>199</v>
      </c>
      <c r="S44" s="4165" t="s">
        <v>199</v>
      </c>
      <c r="T44" s="4166" t="s">
        <v>274</v>
      </c>
      <c r="U44" s="4166" t="s">
        <v>274</v>
      </c>
      <c r="V44" s="4166">
        <v>1.9046258807767887E-2</v>
      </c>
      <c r="W44" s="4166" t="s">
        <v>274</v>
      </c>
      <c r="X44" s="4166" t="s">
        <v>199</v>
      </c>
      <c r="Y44" s="4166" t="s">
        <v>199</v>
      </c>
      <c r="Z44" s="4166">
        <v>0.10000000000000002</v>
      </c>
      <c r="AA44" s="4166" t="s">
        <v>199</v>
      </c>
      <c r="AB44" s="4140">
        <v>3.9427151196466281E-2</v>
      </c>
    </row>
    <row r="45" spans="2:28" s="84" customFormat="1" ht="18" customHeight="1" thickBot="1" x14ac:dyDescent="0.25">
      <c r="B45" s="2663" t="s">
        <v>1079</v>
      </c>
      <c r="C45" s="4172">
        <f>C46</f>
        <v>132.012</v>
      </c>
      <c r="D45" s="3261"/>
      <c r="E45" s="3261"/>
      <c r="F45" s="3261"/>
      <c r="G45" s="3261"/>
      <c r="H45" s="3261"/>
      <c r="I45" s="3262"/>
      <c r="J45" s="3254">
        <f t="shared" si="0"/>
        <v>0.3573233258203129</v>
      </c>
      <c r="K45" s="3248">
        <f>K46</f>
        <v>4.7170966888191147E-2</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132.012</v>
      </c>
      <c r="D46" s="3021" t="s">
        <v>199</v>
      </c>
      <c r="E46" s="3021">
        <v>100</v>
      </c>
      <c r="F46" s="3021" t="s">
        <v>199</v>
      </c>
      <c r="G46" s="3021" t="s">
        <v>205</v>
      </c>
      <c r="H46" s="3021" t="s">
        <v>205</v>
      </c>
      <c r="I46" s="3275" t="s">
        <v>205</v>
      </c>
      <c r="J46" s="3276">
        <f t="shared" si="0"/>
        <v>0.3573233258203129</v>
      </c>
      <c r="K46" s="3245">
        <v>4.7170966888191147E-2</v>
      </c>
      <c r="M46" s="4514" t="s">
        <v>1080</v>
      </c>
      <c r="N46" s="4515"/>
      <c r="O46" s="1693" t="s">
        <v>1051</v>
      </c>
      <c r="P46" s="1694" t="s">
        <v>1039</v>
      </c>
      <c r="Q46" s="4444" t="s">
        <v>199</v>
      </c>
      <c r="R46" s="4445" t="s">
        <v>199</v>
      </c>
      <c r="S46" s="4445" t="s">
        <v>199</v>
      </c>
      <c r="T46" s="4446">
        <v>45.029206746168612</v>
      </c>
      <c r="U46" s="4446" t="s">
        <v>199</v>
      </c>
      <c r="V46" s="4446" t="s">
        <v>199</v>
      </c>
      <c r="W46" s="4446" t="s">
        <v>274</v>
      </c>
      <c r="X46" s="4446">
        <v>1.9256725318727403</v>
      </c>
      <c r="Y46" s="4446">
        <v>18.463953680721502</v>
      </c>
      <c r="Z46" s="4446">
        <v>0.30603054576039374</v>
      </c>
      <c r="AA46" s="4446" t="s">
        <v>199</v>
      </c>
      <c r="AB46" s="4447">
        <v>97.412113114261231</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43.176483001169821</v>
      </c>
      <c r="U47" s="4166" t="s">
        <v>199</v>
      </c>
      <c r="V47" s="4166" t="s">
        <v>199</v>
      </c>
      <c r="W47" s="4166" t="s">
        <v>274</v>
      </c>
      <c r="X47" s="4166">
        <v>2.6953931552273422</v>
      </c>
      <c r="Y47" s="4166">
        <v>18.80935225089533</v>
      </c>
      <c r="Z47" s="4166">
        <v>0.22619760381863818</v>
      </c>
      <c r="AA47" s="4166" t="s">
        <v>199</v>
      </c>
      <c r="AB47" s="4140">
        <v>97.304606844772678</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0.02</v>
      </c>
      <c r="U50" s="4166" t="s">
        <v>199</v>
      </c>
      <c r="V50" s="4166" t="s">
        <v>199</v>
      </c>
      <c r="W50" s="4166" t="s">
        <v>274</v>
      </c>
      <c r="X50" s="4166">
        <v>1.3599638005558501E-2</v>
      </c>
      <c r="Y50" s="4166">
        <v>0.01</v>
      </c>
      <c r="Z50" s="4166">
        <v>0.10000000000000002</v>
      </c>
      <c r="AA50" s="4166" t="s">
        <v>199</v>
      </c>
      <c r="AB50" s="4140">
        <v>1.5000000000000001E-2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29290.77</v>
      </c>
      <c r="D10" s="3453"/>
      <c r="E10" s="3454"/>
      <c r="F10" s="3441">
        <f>F15</f>
        <v>31734666.996830866</v>
      </c>
      <c r="G10" s="3441" t="str">
        <f t="shared" ref="G10:R10" si="0">G15</f>
        <v>NO</v>
      </c>
      <c r="H10" s="3441">
        <f t="shared" si="0"/>
        <v>7217935.8264343999</v>
      </c>
      <c r="I10" s="3441">
        <f t="shared" si="0"/>
        <v>19646464.910592061</v>
      </c>
      <c r="J10" s="3441" t="str">
        <f t="shared" si="0"/>
        <v>NO</v>
      </c>
      <c r="K10" s="3441">
        <f t="shared" si="0"/>
        <v>55616949.241093919</v>
      </c>
      <c r="L10" s="3441" t="str">
        <f t="shared" si="0"/>
        <v>NO</v>
      </c>
      <c r="M10" s="3441">
        <f t="shared" si="0"/>
        <v>1191204094.5617251</v>
      </c>
      <c r="N10" s="3441">
        <f t="shared" si="0"/>
        <v>7959230.3719944721</v>
      </c>
      <c r="O10" s="3441" t="str">
        <f t="shared" si="0"/>
        <v>NO</v>
      </c>
      <c r="P10" s="3441" t="str">
        <f t="shared" si="0"/>
        <v>NO</v>
      </c>
      <c r="Q10" s="3441" t="str">
        <f t="shared" si="0"/>
        <v>NO</v>
      </c>
      <c r="R10" s="3441">
        <f t="shared" si="0"/>
        <v>1313379341.9086709</v>
      </c>
      <c r="S10" s="2670"/>
      <c r="T10" s="2671"/>
      <c r="U10" s="3419">
        <f>IF(SUM(X10)=0,"NA",X10*1000/C10)</f>
        <v>2.5652730954997236E-2</v>
      </c>
      <c r="V10" s="3411"/>
      <c r="W10" s="3412"/>
      <c r="X10" s="3278">
        <f t="shared" ref="X10" si="1">X15</f>
        <v>0.75138824227470447</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29290.77</v>
      </c>
      <c r="D15" s="3456"/>
      <c r="E15" s="3456"/>
      <c r="F15" s="2668">
        <f>F20</f>
        <v>31734666.996830866</v>
      </c>
      <c r="G15" s="2668" t="str">
        <f t="shared" ref="G15:R15" si="2">G20</f>
        <v>NO</v>
      </c>
      <c r="H15" s="2668">
        <f t="shared" si="2"/>
        <v>7217935.8264343999</v>
      </c>
      <c r="I15" s="2668">
        <f t="shared" si="2"/>
        <v>19646464.910592061</v>
      </c>
      <c r="J15" s="2668" t="str">
        <f t="shared" si="2"/>
        <v>NO</v>
      </c>
      <c r="K15" s="2668">
        <f t="shared" si="2"/>
        <v>55616949.241093919</v>
      </c>
      <c r="L15" s="2668" t="str">
        <f t="shared" si="2"/>
        <v>NO</v>
      </c>
      <c r="M15" s="2668">
        <f t="shared" si="2"/>
        <v>1191204094.5617251</v>
      </c>
      <c r="N15" s="2668">
        <f t="shared" si="2"/>
        <v>7959230.3719944721</v>
      </c>
      <c r="O15" s="2668" t="str">
        <f t="shared" si="2"/>
        <v>NO</v>
      </c>
      <c r="P15" s="2668" t="str">
        <f t="shared" si="2"/>
        <v>NO</v>
      </c>
      <c r="Q15" s="2668" t="str">
        <f t="shared" si="2"/>
        <v>NO</v>
      </c>
      <c r="R15" s="2668">
        <f t="shared" si="2"/>
        <v>1313379341.9086709</v>
      </c>
      <c r="S15" s="2676"/>
      <c r="T15" s="2677"/>
      <c r="U15" s="3419">
        <f>IF(SUM(X15)=0,"NA",X15*1000/C15)</f>
        <v>2.5652730954997236E-2</v>
      </c>
      <c r="V15" s="3417"/>
      <c r="W15" s="3418"/>
      <c r="X15" s="3281">
        <f t="shared" ref="X15" si="3">X20</f>
        <v>0.75138824227470447</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29290.77</v>
      </c>
      <c r="D20" s="3455"/>
      <c r="E20" s="3455"/>
      <c r="F20" s="2668">
        <f>IF(SUM(F21:F23)=0,"NO",SUM(F21:F23))</f>
        <v>31734666.996830866</v>
      </c>
      <c r="G20" s="2668" t="str">
        <f t="shared" ref="G20:Q20" si="6">IF(SUM(G21:G23)=0,"NO",SUM(G21:G23))</f>
        <v>NO</v>
      </c>
      <c r="H20" s="2668">
        <f t="shared" si="6"/>
        <v>7217935.8264343999</v>
      </c>
      <c r="I20" s="2668">
        <f t="shared" si="6"/>
        <v>19646464.910592061</v>
      </c>
      <c r="J20" s="2668" t="str">
        <f t="shared" si="6"/>
        <v>NO</v>
      </c>
      <c r="K20" s="2668">
        <f t="shared" si="6"/>
        <v>55616949.241093919</v>
      </c>
      <c r="L20" s="2668" t="str">
        <f t="shared" si="6"/>
        <v>NO</v>
      </c>
      <c r="M20" s="2668">
        <f t="shared" si="6"/>
        <v>1191204094.5617251</v>
      </c>
      <c r="N20" s="2668">
        <f t="shared" si="6"/>
        <v>7959230.3719944721</v>
      </c>
      <c r="O20" s="2668" t="str">
        <f t="shared" si="6"/>
        <v>NO</v>
      </c>
      <c r="P20" s="2668" t="str">
        <f t="shared" si="6"/>
        <v>NO</v>
      </c>
      <c r="Q20" s="2668" t="str">
        <f t="shared" si="6"/>
        <v>NO</v>
      </c>
      <c r="R20" s="3445">
        <f>IF(SUM(F20:Q20)=0,"NO",SUM(F20:Q20))</f>
        <v>1313379341.9086709</v>
      </c>
      <c r="S20" s="2676"/>
      <c r="T20" s="2677"/>
      <c r="U20" s="3419">
        <f t="shared" si="4"/>
        <v>2.5652730954997236E-2</v>
      </c>
      <c r="V20" s="3417"/>
      <c r="W20" s="3418"/>
      <c r="X20" s="3281">
        <f t="shared" ref="X20" si="7">IF(SUM(X21:X23)=0,"NO",SUM(X21:X23))</f>
        <v>0.75138824227470447</v>
      </c>
      <c r="Y20" s="3142"/>
      <c r="Z20" s="3420"/>
    </row>
    <row r="21" spans="2:26" ht="18" customHeight="1" x14ac:dyDescent="0.2">
      <c r="B21" s="2666" t="s">
        <v>994</v>
      </c>
      <c r="C21" s="3458">
        <f>Table3.A!C21</f>
        <v>2833.8649999999998</v>
      </c>
      <c r="D21" s="3274">
        <v>123.63152135010316</v>
      </c>
      <c r="E21" s="3457">
        <f>'Table3.B(a)'!G21</f>
        <v>454.87084064775598</v>
      </c>
      <c r="F21" s="3442">
        <v>30733561.910491176</v>
      </c>
      <c r="G21" s="3442" t="s">
        <v>199</v>
      </c>
      <c r="H21" s="3442">
        <v>7217935.8264343999</v>
      </c>
      <c r="I21" s="3442">
        <v>8335979.6451262347</v>
      </c>
      <c r="J21" s="3442" t="s">
        <v>199</v>
      </c>
      <c r="K21" s="3442" t="s">
        <v>274</v>
      </c>
      <c r="L21" s="3442" t="s">
        <v>199</v>
      </c>
      <c r="M21" s="3442">
        <v>304067511.94351935</v>
      </c>
      <c r="N21" s="3442" t="s">
        <v>199</v>
      </c>
      <c r="O21" s="3442" t="s">
        <v>199</v>
      </c>
      <c r="P21" s="3442" t="s">
        <v>199</v>
      </c>
      <c r="Q21" s="3442" t="s">
        <v>199</v>
      </c>
      <c r="R21" s="3445">
        <f t="shared" ref="R21:R46" si="8">IF(SUM(F21:Q21)=0,"NO",SUM(F21:Q21))</f>
        <v>350354989.32557118</v>
      </c>
      <c r="S21" s="2676"/>
      <c r="T21" s="2677"/>
      <c r="U21" s="3419">
        <f t="shared" si="4"/>
        <v>2.3112245264326928E-2</v>
      </c>
      <c r="V21" s="3417"/>
      <c r="W21" s="3418"/>
      <c r="X21" s="3282">
        <v>6.5496982925991834E-2</v>
      </c>
      <c r="Y21" s="3142"/>
      <c r="Z21" s="3420"/>
    </row>
    <row r="22" spans="2:26" ht="18" customHeight="1" x14ac:dyDescent="0.2">
      <c r="B22" s="2666" t="s">
        <v>965</v>
      </c>
      <c r="C22" s="3458">
        <f>Table3.A!C22</f>
        <v>25671.098999999998</v>
      </c>
      <c r="D22" s="3274">
        <v>34.557795419109645</v>
      </c>
      <c r="E22" s="3457">
        <f>'Table3.B(a)'!G22</f>
        <v>359.11666603441529</v>
      </c>
      <c r="F22" s="3446" t="s">
        <v>199</v>
      </c>
      <c r="G22" s="3442" t="s">
        <v>199</v>
      </c>
      <c r="H22" s="3446" t="s">
        <v>199</v>
      </c>
      <c r="I22" s="3446" t="s">
        <v>199</v>
      </c>
      <c r="J22" s="3446" t="s">
        <v>199</v>
      </c>
      <c r="K22" s="3446" t="s">
        <v>199</v>
      </c>
      <c r="L22" s="3446" t="s">
        <v>199</v>
      </c>
      <c r="M22" s="3446">
        <v>887136582.61820567</v>
      </c>
      <c r="N22" s="3446" t="s">
        <v>199</v>
      </c>
      <c r="O22" s="3446" t="s">
        <v>199</v>
      </c>
      <c r="P22" s="3446" t="s">
        <v>199</v>
      </c>
      <c r="Q22" s="3446" t="s">
        <v>199</v>
      </c>
      <c r="R22" s="3445">
        <f t="shared" si="8"/>
        <v>887136582.61820567</v>
      </c>
      <c r="S22" s="2676"/>
      <c r="T22" s="2677"/>
      <c r="U22" s="3419" t="str">
        <f>IF(SUM(X22)=0,"NA",X22*1000/C22)</f>
        <v>NA</v>
      </c>
      <c r="V22" s="3417"/>
      <c r="W22" s="3418"/>
      <c r="X22" s="3282" t="s">
        <v>205</v>
      </c>
      <c r="Y22" s="3142"/>
      <c r="Z22" s="3420"/>
    </row>
    <row r="23" spans="2:26" ht="18" customHeight="1" x14ac:dyDescent="0.2">
      <c r="B23" s="2666" t="s">
        <v>966</v>
      </c>
      <c r="C23" s="3458">
        <f>Table3.A!C23</f>
        <v>785.80600000000004</v>
      </c>
      <c r="D23" s="3274">
        <v>70.776950942183063</v>
      </c>
      <c r="E23" s="3457">
        <f>'Table3.B(a)'!G23</f>
        <v>524.73704034096556</v>
      </c>
      <c r="F23" s="3446">
        <v>1001105.0863396904</v>
      </c>
      <c r="G23" s="3442" t="s">
        <v>199</v>
      </c>
      <c r="H23" s="3446" t="s">
        <v>199</v>
      </c>
      <c r="I23" s="3446">
        <v>11310485.265465826</v>
      </c>
      <c r="J23" s="3446" t="s">
        <v>274</v>
      </c>
      <c r="K23" s="3446">
        <v>55616949.241093919</v>
      </c>
      <c r="L23" s="3446" t="s">
        <v>199</v>
      </c>
      <c r="M23" s="3446" t="s">
        <v>199</v>
      </c>
      <c r="N23" s="3446">
        <v>7959230.3719944721</v>
      </c>
      <c r="O23" s="3446" t="s">
        <v>199</v>
      </c>
      <c r="P23" s="3446" t="s">
        <v>199</v>
      </c>
      <c r="Q23" s="3446" t="s">
        <v>199</v>
      </c>
      <c r="R23" s="3445">
        <f t="shared" si="8"/>
        <v>75887769.964893907</v>
      </c>
      <c r="S23" s="2676"/>
      <c r="T23" s="2677"/>
      <c r="U23" s="3419">
        <f t="shared" ref="U23:U30" si="9">IF(SUM(X23)=0,"NA",X23*1000/C23)</f>
        <v>0.87285062642524058</v>
      </c>
      <c r="V23" s="3417"/>
      <c r="W23" s="3418"/>
      <c r="X23" s="3282">
        <v>0.68589125934871265</v>
      </c>
      <c r="Y23" s="3142"/>
      <c r="Z23" s="3420"/>
    </row>
    <row r="24" spans="2:26" ht="18" customHeight="1" x14ac:dyDescent="0.2">
      <c r="B24" s="349" t="s">
        <v>1062</v>
      </c>
      <c r="C24" s="3281">
        <f>C25</f>
        <v>75547.846000000005</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514235266.56287402</v>
      </c>
      <c r="N24" s="2668" t="str">
        <f t="shared" si="10"/>
        <v>NO</v>
      </c>
      <c r="O24" s="2668" t="str">
        <f t="shared" si="10"/>
        <v>NO</v>
      </c>
      <c r="P24" s="2668" t="str">
        <f t="shared" si="10"/>
        <v>NO</v>
      </c>
      <c r="Q24" s="2668" t="str">
        <f t="shared" si="10"/>
        <v>NO</v>
      </c>
      <c r="R24" s="3445">
        <f t="shared" si="8"/>
        <v>514235266.56287402</v>
      </c>
      <c r="S24" s="2676"/>
      <c r="T24" s="2677"/>
      <c r="U24" s="3419" t="str">
        <f t="shared" si="9"/>
        <v>NA</v>
      </c>
      <c r="V24" s="3417"/>
      <c r="W24" s="3418"/>
      <c r="X24" s="3281" t="str">
        <f t="shared" ref="X24:X25" si="11">X25</f>
        <v>NA</v>
      </c>
      <c r="Y24" s="3142"/>
      <c r="Z24" s="3420"/>
    </row>
    <row r="25" spans="2:26" ht="18" customHeight="1" x14ac:dyDescent="0.2">
      <c r="B25" s="348" t="s">
        <v>1063</v>
      </c>
      <c r="C25" s="3281">
        <f>C26</f>
        <v>75547.846000000005</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514235266.56287402</v>
      </c>
      <c r="N25" s="2668" t="str">
        <f t="shared" si="10"/>
        <v>NO</v>
      </c>
      <c r="O25" s="2668" t="str">
        <f t="shared" si="10"/>
        <v>NO</v>
      </c>
      <c r="P25" s="2668" t="str">
        <f t="shared" si="10"/>
        <v>NO</v>
      </c>
      <c r="Q25" s="2668" t="str">
        <f t="shared" si="10"/>
        <v>NO</v>
      </c>
      <c r="R25" s="3445">
        <f t="shared" si="8"/>
        <v>514235266.56287402</v>
      </c>
      <c r="S25" s="2676"/>
      <c r="T25" s="2677"/>
      <c r="U25" s="3419" t="str">
        <f t="shared" si="9"/>
        <v>NA</v>
      </c>
      <c r="V25" s="3417"/>
      <c r="W25" s="3418"/>
      <c r="X25" s="3281" t="str">
        <f t="shared" si="11"/>
        <v>NA</v>
      </c>
      <c r="Y25" s="3142"/>
      <c r="Z25" s="3420"/>
    </row>
    <row r="26" spans="2:26" ht="18" customHeight="1" x14ac:dyDescent="0.2">
      <c r="B26" s="2661" t="s">
        <v>967</v>
      </c>
      <c r="C26" s="3458">
        <f>Table3.A!C26</f>
        <v>75547.846000000005</v>
      </c>
      <c r="D26" s="3274">
        <v>6.806749504991866</v>
      </c>
      <c r="E26" s="3457">
        <f>'Table3.B(a)'!G26</f>
        <v>43.468218254774463</v>
      </c>
      <c r="F26" s="3446" t="s">
        <v>199</v>
      </c>
      <c r="G26" s="3442" t="s">
        <v>199</v>
      </c>
      <c r="H26" s="3446" t="s">
        <v>199</v>
      </c>
      <c r="I26" s="3446" t="s">
        <v>199</v>
      </c>
      <c r="J26" s="3446" t="s">
        <v>199</v>
      </c>
      <c r="K26" s="3446" t="s">
        <v>199</v>
      </c>
      <c r="L26" s="3446" t="s">
        <v>199</v>
      </c>
      <c r="M26" s="3442">
        <v>514235266.56287402</v>
      </c>
      <c r="N26" s="3446" t="s">
        <v>199</v>
      </c>
      <c r="O26" s="3446" t="s">
        <v>199</v>
      </c>
      <c r="P26" s="3446" t="s">
        <v>199</v>
      </c>
      <c r="Q26" s="3446" t="s">
        <v>199</v>
      </c>
      <c r="R26" s="3445">
        <f t="shared" si="8"/>
        <v>514235266.56287402</v>
      </c>
      <c r="S26" s="2676"/>
      <c r="T26" s="2677"/>
      <c r="U26" s="3419" t="str">
        <f t="shared" si="9"/>
        <v>NA</v>
      </c>
      <c r="V26" s="3417"/>
      <c r="W26" s="3418"/>
      <c r="X26" s="3282" t="s">
        <v>205</v>
      </c>
      <c r="Y26" s="3142"/>
      <c r="Z26" s="3420"/>
    </row>
    <row r="27" spans="2:26" ht="18" customHeight="1" x14ac:dyDescent="0.2">
      <c r="B27" s="349" t="s">
        <v>1064</v>
      </c>
      <c r="C27" s="3281">
        <f>C28</f>
        <v>2098.1469999999999</v>
      </c>
      <c r="D27" s="3455"/>
      <c r="E27" s="3455"/>
      <c r="F27" s="2668">
        <f>F28</f>
        <v>17881986.592711084</v>
      </c>
      <c r="G27" s="2668" t="str">
        <f t="shared" ref="G27:G28" si="12">G28</f>
        <v>NO</v>
      </c>
      <c r="H27" s="2668" t="str">
        <f t="shared" ref="H27:H28" si="13">H28</f>
        <v>NO</v>
      </c>
      <c r="I27" s="2668" t="str">
        <f t="shared" ref="I27:I28" si="14">I28</f>
        <v>IE</v>
      </c>
      <c r="J27" s="2668" t="str">
        <f t="shared" ref="J27:J28" si="15">J28</f>
        <v>IE</v>
      </c>
      <c r="K27" s="2668">
        <f t="shared" ref="K27:K28" si="16">K28</f>
        <v>6617720.7726118993</v>
      </c>
      <c r="L27" s="2668" t="str">
        <f t="shared" ref="L27:L28" si="17">L28</f>
        <v>IE</v>
      </c>
      <c r="M27" s="2668" t="str">
        <f t="shared" ref="M27:M28" si="18">M28</f>
        <v>NO</v>
      </c>
      <c r="N27" s="2668" t="str">
        <f t="shared" ref="N27:N28" si="19">N28</f>
        <v>NO</v>
      </c>
      <c r="O27" s="2668">
        <f t="shared" ref="O27:O28" si="20">O28</f>
        <v>1510295.5568589664</v>
      </c>
      <c r="P27" s="2668" t="str">
        <f t="shared" ref="P27:P28" si="21">P28</f>
        <v>NO</v>
      </c>
      <c r="Q27" s="2668">
        <f t="shared" ref="Q27:Q28" si="22">Q28</f>
        <v>5932738.1257612733</v>
      </c>
      <c r="R27" s="3445">
        <f t="shared" si="8"/>
        <v>31942741.047943227</v>
      </c>
      <c r="S27" s="2676"/>
      <c r="T27" s="2677"/>
      <c r="U27" s="3419">
        <f t="shared" si="9"/>
        <v>8.1893129338051152E-2</v>
      </c>
      <c r="V27" s="3417"/>
      <c r="W27" s="3418"/>
      <c r="X27" s="3281">
        <f t="shared" ref="X27:X28" si="23">X28</f>
        <v>0.17182382364124399</v>
      </c>
      <c r="Y27" s="3142"/>
      <c r="Z27" s="3420"/>
    </row>
    <row r="28" spans="2:26" ht="18" customHeight="1" x14ac:dyDescent="0.2">
      <c r="B28" s="348" t="s">
        <v>1065</v>
      </c>
      <c r="C28" s="3281">
        <f>C29</f>
        <v>2098.1469999999999</v>
      </c>
      <c r="D28" s="3455"/>
      <c r="E28" s="3455"/>
      <c r="F28" s="2668">
        <f>F29</f>
        <v>17881986.592711084</v>
      </c>
      <c r="G28" s="2668" t="str">
        <f t="shared" si="12"/>
        <v>NO</v>
      </c>
      <c r="H28" s="2668" t="str">
        <f t="shared" si="13"/>
        <v>NO</v>
      </c>
      <c r="I28" s="2668" t="str">
        <f t="shared" si="14"/>
        <v>IE</v>
      </c>
      <c r="J28" s="2668" t="str">
        <f t="shared" si="15"/>
        <v>IE</v>
      </c>
      <c r="K28" s="2668">
        <f t="shared" si="16"/>
        <v>6617720.7726118993</v>
      </c>
      <c r="L28" s="2668" t="str">
        <f t="shared" si="17"/>
        <v>IE</v>
      </c>
      <c r="M28" s="2668" t="str">
        <f t="shared" si="18"/>
        <v>NO</v>
      </c>
      <c r="N28" s="2668" t="str">
        <f t="shared" si="19"/>
        <v>NO</v>
      </c>
      <c r="O28" s="2668">
        <f t="shared" si="20"/>
        <v>1510295.5568589664</v>
      </c>
      <c r="P28" s="2668" t="str">
        <f t="shared" si="21"/>
        <v>NO</v>
      </c>
      <c r="Q28" s="2668">
        <f t="shared" si="22"/>
        <v>5932738.1257612733</v>
      </c>
      <c r="R28" s="3445">
        <f t="shared" si="8"/>
        <v>31942741.047943227</v>
      </c>
      <c r="S28" s="2676"/>
      <c r="T28" s="2677"/>
      <c r="U28" s="3419">
        <f t="shared" si="9"/>
        <v>8.1893129338051152E-2</v>
      </c>
      <c r="V28" s="3417"/>
      <c r="W28" s="3418"/>
      <c r="X28" s="3281">
        <f t="shared" si="23"/>
        <v>0.17182382364124399</v>
      </c>
      <c r="Y28" s="3142"/>
      <c r="Z28" s="3420"/>
    </row>
    <row r="29" spans="2:26" ht="18" customHeight="1" x14ac:dyDescent="0.2">
      <c r="B29" s="2661" t="s">
        <v>968</v>
      </c>
      <c r="C29" s="3458">
        <f>Table3.A!C29</f>
        <v>2098.1469999999999</v>
      </c>
      <c r="D29" s="3274">
        <v>12.19938208472332</v>
      </c>
      <c r="E29" s="3457">
        <f>'Table3.B(a)'!G29</f>
        <v>56.920128069315517</v>
      </c>
      <c r="F29" s="3442">
        <v>17881986.592711084</v>
      </c>
      <c r="G29" s="3442" t="s">
        <v>199</v>
      </c>
      <c r="H29" s="3442" t="s">
        <v>199</v>
      </c>
      <c r="I29" s="3442" t="s">
        <v>274</v>
      </c>
      <c r="J29" s="3442" t="s">
        <v>274</v>
      </c>
      <c r="K29" s="3442">
        <v>6617720.7726118993</v>
      </c>
      <c r="L29" s="3442" t="s">
        <v>274</v>
      </c>
      <c r="M29" s="3442" t="s">
        <v>199</v>
      </c>
      <c r="N29" s="3442" t="s">
        <v>199</v>
      </c>
      <c r="O29" s="3442">
        <v>1510295.5568589664</v>
      </c>
      <c r="P29" s="3442" t="s">
        <v>199</v>
      </c>
      <c r="Q29" s="3442">
        <v>5932738.1257612733</v>
      </c>
      <c r="R29" s="3445">
        <f t="shared" si="8"/>
        <v>31942741.047943227</v>
      </c>
      <c r="S29" s="2676"/>
      <c r="T29" s="2677"/>
      <c r="U29" s="3419">
        <f t="shared" si="9"/>
        <v>8.1893129338051152E-2</v>
      </c>
      <c r="V29" s="3417"/>
      <c r="W29" s="3418"/>
      <c r="X29" s="3282">
        <v>0.17182382364124399</v>
      </c>
      <c r="Y29" s="3142"/>
      <c r="Z29" s="3420"/>
    </row>
    <row r="30" spans="2:26" ht="18" customHeight="1" x14ac:dyDescent="0.2">
      <c r="B30" s="349" t="s">
        <v>1116</v>
      </c>
      <c r="C30" s="3281">
        <f>IF(SUM(C32:C39)=0,"NO",SUM(C32:C39))</f>
        <v>90219.266999999993</v>
      </c>
      <c r="D30" s="3455"/>
      <c r="E30" s="3455"/>
      <c r="F30" s="2668" t="str">
        <f>IF(SUM(F32:F39)=0,"NO",SUM(F32:F39))</f>
        <v>NO</v>
      </c>
      <c r="G30" s="2668" t="str">
        <f t="shared" ref="G30:Q30" si="24">IF(SUM(G32:G39)=0,"NO",SUM(G32:G39))</f>
        <v>NO</v>
      </c>
      <c r="H30" s="2668" t="str">
        <f t="shared" si="24"/>
        <v>NO</v>
      </c>
      <c r="I30" s="2668">
        <f t="shared" si="24"/>
        <v>21231469.546982162</v>
      </c>
      <c r="J30" s="2668" t="str">
        <f t="shared" si="24"/>
        <v>NO</v>
      </c>
      <c r="K30" s="2668" t="str">
        <f t="shared" si="24"/>
        <v>NO</v>
      </c>
      <c r="L30" s="2668" t="str">
        <f t="shared" si="24"/>
        <v>NO</v>
      </c>
      <c r="M30" s="2668">
        <f t="shared" si="24"/>
        <v>17095716.67738609</v>
      </c>
      <c r="N30" s="2668">
        <f t="shared" si="24"/>
        <v>9241677.084932629</v>
      </c>
      <c r="O30" s="2668">
        <f t="shared" si="24"/>
        <v>111690.63918078163</v>
      </c>
      <c r="P30" s="2668" t="str">
        <f t="shared" si="24"/>
        <v>NO</v>
      </c>
      <c r="Q30" s="2668">
        <f t="shared" si="24"/>
        <v>68108894.875610918</v>
      </c>
      <c r="R30" s="3445">
        <f t="shared" si="8"/>
        <v>115789448.82409258</v>
      </c>
      <c r="S30" s="2676"/>
      <c r="T30" s="2677"/>
      <c r="U30" s="3419">
        <f t="shared" si="9"/>
        <v>4.4584308865341831E-3</v>
      </c>
      <c r="V30" s="3417"/>
      <c r="W30" s="3418"/>
      <c r="X30" s="3281">
        <f t="shared" ref="X30" si="25">IF(SUM(X32:X39)=0,"NO",SUM(X32:X39))</f>
        <v>0.40223636655327416</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5.0890000000000004</v>
      </c>
      <c r="D32" s="3274">
        <v>39.5</v>
      </c>
      <c r="E32" s="3457" t="str">
        <f>'Table3.B(a)'!G32</f>
        <v>NA</v>
      </c>
      <c r="F32" s="3442" t="s">
        <v>199</v>
      </c>
      <c r="G32" s="3442" t="s">
        <v>199</v>
      </c>
      <c r="H32" s="3442" t="s">
        <v>199</v>
      </c>
      <c r="I32" s="3442" t="s">
        <v>199</v>
      </c>
      <c r="J32" s="3442" t="s">
        <v>199</v>
      </c>
      <c r="K32" s="3442" t="s">
        <v>199</v>
      </c>
      <c r="L32" s="3442" t="s">
        <v>199</v>
      </c>
      <c r="M32" s="3442">
        <v>201017.92767671781</v>
      </c>
      <c r="N32" s="3442" t="s">
        <v>199</v>
      </c>
      <c r="O32" s="3442" t="s">
        <v>199</v>
      </c>
      <c r="P32" s="3442" t="s">
        <v>199</v>
      </c>
      <c r="Q32" s="3442" t="s">
        <v>199</v>
      </c>
      <c r="R32" s="3445">
        <f t="shared" si="8"/>
        <v>201017.92767671781</v>
      </c>
      <c r="S32" s="2676"/>
      <c r="T32" s="2677"/>
      <c r="U32" s="3419" t="str">
        <f>IF(SUM(X32)=0,"NA",X32*1000/C32)</f>
        <v>NA</v>
      </c>
      <c r="V32" s="3417"/>
      <c r="W32" s="3418"/>
      <c r="X32" s="3282" t="s">
        <v>205</v>
      </c>
      <c r="Y32" s="3142"/>
      <c r="Z32" s="3420"/>
    </row>
    <row r="33" spans="2:26" ht="18" customHeight="1" x14ac:dyDescent="0.2">
      <c r="B33" s="348" t="s">
        <v>1068</v>
      </c>
      <c r="C33" s="3458">
        <f>Table3.A!C33</f>
        <v>3.2629999999999999</v>
      </c>
      <c r="D33" s="3274">
        <v>39.5</v>
      </c>
      <c r="E33" s="3457" t="str">
        <f>'Table3.B(a)'!G33</f>
        <v>NA</v>
      </c>
      <c r="F33" s="3442" t="s">
        <v>199</v>
      </c>
      <c r="G33" s="3442" t="s">
        <v>199</v>
      </c>
      <c r="H33" s="3442" t="s">
        <v>199</v>
      </c>
      <c r="I33" s="3442" t="s">
        <v>199</v>
      </c>
      <c r="J33" s="3442" t="s">
        <v>199</v>
      </c>
      <c r="K33" s="3442" t="s">
        <v>199</v>
      </c>
      <c r="L33" s="3442" t="s">
        <v>199</v>
      </c>
      <c r="M33" s="3442">
        <v>128895.82595222098</v>
      </c>
      <c r="N33" s="3442" t="s">
        <v>199</v>
      </c>
      <c r="O33" s="3442" t="s">
        <v>199</v>
      </c>
      <c r="P33" s="3442" t="s">
        <v>199</v>
      </c>
      <c r="Q33" s="3442" t="s">
        <v>199</v>
      </c>
      <c r="R33" s="3445">
        <f t="shared" si="8"/>
        <v>128895.82595222098</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38.395000000000003</v>
      </c>
      <c r="D34" s="3274">
        <v>13.2</v>
      </c>
      <c r="E34" s="3457" t="str">
        <f>'Table3.B(a)'!G34</f>
        <v>NA</v>
      </c>
      <c r="F34" s="3442" t="s">
        <v>199</v>
      </c>
      <c r="G34" s="3442" t="s">
        <v>199</v>
      </c>
      <c r="H34" s="3442" t="s">
        <v>199</v>
      </c>
      <c r="I34" s="3442" t="s">
        <v>199</v>
      </c>
      <c r="J34" s="3442" t="s">
        <v>199</v>
      </c>
      <c r="K34" s="3442" t="s">
        <v>199</v>
      </c>
      <c r="L34" s="3442" t="s">
        <v>199</v>
      </c>
      <c r="M34" s="3442">
        <v>506816.64752187626</v>
      </c>
      <c r="N34" s="3442" t="s">
        <v>199</v>
      </c>
      <c r="O34" s="3442" t="s">
        <v>199</v>
      </c>
      <c r="P34" s="3442" t="s">
        <v>199</v>
      </c>
      <c r="Q34" s="3442" t="s">
        <v>199</v>
      </c>
      <c r="R34" s="3445">
        <f t="shared" si="8"/>
        <v>506816.64752187626</v>
      </c>
      <c r="S34" s="2676"/>
      <c r="T34" s="2677"/>
      <c r="U34" s="3419" t="str">
        <f t="shared" si="26"/>
        <v>NA</v>
      </c>
      <c r="V34" s="3417"/>
      <c r="W34" s="3418"/>
      <c r="X34" s="3282" t="s">
        <v>205</v>
      </c>
      <c r="Y34" s="3142"/>
      <c r="Z34" s="3420"/>
    </row>
    <row r="35" spans="2:26" ht="18" customHeight="1" x14ac:dyDescent="0.2">
      <c r="B35" s="348" t="s">
        <v>1070</v>
      </c>
      <c r="C35" s="3458">
        <f>Table3.A!C35</f>
        <v>516.14300000000003</v>
      </c>
      <c r="D35" s="3274">
        <v>7</v>
      </c>
      <c r="E35" s="3457" t="str">
        <f>'Table3.B(a)'!G35</f>
        <v>NA</v>
      </c>
      <c r="F35" s="3442" t="s">
        <v>199</v>
      </c>
      <c r="G35" s="3442" t="s">
        <v>199</v>
      </c>
      <c r="H35" s="3442" t="s">
        <v>199</v>
      </c>
      <c r="I35" s="3442" t="s">
        <v>199</v>
      </c>
      <c r="J35" s="3442" t="s">
        <v>199</v>
      </c>
      <c r="K35" s="3442" t="s">
        <v>199</v>
      </c>
      <c r="L35" s="3442" t="s">
        <v>199</v>
      </c>
      <c r="M35" s="3442">
        <v>3613000.9999999995</v>
      </c>
      <c r="N35" s="3442" t="s">
        <v>199</v>
      </c>
      <c r="O35" s="3442" t="s">
        <v>199</v>
      </c>
      <c r="P35" s="3442" t="s">
        <v>199</v>
      </c>
      <c r="Q35" s="3442" t="s">
        <v>199</v>
      </c>
      <c r="R35" s="3445">
        <f t="shared" si="8"/>
        <v>3613000.9999999995</v>
      </c>
      <c r="S35" s="2676"/>
      <c r="T35" s="2677"/>
      <c r="U35" s="3419" t="str">
        <f t="shared" si="26"/>
        <v>NA</v>
      </c>
      <c r="V35" s="3417"/>
      <c r="W35" s="3418"/>
      <c r="X35" s="3282" t="s">
        <v>205</v>
      </c>
      <c r="Y35" s="3142"/>
      <c r="Z35" s="3420"/>
    </row>
    <row r="36" spans="2:26" ht="18" customHeight="1" x14ac:dyDescent="0.2">
      <c r="B36" s="348" t="s">
        <v>1071</v>
      </c>
      <c r="C36" s="3458">
        <f>Table3.A!C36</f>
        <v>254.21799999999999</v>
      </c>
      <c r="D36" s="3274">
        <v>39.5</v>
      </c>
      <c r="E36" s="3457" t="str">
        <f>'Table3.B(a)'!G36</f>
        <v>NA</v>
      </c>
      <c r="F36" s="3442" t="s">
        <v>199</v>
      </c>
      <c r="G36" s="3442" t="s">
        <v>199</v>
      </c>
      <c r="H36" s="3442" t="s">
        <v>199</v>
      </c>
      <c r="I36" s="3442" t="s">
        <v>199</v>
      </c>
      <c r="J36" s="3442" t="s">
        <v>199</v>
      </c>
      <c r="K36" s="3442" t="s">
        <v>199</v>
      </c>
      <c r="L36" s="3442" t="s">
        <v>199</v>
      </c>
      <c r="M36" s="3442">
        <v>10041593.446198288</v>
      </c>
      <c r="N36" s="3442" t="s">
        <v>199</v>
      </c>
      <c r="O36" s="3442" t="s">
        <v>199</v>
      </c>
      <c r="P36" s="3442" t="s">
        <v>199</v>
      </c>
      <c r="Q36" s="3442" t="s">
        <v>199</v>
      </c>
      <c r="R36" s="3445">
        <f t="shared" si="8"/>
        <v>10041593.446198288</v>
      </c>
      <c r="S36" s="2676"/>
      <c r="T36" s="2677"/>
      <c r="U36" s="3419" t="str">
        <f t="shared" si="26"/>
        <v>NA</v>
      </c>
      <c r="V36" s="3417"/>
      <c r="W36" s="3418"/>
      <c r="X36" s="3282" t="s">
        <v>205</v>
      </c>
      <c r="Y36" s="3142"/>
      <c r="Z36" s="3420"/>
    </row>
    <row r="37" spans="2:26" ht="18" customHeight="1" x14ac:dyDescent="0.2">
      <c r="B37" s="348" t="s">
        <v>1117</v>
      </c>
      <c r="C37" s="3458">
        <f>Table3.A!C37</f>
        <v>0.86099999999999999</v>
      </c>
      <c r="D37" s="3274">
        <v>13.2</v>
      </c>
      <c r="E37" s="3457" t="str">
        <f>'Table3.B(a)'!G37</f>
        <v>NA</v>
      </c>
      <c r="F37" s="3442" t="s">
        <v>199</v>
      </c>
      <c r="G37" s="3442" t="s">
        <v>199</v>
      </c>
      <c r="H37" s="3442" t="s">
        <v>199</v>
      </c>
      <c r="I37" s="3442" t="s">
        <v>199</v>
      </c>
      <c r="J37" s="3442" t="s">
        <v>199</v>
      </c>
      <c r="K37" s="3442" t="s">
        <v>199</v>
      </c>
      <c r="L37" s="3442" t="s">
        <v>199</v>
      </c>
      <c r="M37" s="3442">
        <v>11367.290067843505</v>
      </c>
      <c r="N37" s="3442" t="s">
        <v>199</v>
      </c>
      <c r="O37" s="3442" t="s">
        <v>199</v>
      </c>
      <c r="P37" s="3442" t="s">
        <v>199</v>
      </c>
      <c r="Q37" s="3442" t="s">
        <v>199</v>
      </c>
      <c r="R37" s="3445">
        <f t="shared" si="8"/>
        <v>11367.290067843505</v>
      </c>
      <c r="S37" s="2676"/>
      <c r="T37" s="2677"/>
      <c r="U37" s="3419" t="str">
        <f t="shared" si="26"/>
        <v>NA</v>
      </c>
      <c r="V37" s="3417"/>
      <c r="W37" s="3418"/>
      <c r="X37" s="3282" t="s">
        <v>205</v>
      </c>
      <c r="Y37" s="3142"/>
      <c r="Z37" s="3420"/>
    </row>
    <row r="38" spans="2:26" ht="18" customHeight="1" x14ac:dyDescent="0.2">
      <c r="B38" s="348" t="s">
        <v>1073</v>
      </c>
      <c r="C38" s="3458">
        <f>Table3.A!C38</f>
        <v>89259.612999999998</v>
      </c>
      <c r="D38" s="3274">
        <v>0.66094510696651998</v>
      </c>
      <c r="E38" s="3457" t="str">
        <f>'Table3.B(a)'!G38</f>
        <v>NA</v>
      </c>
      <c r="F38" s="3442" t="s">
        <v>199</v>
      </c>
      <c r="G38" s="3442" t="s">
        <v>199</v>
      </c>
      <c r="H38" s="3442" t="s">
        <v>199</v>
      </c>
      <c r="I38" s="3442">
        <v>21231469.546982162</v>
      </c>
      <c r="J38" s="3442" t="s">
        <v>274</v>
      </c>
      <c r="K38" s="3442" t="s">
        <v>274</v>
      </c>
      <c r="L38" s="3442" t="s">
        <v>274</v>
      </c>
      <c r="M38" s="3442">
        <v>1601226.355432272</v>
      </c>
      <c r="N38" s="3442">
        <v>9241677.084932629</v>
      </c>
      <c r="O38" s="3442">
        <v>111690.63918078163</v>
      </c>
      <c r="P38" s="3442" t="s">
        <v>199</v>
      </c>
      <c r="Q38" s="3442">
        <v>68108894.875610918</v>
      </c>
      <c r="R38" s="3445">
        <f t="shared" si="8"/>
        <v>100294958.50213876</v>
      </c>
      <c r="S38" s="2676"/>
      <c r="T38" s="2677"/>
      <c r="U38" s="3419">
        <f t="shared" si="26"/>
        <v>4.5063646708088925E-3</v>
      </c>
      <c r="V38" s="3417"/>
      <c r="W38" s="3418"/>
      <c r="X38" s="3282">
        <v>0.40223636655327416</v>
      </c>
      <c r="Y38" s="3142"/>
      <c r="Z38" s="3420"/>
    </row>
    <row r="39" spans="2:26" ht="18" customHeight="1" x14ac:dyDescent="0.2">
      <c r="B39" s="348" t="s">
        <v>1074</v>
      </c>
      <c r="C39" s="3281">
        <f>IF(SUM(C41:C45)=0,"NO",SUM(C41:C45))</f>
        <v>141.685</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991798.18453687022</v>
      </c>
      <c r="N39" s="2668" t="str">
        <f t="shared" si="27"/>
        <v>NO</v>
      </c>
      <c r="O39" s="2668" t="str">
        <f t="shared" si="27"/>
        <v>NO</v>
      </c>
      <c r="P39" s="2668" t="str">
        <f t="shared" si="27"/>
        <v>NO</v>
      </c>
      <c r="Q39" s="2668" t="str">
        <f t="shared" si="27"/>
        <v>NO</v>
      </c>
      <c r="R39" s="3445">
        <f t="shared" si="8"/>
        <v>991798.18453687022</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9.673</v>
      </c>
      <c r="D43" s="3274">
        <v>7</v>
      </c>
      <c r="E43" s="3457" t="str">
        <f>'Table3.B(a)'!G43</f>
        <v>NA</v>
      </c>
      <c r="F43" s="3442" t="s">
        <v>199</v>
      </c>
      <c r="G43" s="3442" t="s">
        <v>199</v>
      </c>
      <c r="H43" s="3442" t="s">
        <v>199</v>
      </c>
      <c r="I43" s="3442" t="s">
        <v>199</v>
      </c>
      <c r="J43" s="3442" t="s">
        <v>199</v>
      </c>
      <c r="K43" s="3442" t="s">
        <v>199</v>
      </c>
      <c r="L43" s="3442" t="s">
        <v>199</v>
      </c>
      <c r="M43" s="3442">
        <v>67712.176470588194</v>
      </c>
      <c r="N43" s="3442" t="s">
        <v>199</v>
      </c>
      <c r="O43" s="3442" t="s">
        <v>199</v>
      </c>
      <c r="P43" s="3442" t="s">
        <v>199</v>
      </c>
      <c r="Q43" s="3442" t="s">
        <v>199</v>
      </c>
      <c r="R43" s="3445">
        <f t="shared" si="8"/>
        <v>67712.176470588194</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132.012</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924086.00806628203</v>
      </c>
      <c r="N45" s="2668" t="str">
        <f t="shared" si="28"/>
        <v>NO</v>
      </c>
      <c r="O45" s="2668" t="str">
        <f t="shared" si="28"/>
        <v>NO</v>
      </c>
      <c r="P45" s="2668" t="str">
        <f t="shared" si="28"/>
        <v>NO</v>
      </c>
      <c r="Q45" s="2668" t="str">
        <f t="shared" si="28"/>
        <v>NO</v>
      </c>
      <c r="R45" s="3445">
        <f t="shared" si="8"/>
        <v>924086.00806628203</v>
      </c>
      <c r="S45" s="2676"/>
      <c r="T45" s="2677"/>
      <c r="U45" s="3419" t="str">
        <f t="shared" si="26"/>
        <v>NA</v>
      </c>
      <c r="V45" s="3417"/>
      <c r="W45" s="3418"/>
      <c r="X45" s="3281" t="str">
        <f>X46</f>
        <v>NA</v>
      </c>
      <c r="Y45" s="3142"/>
      <c r="Z45" s="3420"/>
    </row>
    <row r="46" spans="2:26" ht="18" customHeight="1" x14ac:dyDescent="0.2">
      <c r="B46" s="2665" t="s">
        <v>1013</v>
      </c>
      <c r="C46" s="3458">
        <f>Table3.A!C46</f>
        <v>132.012</v>
      </c>
      <c r="D46" s="3274">
        <v>7</v>
      </c>
      <c r="E46" s="3457" t="str">
        <f>'Table3.B(a)'!G46</f>
        <v>NA</v>
      </c>
      <c r="F46" s="3442" t="s">
        <v>199</v>
      </c>
      <c r="G46" s="3442" t="s">
        <v>199</v>
      </c>
      <c r="H46" s="3442" t="s">
        <v>199</v>
      </c>
      <c r="I46" s="3442" t="s">
        <v>199</v>
      </c>
      <c r="J46" s="3442" t="s">
        <v>199</v>
      </c>
      <c r="K46" s="3442" t="s">
        <v>199</v>
      </c>
      <c r="L46" s="3442" t="s">
        <v>199</v>
      </c>
      <c r="M46" s="3442">
        <v>924086.00806628203</v>
      </c>
      <c r="N46" s="3442" t="s">
        <v>199</v>
      </c>
      <c r="O46" s="3442" t="s">
        <v>199</v>
      </c>
      <c r="P46" s="3442" t="s">
        <v>199</v>
      </c>
      <c r="Q46" s="3442" t="s">
        <v>199</v>
      </c>
      <c r="R46" s="3445">
        <f t="shared" si="8"/>
        <v>924086.00806628203</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88024758.17145212</v>
      </c>
      <c r="T47" s="3410">
        <v>357844.02004925208</v>
      </c>
      <c r="U47" s="3429"/>
      <c r="V47" s="3430">
        <f>IF(SUM(S47)=0,"NA",Y47*1000000/S47)</f>
        <v>6.1042766523643063E-3</v>
      </c>
      <c r="W47" s="3431">
        <f>IF(SUM(T47)=0,"NA",Z47*1000000/T47)</f>
        <v>1.7285714285714279E-2</v>
      </c>
      <c r="X47" s="3283"/>
      <c r="Y47" s="3287">
        <v>0.53732747613600929</v>
      </c>
      <c r="Z47" s="3288">
        <v>6.1855894894227844E-3</v>
      </c>
    </row>
    <row r="48" spans="2:26" ht="18" customHeight="1" x14ac:dyDescent="0.2">
      <c r="B48" s="356" t="s">
        <v>1119</v>
      </c>
      <c r="C48" s="357"/>
      <c r="D48" s="357"/>
      <c r="E48" s="357"/>
      <c r="F48" s="3448">
        <f>IF(SUM(F30,F27,F24,F10)=0,"NO",SUM(F30,F27,F24,F10))</f>
        <v>49616653.589541949</v>
      </c>
      <c r="G48" s="3448" t="str">
        <f t="shared" ref="G48:Q48" si="29">IF(SUM(G30,G27,G24,G10)=0,"NO",SUM(G30,G27,G24,G10))</f>
        <v>NO</v>
      </c>
      <c r="H48" s="3448">
        <f t="shared" si="29"/>
        <v>7217935.8264343999</v>
      </c>
      <c r="I48" s="3448">
        <f t="shared" si="29"/>
        <v>40877934.457574219</v>
      </c>
      <c r="J48" s="3448" t="str">
        <f t="shared" si="29"/>
        <v>NO</v>
      </c>
      <c r="K48" s="3448">
        <f t="shared" si="29"/>
        <v>62234670.01370582</v>
      </c>
      <c r="L48" s="3448" t="str">
        <f t="shared" si="29"/>
        <v>NO</v>
      </c>
      <c r="M48" s="3374"/>
      <c r="N48" s="3448">
        <f t="shared" si="29"/>
        <v>17200907.456927102</v>
      </c>
      <c r="O48" s="3448">
        <f t="shared" si="29"/>
        <v>1621986.1960397479</v>
      </c>
      <c r="P48" s="3374"/>
      <c r="Q48" s="3448">
        <f t="shared" si="29"/>
        <v>74041633.001372188</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2.1433434623222915E-2</v>
      </c>
      <c r="J49" s="3449" t="str">
        <f t="shared" si="30"/>
        <v>NA</v>
      </c>
      <c r="K49" s="3449" t="str">
        <f t="shared" si="30"/>
        <v>NA</v>
      </c>
      <c r="L49" s="3449" t="str">
        <f t="shared" si="30"/>
        <v>NA</v>
      </c>
      <c r="M49" s="87"/>
      <c r="N49" s="3449">
        <f t="shared" si="30"/>
        <v>1.5714285714285705E-2</v>
      </c>
      <c r="O49" s="3449" t="str">
        <f t="shared" si="30"/>
        <v>NA</v>
      </c>
      <c r="P49" s="87"/>
      <c r="Q49" s="3449">
        <f t="shared" si="30"/>
        <v>2.4174766973866853E-3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0.8761545357288083</v>
      </c>
      <c r="J50" s="3450" t="s">
        <v>274</v>
      </c>
      <c r="K50" s="3450" t="s">
        <v>274</v>
      </c>
      <c r="L50" s="3450" t="s">
        <v>274</v>
      </c>
      <c r="M50" s="3437"/>
      <c r="N50" s="3451">
        <v>0.27029997432314001</v>
      </c>
      <c r="O50" s="3451" t="s">
        <v>205</v>
      </c>
      <c r="P50" s="3437"/>
      <c r="Q50" s="3451">
        <v>0.17899392241727424</v>
      </c>
      <c r="R50" s="1311"/>
      <c r="S50" s="1312"/>
      <c r="T50" s="1313"/>
      <c r="U50" s="3436">
        <f>X50*1000/SUM(C10,C24,C27,C30)</f>
        <v>6.722839937836152E-3</v>
      </c>
      <c r="V50" s="3437"/>
      <c r="W50" s="3438"/>
      <c r="X50" s="3286">
        <f>SUM(X10,X24,X27,X30)</f>
        <v>1.3254484324692226</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18.057117925000004</v>
      </c>
    </row>
    <row r="11" spans="1:9" ht="18" customHeight="1" x14ac:dyDescent="0.2">
      <c r="B11" s="432" t="s">
        <v>1133</v>
      </c>
      <c r="C11" s="4462">
        <v>1.1363825000000001</v>
      </c>
      <c r="D11" s="243" t="s">
        <v>199</v>
      </c>
      <c r="E11" s="283" t="s">
        <v>199</v>
      </c>
      <c r="F11" s="2330">
        <f>IF(SUM(C11)=0,"NA",G11/C11)</f>
        <v>15.890000000000002</v>
      </c>
      <c r="G11" s="3072">
        <v>18.057117925000004</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1.1363825000000001</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H20" sqref="H20"/>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27.824446651622743</v>
      </c>
      <c r="H10" s="395" t="s">
        <v>1157</v>
      </c>
      <c r="I10" s="396" t="s">
        <v>1158</v>
      </c>
      <c r="J10" s="397">
        <v>0.21</v>
      </c>
    </row>
    <row r="11" spans="2:10" ht="24" customHeight="1" x14ac:dyDescent="0.2">
      <c r="B11" s="2453" t="s">
        <v>1159</v>
      </c>
      <c r="C11" s="2454" t="s">
        <v>1160</v>
      </c>
      <c r="D11" s="3639">
        <v>1222010.5699202102</v>
      </c>
      <c r="E11" s="3634">
        <f>IF(SUM(D11)=0,"NA",F11*1000/D11/(44/28))</f>
        <v>4.5637554925409387E-3</v>
      </c>
      <c r="F11" s="3390">
        <v>8.7637902792258373</v>
      </c>
      <c r="H11" s="395" t="s">
        <v>1161</v>
      </c>
      <c r="I11" s="396" t="s">
        <v>1162</v>
      </c>
      <c r="J11" s="397">
        <v>0.24</v>
      </c>
    </row>
    <row r="12" spans="2:10" ht="24" customHeight="1" x14ac:dyDescent="0.2">
      <c r="B12" s="2453" t="s">
        <v>1163</v>
      </c>
      <c r="C12" s="2455" t="s">
        <v>1164</v>
      </c>
      <c r="D12" s="3640">
        <f>IF(SUM(D13:D15)=0,"NO",SUM(D13:D15))</f>
        <v>104457.01358200655</v>
      </c>
      <c r="E12" s="3635">
        <f t="shared" ref="E12:E23" si="0">IF(SUM(D12)=0,"NA",F12*1000/D12/(44/28))</f>
        <v>8.6370959374165827E-3</v>
      </c>
      <c r="F12" s="3391">
        <f>IF(SUM(F13:F15)=0,"NO",SUM(F13:F15))</f>
        <v>1.4177511034402848</v>
      </c>
      <c r="H12" s="4233" t="s">
        <v>1165</v>
      </c>
      <c r="I12" s="4234"/>
      <c r="J12" s="4235"/>
    </row>
    <row r="13" spans="2:10" ht="24" customHeight="1" thickBot="1" x14ac:dyDescent="0.25">
      <c r="B13" s="2453" t="s">
        <v>1166</v>
      </c>
      <c r="C13" s="2454" t="s">
        <v>1167</v>
      </c>
      <c r="D13" s="3641">
        <v>93844.095841708957</v>
      </c>
      <c r="E13" s="3634">
        <f t="shared" si="0"/>
        <v>8.5960547730335388E-3</v>
      </c>
      <c r="F13" s="3390">
        <v>1.2676541239703616</v>
      </c>
      <c r="H13" s="4236"/>
      <c r="I13" s="4237"/>
      <c r="J13" s="4238"/>
    </row>
    <row r="14" spans="2:10" ht="24" customHeight="1" x14ac:dyDescent="0.2">
      <c r="B14" s="2453" t="s">
        <v>1168</v>
      </c>
      <c r="C14" s="2454" t="s">
        <v>1169</v>
      </c>
      <c r="D14" s="3641">
        <v>10612.917740297597</v>
      </c>
      <c r="E14" s="3634">
        <f t="shared" si="0"/>
        <v>8.9999999999999993E-3</v>
      </c>
      <c r="F14" s="3390">
        <v>0.15009697946992312</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1722535.0778019852</v>
      </c>
      <c r="E16" s="3634">
        <f t="shared" si="0"/>
        <v>4.0000000000000001E-3</v>
      </c>
      <c r="F16" s="3390">
        <v>10.827363346183907</v>
      </c>
    </row>
    <row r="17" spans="2:11" ht="24" customHeight="1" x14ac:dyDescent="0.2">
      <c r="B17" s="2453" t="s">
        <v>1176</v>
      </c>
      <c r="C17" s="2454" t="s">
        <v>1177</v>
      </c>
      <c r="D17" s="3641">
        <v>832035.50250758394</v>
      </c>
      <c r="E17" s="3634">
        <f t="shared" si="0"/>
        <v>5.0299999999999989E-3</v>
      </c>
      <c r="F17" s="3390">
        <v>6.5766463362492296</v>
      </c>
    </row>
    <row r="18" spans="2:11" ht="24" customHeight="1" x14ac:dyDescent="0.2">
      <c r="B18" s="2453" t="s">
        <v>1178</v>
      </c>
      <c r="C18" s="2454" t="s">
        <v>1179</v>
      </c>
      <c r="D18" s="3641">
        <v>23420.601012514191</v>
      </c>
      <c r="E18" s="3636">
        <f t="shared" si="0"/>
        <v>4.1000000000000003E-3</v>
      </c>
      <c r="F18" s="3392">
        <v>0.15089558652348431</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10.612808006141401</v>
      </c>
    </row>
    <row r="22" spans="2:11" ht="24" customHeight="1" x14ac:dyDescent="0.2">
      <c r="B22" s="2457" t="s">
        <v>1184</v>
      </c>
      <c r="C22" s="2454" t="s">
        <v>1185</v>
      </c>
      <c r="D22" s="3641">
        <v>518089.50188186136</v>
      </c>
      <c r="E22" s="3634">
        <f t="shared" si="0"/>
        <v>3.1342333190261182E-3</v>
      </c>
      <c r="F22" s="3390">
        <v>2.5517067384847887</v>
      </c>
    </row>
    <row r="23" spans="2:11" ht="24" customHeight="1" thickBot="1" x14ac:dyDescent="0.25">
      <c r="B23" s="406" t="s">
        <v>1186</v>
      </c>
      <c r="C23" s="407" t="s">
        <v>1187</v>
      </c>
      <c r="D23" s="3643">
        <v>466344.70143467991</v>
      </c>
      <c r="E23" s="3638">
        <f t="shared" si="0"/>
        <v>1.1000000000000003E-2</v>
      </c>
      <c r="F23" s="3394">
        <v>8.0611012676566123</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22855576.150000002</v>
      </c>
      <c r="N9" s="4167">
        <v>7471591.7400000002</v>
      </c>
      <c r="O9" s="4167">
        <v>506724.66000000003</v>
      </c>
      <c r="P9" s="4168">
        <v>2229709</v>
      </c>
      <c r="Q9" s="4168">
        <v>1121135.1399999999</v>
      </c>
      <c r="R9" s="4168">
        <v>321821.88</v>
      </c>
      <c r="S9" s="4168">
        <v>1161115.3800000001</v>
      </c>
      <c r="T9" s="4168">
        <v>171211.33000000002</v>
      </c>
      <c r="U9" s="4168">
        <v>2140744.2105</v>
      </c>
      <c r="V9" s="4168">
        <v>27136081.689999998</v>
      </c>
      <c r="W9" s="4168">
        <v>21836.83627</v>
      </c>
      <c r="X9" s="4169">
        <v>172418</v>
      </c>
    </row>
    <row r="10" spans="2:24" ht="18" customHeight="1" thickTop="1" x14ac:dyDescent="0.2">
      <c r="B10" s="430" t="s">
        <v>1226</v>
      </c>
      <c r="C10" s="374"/>
      <c r="D10" s="431"/>
      <c r="E10" s="431"/>
      <c r="F10" s="4137">
        <f>IF(SUM(F11:F14)=0,"NO",SUM(F11:F14))</f>
        <v>3875.590767331355</v>
      </c>
      <c r="G10" s="4138">
        <f>IF(SUM($F10)=0,"NA",I10/$F10*1000)</f>
        <v>1.8907784783028527</v>
      </c>
      <c r="H10" s="4139">
        <f>IF(SUM($F10)=0,"NA",J10/$F10*1000)</f>
        <v>7.6988535633134569E-2</v>
      </c>
      <c r="I10" s="3161">
        <f>IF(SUM(I11:I14)=0,"NO",SUM(I11:I14))</f>
        <v>7.327883613579365</v>
      </c>
      <c r="J10" s="416">
        <f>IF(SUM(J11:J14)=0,"NO",SUM(J11:J14))</f>
        <v>0.29837605789013738</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2052.0452381099431</v>
      </c>
      <c r="G11" s="4141">
        <f>IF(SUM($F11)=0,"NA",I11/$F11*1000)</f>
        <v>1.8666666666666667</v>
      </c>
      <c r="H11" s="4142">
        <f>IF(SUM($F11)=0,"NA",J11/$F11*1000)</f>
        <v>7.165714285714285E-2</v>
      </c>
      <c r="I11" s="3291">
        <v>3.8304844444718937</v>
      </c>
      <c r="J11" s="3292">
        <v>0.1470436987765639</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544.66220116984846</v>
      </c>
      <c r="G12" s="4143">
        <f t="shared" ref="G12:G28" si="0">IF(SUM($F12)=0,"NA",I12/$F12*1000)</f>
        <v>1.8666666666666669</v>
      </c>
      <c r="H12" s="4142">
        <f t="shared" ref="H12:H28" si="1">IF(SUM($F12)=0,"NA",J12/$F12*1000)</f>
        <v>8.3600000000000008E-2</v>
      </c>
      <c r="I12" s="3149">
        <v>1.0167027755170506</v>
      </c>
      <c r="J12" s="3292">
        <v>4.5533760017799338E-2</v>
      </c>
      <c r="L12" s="1323" t="s">
        <v>1231</v>
      </c>
      <c r="M12" s="4165">
        <v>0.14170317741775548</v>
      </c>
      <c r="N12" s="4165">
        <v>0.13917733262767493</v>
      </c>
      <c r="O12" s="4165">
        <v>0.14678156634404235</v>
      </c>
      <c r="P12" s="4166">
        <v>0.10999371815269154</v>
      </c>
      <c r="Q12" s="4166">
        <v>0.13471834401707536</v>
      </c>
      <c r="R12" s="4166">
        <v>0.13307081770424725</v>
      </c>
      <c r="S12" s="4166">
        <v>0.81499999999999984</v>
      </c>
      <c r="T12" s="4166">
        <v>0.17874133078758245</v>
      </c>
      <c r="U12" s="4166">
        <v>0.14388139173016887</v>
      </c>
      <c r="V12" s="4166">
        <v>0.28816817741712131</v>
      </c>
      <c r="W12" s="4166">
        <v>7.8376029186595059E-2</v>
      </c>
      <c r="X12" s="4140">
        <v>0.15339039311476593</v>
      </c>
    </row>
    <row r="13" spans="2:24" ht="18" customHeight="1" thickBot="1" x14ac:dyDescent="0.25">
      <c r="B13" s="432" t="s">
        <v>1232</v>
      </c>
      <c r="C13" s="433" t="s">
        <v>205</v>
      </c>
      <c r="D13" s="433" t="s">
        <v>205</v>
      </c>
      <c r="E13" s="433" t="s">
        <v>205</v>
      </c>
      <c r="F13" s="4140">
        <v>49.160776663696481</v>
      </c>
      <c r="G13" s="4143">
        <f t="shared" si="0"/>
        <v>1.96</v>
      </c>
      <c r="H13" s="4142">
        <f t="shared" si="1"/>
        <v>5.971428571428572E-2</v>
      </c>
      <c r="I13" s="3149">
        <v>9.6355122260845097E-2</v>
      </c>
      <c r="J13" s="3292">
        <v>2.9356006636321614E-3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1229.7225513878673</v>
      </c>
      <c r="G14" s="4145">
        <f t="shared" si="0"/>
        <v>1.9389261981400632</v>
      </c>
      <c r="H14" s="4146">
        <f t="shared" si="1"/>
        <v>8.3647322167143018E-2</v>
      </c>
      <c r="I14" s="3168">
        <f>IF(SUM(I15:I19)=0,"NO",SUM(I15:I19))</f>
        <v>2.3843412713295762</v>
      </c>
      <c r="J14" s="3064">
        <f>IF(SUM(J15:J19)=0,"NO",SUM(J15:J19))</f>
        <v>0.10286299843214201</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141.2662943857074</v>
      </c>
      <c r="G15" s="4147">
        <f t="shared" si="0"/>
        <v>1.8666666666666665</v>
      </c>
      <c r="H15" s="4148">
        <f t="shared" si="1"/>
        <v>9.5542857142857138E-2</v>
      </c>
      <c r="I15" s="3293">
        <v>0.26369708285332044</v>
      </c>
      <c r="J15" s="3292">
        <v>1.3496985383594444E-2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90.593482493950944</v>
      </c>
      <c r="G16" s="4149">
        <f t="shared" si="0"/>
        <v>1.8666666666666674</v>
      </c>
      <c r="H16" s="4150">
        <f t="shared" si="1"/>
        <v>7.1657142857142878E-2</v>
      </c>
      <c r="I16" s="3294">
        <v>0.16910783398870849</v>
      </c>
      <c r="J16" s="3292">
        <v>6.4916701169951147E-3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26.410410918569983</v>
      </c>
      <c r="G17" s="4149">
        <f t="shared" si="0"/>
        <v>1.8666666666666667</v>
      </c>
      <c r="H17" s="4150">
        <f t="shared" si="1"/>
        <v>7.165714285714285E-2</v>
      </c>
      <c r="I17" s="3294">
        <v>4.9299433714663971E-2</v>
      </c>
      <c r="J17" s="3292">
        <v>1.8924945881078146E-3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952.06259363097604</v>
      </c>
      <c r="G18" s="4149">
        <f t="shared" si="0"/>
        <v>1.9599999999999995</v>
      </c>
      <c r="H18" s="4150">
        <f t="shared" si="1"/>
        <v>8.3600000000000008E-2</v>
      </c>
      <c r="I18" s="3294">
        <v>1.8660426835167128</v>
      </c>
      <c r="J18" s="3292">
        <v>7.9592432827549603E-2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19.389769958662921</v>
      </c>
      <c r="G19" s="4149">
        <f t="shared" si="0"/>
        <v>1.8666666666666667</v>
      </c>
      <c r="H19" s="4150">
        <f t="shared" si="1"/>
        <v>7.1657142857142864E-2</v>
      </c>
      <c r="I19" s="3294">
        <v>3.6194237256170783E-2</v>
      </c>
      <c r="J19" s="3292">
        <v>1.3894155158950458E-3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176.2180801140745</v>
      </c>
      <c r="G20" s="4153">
        <f t="shared" si="0"/>
        <v>1.8666666666666667</v>
      </c>
      <c r="H20" s="4154">
        <f t="shared" si="1"/>
        <v>0.10748571428571427</v>
      </c>
      <c r="I20" s="3187">
        <f>I21</f>
        <v>0.32894041621293907</v>
      </c>
      <c r="J20" s="442">
        <f>J21</f>
        <v>1.8940926211118519E-2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176.2180801140745</v>
      </c>
      <c r="G21" s="4156">
        <f t="shared" si="0"/>
        <v>1.8666666666666667</v>
      </c>
      <c r="H21" s="4146">
        <f t="shared" si="1"/>
        <v>0.10748571428571427</v>
      </c>
      <c r="I21" s="3168">
        <f>I22</f>
        <v>0.32894041621293907</v>
      </c>
      <c r="J21" s="3064">
        <f>J22</f>
        <v>1.8940926211118519E-2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176.2180801140745</v>
      </c>
      <c r="G22" s="4158">
        <f t="shared" si="0"/>
        <v>1.8666666666666667</v>
      </c>
      <c r="H22" s="4159">
        <f t="shared" si="1"/>
        <v>0.10748571428571427</v>
      </c>
      <c r="I22" s="3295">
        <v>0.32894041621293907</v>
      </c>
      <c r="J22" s="3296">
        <v>1.8940926211118519E-2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375.34824973677206</v>
      </c>
      <c r="G26" s="4163">
        <f t="shared" si="0"/>
        <v>1.8666666666666669</v>
      </c>
      <c r="H26" s="4164">
        <f t="shared" si="1"/>
        <v>5.9714285714285713E-2</v>
      </c>
      <c r="I26" s="3297">
        <v>0.7006500661753079</v>
      </c>
      <c r="J26" s="3298">
        <v>2.2413652627138674E-2</v>
      </c>
      <c r="L26" s="159"/>
    </row>
    <row r="27" spans="2:24" ht="18" customHeight="1" x14ac:dyDescent="0.2">
      <c r="B27" s="439" t="s">
        <v>1242</v>
      </c>
      <c r="C27" s="440"/>
      <c r="D27" s="441"/>
      <c r="E27" s="441"/>
      <c r="F27" s="4152">
        <f>IF(SUM(F28:F29)=0,"NO",SUM(F28:F29))</f>
        <v>615.14245378947021</v>
      </c>
      <c r="G27" s="4153">
        <f t="shared" si="0"/>
        <v>1.8667733628913139</v>
      </c>
      <c r="H27" s="4154">
        <f t="shared" si="1"/>
        <v>0.10758128361836237</v>
      </c>
      <c r="I27" s="3187">
        <f>IF(SUM(I28:I29)=0,"NO",SUM(I28:I29))</f>
        <v>1.148331547117784</v>
      </c>
      <c r="J27" s="442">
        <f>IF(SUM(J28:J29)=0,"NO",SUM(J28:J29))</f>
        <v>6.617781478682036E-2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0.70321475827939073</v>
      </c>
      <c r="G28" s="4149">
        <f t="shared" si="0"/>
        <v>1.96</v>
      </c>
      <c r="H28" s="4150">
        <f t="shared" si="1"/>
        <v>0.1910857142857143</v>
      </c>
      <c r="I28" s="3294">
        <v>1.3783009262276057E-3</v>
      </c>
      <c r="J28" s="3292">
        <v>1.3437429438207331E-4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614.43923903119082</v>
      </c>
      <c r="G29" s="4149">
        <f t="shared" ref="G29" si="2">IF(SUM($F29)=0,"NA",I29/$F29*1000)</f>
        <v>1.8666666666666669</v>
      </c>
      <c r="H29" s="4150">
        <f t="shared" ref="H29" si="3">IF(SUM($F29)=0,"NA",J29/$F29*1000)</f>
        <v>0.10748571428571431</v>
      </c>
      <c r="I29" s="3294">
        <v>1.1469532461915564</v>
      </c>
      <c r="J29" s="3292">
        <v>6.6043440492438293E-2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760.31554032500014</v>
      </c>
    </row>
    <row r="11" spans="2:5" s="83" customFormat="1" ht="18" customHeight="1" x14ac:dyDescent="0.2">
      <c r="B11" s="1858" t="s">
        <v>1361</v>
      </c>
      <c r="C11" s="4175">
        <v>1804630.51</v>
      </c>
      <c r="D11" s="3534">
        <f>IF(SUM(C11)=0,"NA",E11*1000/(44/12)/C11)</f>
        <v>0.10800000000000001</v>
      </c>
      <c r="E11" s="3395">
        <v>714.6336819600001</v>
      </c>
    </row>
    <row r="12" spans="2:5" s="83" customFormat="1" ht="18" customHeight="1" x14ac:dyDescent="0.2">
      <c r="B12" s="1858" t="s">
        <v>1362</v>
      </c>
      <c r="C12" s="4175">
        <v>100880.07000000007</v>
      </c>
      <c r="D12" s="3534">
        <f t="shared" ref="D12:D16" si="0">IF(SUM(C12)=0,"NA",E12*1000/(44/12)/C12)</f>
        <v>0.12349999999999996</v>
      </c>
      <c r="E12" s="3395">
        <v>45.681858365000018</v>
      </c>
    </row>
    <row r="13" spans="2:5" s="83" customFormat="1" ht="18" customHeight="1" x14ac:dyDescent="0.2">
      <c r="B13" s="853" t="s">
        <v>1363</v>
      </c>
      <c r="C13" s="4176">
        <v>1742450.2496611651</v>
      </c>
      <c r="D13" s="4177">
        <f t="shared" si="0"/>
        <v>0.20000000000000004</v>
      </c>
      <c r="E13" s="3396">
        <v>1277.7968497515212</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-9525.7703689440314</v>
      </c>
      <c r="D10" s="4269">
        <f t="shared" ref="D10:H10" si="0">IF(SUM(D11,D14,D17,D20,D23,D26,D29:D30)=0,"NO",SUM(D11,D14,D17,D20,D23,D26,D29:D30))</f>
        <v>691.95526354502908</v>
      </c>
      <c r="E10" s="4269">
        <f t="shared" si="0"/>
        <v>17.854021460365434</v>
      </c>
      <c r="F10" s="4269">
        <f t="shared" si="0"/>
        <v>933.83238844588993</v>
      </c>
      <c r="G10" s="4269">
        <f t="shared" si="0"/>
        <v>24314.580554572844</v>
      </c>
      <c r="H10" s="4270">
        <f t="shared" si="0"/>
        <v>593.15893179340242</v>
      </c>
      <c r="I10" s="4271">
        <f>IF(SUM(C10:E10)=0,"NO",SUM(C10)+28*SUM(D10)+265*SUM(E10))</f>
        <v>14580.292697313624</v>
      </c>
      <c r="J10" s="4259"/>
    </row>
    <row r="11" spans="2:10" ht="18" customHeight="1" x14ac:dyDescent="0.2">
      <c r="B11" s="464" t="s">
        <v>1252</v>
      </c>
      <c r="C11" s="4272">
        <f>IF(SUM(C12:C13)=0,"NO",SUM(C12:C13))</f>
        <v>-44100.962638974408</v>
      </c>
      <c r="D11" s="4272">
        <f t="shared" ref="D11:H11" si="1">IF(SUM(D12:D13)=0,"NO",SUM(D12:D13))</f>
        <v>294.82392557644647</v>
      </c>
      <c r="E11" s="4272">
        <f t="shared" si="1"/>
        <v>6.9775331888656371</v>
      </c>
      <c r="F11" s="4272">
        <f t="shared" si="1"/>
        <v>309.21397196236984</v>
      </c>
      <c r="G11" s="4272">
        <f t="shared" si="1"/>
        <v>8232.557655745075</v>
      </c>
      <c r="H11" s="4273">
        <f t="shared" si="1"/>
        <v>258.91456352178858</v>
      </c>
      <c r="I11" s="4274">
        <f t="shared" ref="I11:I32" si="2">IF(SUM(C11:E11)=0,"NO",SUM(C11)+28*SUM(D11)+265*SUM(E11))</f>
        <v>-33996.846427784512</v>
      </c>
    </row>
    <row r="12" spans="2:10" ht="18" customHeight="1" x14ac:dyDescent="0.2">
      <c r="B12" s="465" t="s">
        <v>1253</v>
      </c>
      <c r="C12" s="4275">
        <f>IF(SUM(Table4.A!U11,'Table4(IV)'!J12)=0,"NO",SUM(Table4.A!U11,'Table4(IV)'!J12))</f>
        <v>-14652.891274672986</v>
      </c>
      <c r="D12" s="4275">
        <f>'Table4(IV)'!K12</f>
        <v>291.16003173053878</v>
      </c>
      <c r="E12" s="4275">
        <f>IF(SUM('Table4(III)'!I12,'Table4(IV)'!L12)=0,"NO",SUM('Table4(III)'!I12,'Table4(IV)'!L12))</f>
        <v>6.0110628767604268</v>
      </c>
      <c r="F12" s="4276">
        <v>306.96568486293211</v>
      </c>
      <c r="G12" s="4276">
        <v>8146.4574831241616</v>
      </c>
      <c r="H12" s="4277">
        <v>248.87805569994867</v>
      </c>
      <c r="I12" s="4278">
        <f t="shared" si="2"/>
        <v>-4907.4787238763865</v>
      </c>
    </row>
    <row r="13" spans="2:10" ht="18" customHeight="1" thickBot="1" x14ac:dyDescent="0.25">
      <c r="B13" s="466" t="s">
        <v>1254</v>
      </c>
      <c r="C13" s="4279">
        <f>IF(SUM(Table4.A!U16,'Table4(IV)'!J19)=0,"NO",SUM(Table4.A!U16,'Table4(IV)'!J19))</f>
        <v>-29448.071364301424</v>
      </c>
      <c r="D13" s="4279">
        <f>'Table4(IV)'!K19</f>
        <v>3.6638938459076882</v>
      </c>
      <c r="E13" s="4279">
        <f>IF(SUM('Table4(III)'!I13,'Table4(IV)'!L19)=0,"NO",SUM('Table4(III)'!I13,'Table4(IV)'!L19))</f>
        <v>0.96647031210521051</v>
      </c>
      <c r="F13" s="4280">
        <v>2.248287099437706</v>
      </c>
      <c r="G13" s="4280">
        <v>86.100172620914208</v>
      </c>
      <c r="H13" s="4281">
        <v>10.036507821839923</v>
      </c>
      <c r="I13" s="4282">
        <f t="shared" si="2"/>
        <v>-29089.367703908127</v>
      </c>
    </row>
    <row r="14" spans="2:10" ht="18" customHeight="1" x14ac:dyDescent="0.2">
      <c r="B14" s="464" t="s">
        <v>1255</v>
      </c>
      <c r="C14" s="4272">
        <f>IF(SUM(C15:C16)=0,"NO",SUM(C15:C16))</f>
        <v>2930.291421366112</v>
      </c>
      <c r="D14" s="4272">
        <f t="shared" ref="D14" si="3">IF(SUM(D15:D16)=0,"NO",SUM(D15:D16))</f>
        <v>1.2417603081910018</v>
      </c>
      <c r="E14" s="4272">
        <f t="shared" ref="E14" si="4">IF(SUM(E15:E16)=0,"NO",SUM(E15:E16))</f>
        <v>0.13737922232763755</v>
      </c>
      <c r="F14" s="4272">
        <f t="shared" ref="F14" si="5">IF(SUM(F15:F16)=0,"NO",SUM(F15:F16))</f>
        <v>0.93501594634620067</v>
      </c>
      <c r="G14" s="4272">
        <f t="shared" ref="G14" si="6">IF(SUM(G15:G16)=0,"NO",SUM(G15:G16))</f>
        <v>36.620431311003152</v>
      </c>
      <c r="H14" s="4273">
        <f t="shared" ref="H14" si="7">IF(SUM(H15:H16)=0,"NO",SUM(H15:H16))</f>
        <v>4.4266455430882932</v>
      </c>
      <c r="I14" s="4283">
        <f t="shared" si="2"/>
        <v>3001.4662039122841</v>
      </c>
    </row>
    <row r="15" spans="2:10" ht="18" customHeight="1" x14ac:dyDescent="0.2">
      <c r="B15" s="465" t="s">
        <v>1256</v>
      </c>
      <c r="C15" s="4275">
        <f>IF(SUM(Table4.B!S11,'Table4(IV)'!J26)=0,"NO",SUM(Table4.B!S11,'Table4(IV)'!J26))</f>
        <v>-3586.7067102425167</v>
      </c>
      <c r="D15" s="4275" t="str">
        <f>'Table4(IV)'!K26</f>
        <v>IE</v>
      </c>
      <c r="E15" s="4275" t="str">
        <f>'Table4(IV)'!L26</f>
        <v>IE</v>
      </c>
      <c r="F15" s="4276" t="s">
        <v>274</v>
      </c>
      <c r="G15" s="4276" t="s">
        <v>274</v>
      </c>
      <c r="H15" s="4277" t="s">
        <v>274</v>
      </c>
      <c r="I15" s="4278">
        <f t="shared" si="2"/>
        <v>-3586.7067102425167</v>
      </c>
    </row>
    <row r="16" spans="2:10" ht="18" customHeight="1" thickBot="1" x14ac:dyDescent="0.25">
      <c r="B16" s="466" t="s">
        <v>1257</v>
      </c>
      <c r="C16" s="4279">
        <f>IF(SUM(Table4.B!S13,'Table4(IV)'!J31)=0,"IE",SUM(Table4.B!S13,'Table4(IV)'!J31))</f>
        <v>6516.9981316086287</v>
      </c>
      <c r="D16" s="4279">
        <f>'Table4(IV)'!K31</f>
        <v>1.2417603081910018</v>
      </c>
      <c r="E16" s="4279">
        <f>IF(SUM('Table4(III)'!I21,'Table4(IV)'!L31)=0,"IE",SUM('Table4(III)'!I21,'Table4(IV)'!L31))</f>
        <v>0.13737922232763755</v>
      </c>
      <c r="F16" s="4280">
        <v>0.93501594634620067</v>
      </c>
      <c r="G16" s="4280">
        <v>36.620431311003152</v>
      </c>
      <c r="H16" s="4281">
        <v>4.4266455430882932</v>
      </c>
      <c r="I16" s="4282">
        <f t="shared" si="2"/>
        <v>6588.1729141548003</v>
      </c>
    </row>
    <row r="17" spans="2:9" ht="18" customHeight="1" x14ac:dyDescent="0.2">
      <c r="B17" s="464" t="s">
        <v>1258</v>
      </c>
      <c r="C17" s="4272">
        <f>IF(SUM(C18:C19)=0,"NO",SUM(C18:C19))</f>
        <v>30336.399738192373</v>
      </c>
      <c r="D17" s="4272">
        <f t="shared" ref="D17" si="8">IF(SUM(D18:D19)=0,"NO",SUM(D18:D19))</f>
        <v>302.50776498805067</v>
      </c>
      <c r="E17" s="4272">
        <f t="shared" ref="E17" si="9">IF(SUM(E18:E19)=0,"NO",SUM(E18:E19))</f>
        <v>10.09233625564346</v>
      </c>
      <c r="F17" s="4272">
        <f t="shared" ref="F17" si="10">IF(SUM(F18:F19)=0,"NO",SUM(F18:F19))</f>
        <v>590.45696724643983</v>
      </c>
      <c r="G17" s="4272">
        <f t="shared" ref="G17" si="11">IF(SUM(G18:G19)=0,"NO",SUM(G18:G19))</f>
        <v>15226.228946689676</v>
      </c>
      <c r="H17" s="4273">
        <f t="shared" ref="H17" si="12">IF(SUM(H18:H19)=0,"NO",SUM(H18:H19))</f>
        <v>322.33389543165515</v>
      </c>
      <c r="I17" s="4283">
        <f t="shared" si="2"/>
        <v>41481.086265603306</v>
      </c>
    </row>
    <row r="18" spans="2:9" ht="18" customHeight="1" x14ac:dyDescent="0.2">
      <c r="B18" s="465" t="s">
        <v>1259</v>
      </c>
      <c r="C18" s="4275">
        <f>IF(SUM(Table4.C!S11,'Table4(IV)'!J37)=0,"IE",SUM(Table4.C!S11,'Table4(IV)'!J37))</f>
        <v>-13579.075852815509</v>
      </c>
      <c r="D18" s="4275">
        <f>'Table4(IV)'!K37</f>
        <v>261.51356894005409</v>
      </c>
      <c r="E18" s="4275">
        <f>IF(SUM('Table4(III)'!I29,'Table4(IV)'!L37)=0,"NO",SUM('Table4(III)'!I29,'Table4(IV)'!L37))</f>
        <v>8.8468904455484818</v>
      </c>
      <c r="F18" s="4276">
        <v>558.3876624819452</v>
      </c>
      <c r="G18" s="4276">
        <v>14003.019902474847</v>
      </c>
      <c r="H18" s="4277">
        <v>180.70116343476292</v>
      </c>
      <c r="I18" s="4278">
        <f t="shared" si="2"/>
        <v>-3912.2699544236471</v>
      </c>
    </row>
    <row r="19" spans="2:9" ht="18" customHeight="1" thickBot="1" x14ac:dyDescent="0.25">
      <c r="B19" s="466" t="s">
        <v>1260</v>
      </c>
      <c r="C19" s="4279">
        <f>IF(SUM(Table4.C!S15,'Table4(IV)'!J42)=0,"IE",SUM(Table4.C!S15,'Table4(IV)'!J42))</f>
        <v>43915.475591007882</v>
      </c>
      <c r="D19" s="4279">
        <f>'Table4(IV)'!K42</f>
        <v>40.994196047996596</v>
      </c>
      <c r="E19" s="4279">
        <f>IF(SUM('Table4(III)'!I30,'Table4(IV)'!L42)=0,"NO",SUM('Table4(III)'!I30,'Table4(IV)'!L42))</f>
        <v>1.245445810094977</v>
      </c>
      <c r="F19" s="4280">
        <v>32.069304764494603</v>
      </c>
      <c r="G19" s="4280">
        <v>1223.2090442148299</v>
      </c>
      <c r="H19" s="4281">
        <v>141.63273199689223</v>
      </c>
      <c r="I19" s="4282">
        <f t="shared" si="2"/>
        <v>45393.356220026952</v>
      </c>
    </row>
    <row r="20" spans="2:9" ht="18" customHeight="1" x14ac:dyDescent="0.2">
      <c r="B20" s="464" t="s">
        <v>1261</v>
      </c>
      <c r="C20" s="4272">
        <f>IF(SUM(C21:C22)=0,"NO",SUM(C21:C22))</f>
        <v>323.31055740395101</v>
      </c>
      <c r="D20" s="4272">
        <f t="shared" ref="D20" si="13">IF(SUM(D21:D22)=0,"NO",SUM(D21:D22))</f>
        <v>91.419487886402237</v>
      </c>
      <c r="E20" s="4272">
        <f t="shared" ref="E20" si="14">IF(SUM(E21:E22)=0,"NO",SUM(E21:E22))</f>
        <v>0.43435130067349464</v>
      </c>
      <c r="F20" s="4272">
        <f t="shared" ref="F20" si="15">IF(SUM(F21:F22)=0,"NO",SUM(F21:F22))</f>
        <v>31.748849448940881</v>
      </c>
      <c r="G20" s="4272">
        <f t="shared" ref="G20" si="16">IF(SUM(G21:G22)=0,"NO",SUM(G21:G22))</f>
        <v>761.30310931584222</v>
      </c>
      <c r="H20" s="4273">
        <f t="shared" ref="H20" si="17">IF(SUM(H21:H22)=0,"NO",SUM(H21:H22))</f>
        <v>0.48850282847766546</v>
      </c>
      <c r="I20" s="4283">
        <f t="shared" si="2"/>
        <v>2998.1593129016896</v>
      </c>
    </row>
    <row r="21" spans="2:9" ht="18" customHeight="1" x14ac:dyDescent="0.2">
      <c r="B21" s="465" t="s">
        <v>1262</v>
      </c>
      <c r="C21" s="4275">
        <f>IF(SUM(Table4.D!S11,'Table4(IV)'!J49)=0,"IE",SUM(Table4.D!S11,'Table4(IV)'!J49))</f>
        <v>311.96742167912464</v>
      </c>
      <c r="D21" s="4275">
        <f>IF(SUM('Table4(IV)'!K49,'Table4(II)'!J270)=0,"NO",SUM('Table4(IV)'!K49,'Table4(II)'!J270))</f>
        <v>90.347666512229438</v>
      </c>
      <c r="E21" s="4275">
        <f>IF(SUM('Table4(II)'!I270,'Table4(III)'!I38,'Table4(IV)'!L49)=0,"NO",SUM('Table4(II)'!I270,'Table4(III)'!I38,'Table4(IV)'!L49))</f>
        <v>0.43435130067349464</v>
      </c>
      <c r="F21" s="4276">
        <v>31.748849448940881</v>
      </c>
      <c r="G21" s="4276">
        <v>761.30310931584222</v>
      </c>
      <c r="H21" s="4277">
        <v>0.48850282847766546</v>
      </c>
      <c r="I21" s="4278">
        <f t="shared" si="2"/>
        <v>2956.805178700025</v>
      </c>
    </row>
    <row r="22" spans="2:9" ht="18" customHeight="1" thickBot="1" x14ac:dyDescent="0.25">
      <c r="B22" s="466" t="s">
        <v>1263</v>
      </c>
      <c r="C22" s="4279">
        <f>IF(SUM(Table4.D!S23,'Table4(II)'!H320,'Table4(IV)'!J54)=0,"NO",SUM(Table4.D!S23,'Table4(II)'!H320,'Table4(IV)'!J54))</f>
        <v>11.343135724826384</v>
      </c>
      <c r="D22" s="4279">
        <f>IF(SUM('Table4(IV)'!K54,'Table4(II)'!J320)=0,"NO",SUM('Table4(IV)'!K54,'Table4(II)'!J320))</f>
        <v>1.071821374172794</v>
      </c>
      <c r="E22" s="4279" t="str">
        <f>IF(SUM('Table4(II)'!I320,'Table4(III)'!I39,'Table4(IV)'!L54)=0,"NO",SUM('Table4(II)'!I320,'Table4(III)'!I39,'Table4(IV)'!L54))</f>
        <v>NO</v>
      </c>
      <c r="F22" s="4280" t="s">
        <v>274</v>
      </c>
      <c r="G22" s="4280" t="s">
        <v>274</v>
      </c>
      <c r="H22" s="4281" t="s">
        <v>274</v>
      </c>
      <c r="I22" s="4282">
        <f t="shared" si="2"/>
        <v>41.354134201664614</v>
      </c>
    </row>
    <row r="23" spans="2:9" ht="18" customHeight="1" x14ac:dyDescent="0.2">
      <c r="B23" s="464" t="s">
        <v>1264</v>
      </c>
      <c r="C23" s="4272">
        <f>IF(SUM(C24:C25)=0,"NO",SUM(C24:C25))</f>
        <v>4970.1151038047637</v>
      </c>
      <c r="D23" s="4272">
        <f t="shared" ref="D23" si="18">IF(SUM(D24:D25)=0,"NO",SUM(D24:D25))</f>
        <v>1.9623247859387549</v>
      </c>
      <c r="E23" s="4272">
        <f t="shared" ref="E23" si="19">IF(SUM(E24:E25)=0,"NO",SUM(E24:E25))</f>
        <v>5.9012748443833647E-2</v>
      </c>
      <c r="F23" s="4272">
        <f>IF(SUM(F24:F25)=0,"NO",SUM(F24:F25))</f>
        <v>1.4775838417931695</v>
      </c>
      <c r="G23" s="4272">
        <f t="shared" ref="G23" si="20">IF(SUM(G24:G25)=0,"NO",SUM(G24:G25))</f>
        <v>57.870411511249394</v>
      </c>
      <c r="H23" s="4273">
        <f t="shared" ref="H23" si="21">IF(SUM(H24:H25)=0,"NO",SUM(H24:H25))</f>
        <v>6.9953244683927842</v>
      </c>
      <c r="I23" s="4283">
        <f t="shared" si="2"/>
        <v>5040.6985761486649</v>
      </c>
    </row>
    <row r="24" spans="2:9" ht="18" customHeight="1" thickBot="1" x14ac:dyDescent="0.25">
      <c r="B24" s="465" t="s">
        <v>1265</v>
      </c>
      <c r="C24" s="4275">
        <f>IF(SUM(Table4.E!S11,'Table4(IV)'!J60)=0,"IE",SUM(Table4.E!S11,'Table4(IV)'!J60))</f>
        <v>-16.008271034040298</v>
      </c>
      <c r="D24" s="4275" t="str">
        <f>'Table4(IV)'!K60</f>
        <v>IE</v>
      </c>
      <c r="E24" s="4275">
        <f>IF(SUM('Table4(III)'!I47,'Table4(IV)'!L60)=0,"IE",SUM('Table4(III)'!I47,'Table4(IV)'!L60))</f>
        <v>9.6481813841900704E-5</v>
      </c>
      <c r="F24" s="4280" t="s">
        <v>274</v>
      </c>
      <c r="G24" s="4280" t="s">
        <v>274</v>
      </c>
      <c r="H24" s="4281" t="s">
        <v>274</v>
      </c>
      <c r="I24" s="4278">
        <f t="shared" si="2"/>
        <v>-15.982703353372194</v>
      </c>
    </row>
    <row r="25" spans="2:9" ht="18" customHeight="1" thickBot="1" x14ac:dyDescent="0.25">
      <c r="B25" s="466" t="s">
        <v>1266</v>
      </c>
      <c r="C25" s="4279">
        <f>IF(SUM(Table4.E!S13,'Table4(IV)'!J65)=0,"IE",SUM(Table4.E!S13,'Table4(IV)'!J65))</f>
        <v>4986.123374838804</v>
      </c>
      <c r="D25" s="4279">
        <f>'Table4(IV)'!K65</f>
        <v>1.9623247859387549</v>
      </c>
      <c r="E25" s="4279">
        <f>IF(SUM('Table4(III)'!I48,'Table4(IV)'!L65)=0,"NO",SUM('Table4(III)'!I48,'Table4(IV)'!L65))</f>
        <v>5.8916266629991748E-2</v>
      </c>
      <c r="F25" s="4280">
        <v>1.4775838417931695</v>
      </c>
      <c r="G25" s="4280">
        <v>57.870411511249394</v>
      </c>
      <c r="H25" s="4281">
        <v>6.9953244683927842</v>
      </c>
      <c r="I25" s="4282">
        <f t="shared" si="2"/>
        <v>5056.6812795020369</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-3986.6566336709197</v>
      </c>
      <c r="D29" s="4288"/>
      <c r="E29" s="4288"/>
      <c r="F29" s="4288"/>
      <c r="G29" s="4288"/>
      <c r="H29" s="4289"/>
      <c r="I29" s="4290">
        <f t="shared" si="2"/>
        <v>-3986.6566336709197</v>
      </c>
    </row>
    <row r="30" spans="2:9" ht="18" customHeight="1" x14ac:dyDescent="0.2">
      <c r="B30" s="1167" t="s">
        <v>1271</v>
      </c>
      <c r="C30" s="4291">
        <f>IF(SUM(C31:C32)=0,"NO",SUM(C31:C32))</f>
        <v>1.7320829340955557</v>
      </c>
      <c r="D30" s="4291" t="str">
        <f t="shared" ref="D30" si="27">IF(SUM(D31:D32)=0,"NO",SUM(D31:D32))</f>
        <v>NO</v>
      </c>
      <c r="E30" s="4291">
        <f t="shared" ref="E30" si="28">IF(SUM(E31:E32)=0,"NO",SUM(E31:E32))</f>
        <v>0.15340874441137142</v>
      </c>
      <c r="F30" s="4291" t="str">
        <f t="shared" ref="F30" si="29">IF(SUM(F31:F32)=0,"NO",SUM(F31:F32))</f>
        <v>NO</v>
      </c>
      <c r="G30" s="4291" t="str">
        <f t="shared" ref="G30" si="30">IF(SUM(G31:G32)=0,"NO",SUM(G31:G32))</f>
        <v>NO</v>
      </c>
      <c r="H30" s="4292" t="str">
        <f t="shared" ref="H30" si="31">IF(SUM(H31:H32)=0,"NO",SUM(H31:H32))</f>
        <v>NO</v>
      </c>
      <c r="I30" s="4293">
        <f t="shared" si="2"/>
        <v>42.385400203108986</v>
      </c>
    </row>
    <row r="31" spans="2:9" ht="18" customHeight="1" x14ac:dyDescent="0.2">
      <c r="B31" s="2693" t="s">
        <v>1272</v>
      </c>
      <c r="C31" s="4294" t="s">
        <v>199</v>
      </c>
      <c r="D31" s="4294" t="s">
        <v>199</v>
      </c>
      <c r="E31" s="4294">
        <v>0.15340874441137142</v>
      </c>
      <c r="F31" s="4294" t="s">
        <v>199</v>
      </c>
      <c r="G31" s="4294" t="s">
        <v>199</v>
      </c>
      <c r="H31" s="4295" t="s">
        <v>199</v>
      </c>
      <c r="I31" s="4296">
        <f t="shared" si="2"/>
        <v>40.653317269013428</v>
      </c>
    </row>
    <row r="32" spans="2:9" ht="18" customHeight="1" thickBot="1" x14ac:dyDescent="0.25">
      <c r="B32" s="2692" t="s">
        <v>1273</v>
      </c>
      <c r="C32" s="4297">
        <v>1.7320829340955557</v>
      </c>
      <c r="D32" s="4297" t="s">
        <v>199</v>
      </c>
      <c r="E32" s="4297" t="s">
        <v>199</v>
      </c>
      <c r="F32" s="4298" t="s">
        <v>199</v>
      </c>
      <c r="G32" s="4298" t="s">
        <v>199</v>
      </c>
      <c r="H32" s="4298" t="s">
        <v>199</v>
      </c>
      <c r="I32" s="4282">
        <f t="shared" si="2"/>
        <v>1.7320829340955557</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-13287.317398473155</v>
      </c>
      <c r="D35" s="4297" t="s">
        <v>199</v>
      </c>
      <c r="E35" s="4297" t="s">
        <v>199</v>
      </c>
      <c r="F35" s="4297" t="s">
        <v>199</v>
      </c>
      <c r="G35" s="4297" t="s">
        <v>199</v>
      </c>
      <c r="H35" s="4297" t="s">
        <v>199</v>
      </c>
      <c r="I35" s="4302">
        <f t="shared" ref="I35" si="32">IF(SUM(C35:E35)=0,"NO",SUM(C35)+28*SUM(D35)+265*SUM(E35))</f>
        <v>-13287.317398473155</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377178.33140094014</v>
      </c>
      <c r="D10" s="4489">
        <f t="shared" ref="D10:I10" si="0">IF(SUM(D11,D37,D47)=0,"NO",SUM(D11,D37,D47))</f>
        <v>1383.3213826335241</v>
      </c>
      <c r="E10" s="4489">
        <f t="shared" si="0"/>
        <v>12.259990979875685</v>
      </c>
      <c r="F10" s="4489">
        <f t="shared" si="0"/>
        <v>2481.1909829534402</v>
      </c>
      <c r="G10" s="4489">
        <f t="shared" si="0"/>
        <v>2493.4876885252702</v>
      </c>
      <c r="H10" s="4489">
        <f t="shared" si="0"/>
        <v>731.44574800654777</v>
      </c>
      <c r="I10" s="4490">
        <f t="shared" si="0"/>
        <v>700.68723017820935</v>
      </c>
      <c r="J10" s="4427">
        <f t="shared" ref="J10:J40" si="1">IF(SUM(C10:E10)=0,"NO",SUM(C10,IFERROR(28*D10,0),IFERROR(265*E10,0)))</f>
        <v>419160.22772434587</v>
      </c>
    </row>
    <row r="11" spans="2:10" s="83" customFormat="1" ht="18" customHeight="1" thickBot="1" x14ac:dyDescent="0.25">
      <c r="B11" s="18" t="s">
        <v>174</v>
      </c>
      <c r="C11" s="3010">
        <f>IF(SUM(C12,C16,C24,C30,C34)=0,"NO",SUM(C12,C16,C24,C30,C34))</f>
        <v>368323.72147592145</v>
      </c>
      <c r="D11" s="3010">
        <f t="shared" ref="D11:I11" si="2">IF(SUM(D12,D16,D24,D30,D34)=0,"NO",SUM(D12,D16,D24,D30,D34))</f>
        <v>78.343958829686557</v>
      </c>
      <c r="E11" s="3010">
        <f t="shared" si="2"/>
        <v>12.139203091385387</v>
      </c>
      <c r="F11" s="3010">
        <f t="shared" si="2"/>
        <v>2479.3408889494654</v>
      </c>
      <c r="G11" s="3010">
        <f t="shared" si="2"/>
        <v>2482.9303218722357</v>
      </c>
      <c r="H11" s="3010">
        <f t="shared" si="2"/>
        <v>523.55723467446512</v>
      </c>
      <c r="I11" s="3011">
        <f t="shared" si="2"/>
        <v>700.68723017820935</v>
      </c>
      <c r="J11" s="3012">
        <f t="shared" si="1"/>
        <v>373734.24114236981</v>
      </c>
    </row>
    <row r="12" spans="2:10" s="83" customFormat="1" ht="18" customHeight="1" x14ac:dyDescent="0.2">
      <c r="B12" s="26" t="s">
        <v>175</v>
      </c>
      <c r="C12" s="3010">
        <f>IF(SUM(C13:C15)=0,"NO",SUM(C13:C15))</f>
        <v>209738.86269675242</v>
      </c>
      <c r="D12" s="3010">
        <f t="shared" ref="D12:I12" si="3">IF(SUM(D13:D15)=0,"NO",SUM(D13:D15))</f>
        <v>20.611341705573661</v>
      </c>
      <c r="E12" s="3010">
        <f t="shared" si="3"/>
        <v>4.0909877996657462</v>
      </c>
      <c r="F12" s="3010">
        <f t="shared" si="3"/>
        <v>1040.63938634586</v>
      </c>
      <c r="G12" s="3010">
        <f t="shared" si="3"/>
        <v>220.23802216369967</v>
      </c>
      <c r="H12" s="3010">
        <f>IF(SUM(H13:H15)=0,"NO",SUM(H13:H15))</f>
        <v>63.694779442223933</v>
      </c>
      <c r="I12" s="3011">
        <f t="shared" si="3"/>
        <v>577.00426459407208</v>
      </c>
      <c r="J12" s="3012">
        <f t="shared" si="1"/>
        <v>211400.09203141992</v>
      </c>
    </row>
    <row r="13" spans="2:10" s="83" customFormat="1" ht="18" customHeight="1" x14ac:dyDescent="0.2">
      <c r="B13" s="20" t="s">
        <v>176</v>
      </c>
      <c r="C13" s="3013">
        <f>'Table1.A(a)s1'!H24</f>
        <v>185720.37339608718</v>
      </c>
      <c r="D13" s="3013">
        <f>'Table1.A(a)s1'!I24</f>
        <v>11.346369582272931</v>
      </c>
      <c r="E13" s="3013">
        <f>'Table1.A(a)s1'!J24</f>
        <v>3.5049616872086213</v>
      </c>
      <c r="F13" s="3014">
        <v>579.2446354026157</v>
      </c>
      <c r="G13" s="3014">
        <v>87.178225788776473</v>
      </c>
      <c r="H13" s="3014">
        <v>8.5065974947422838</v>
      </c>
      <c r="I13" s="3015">
        <v>554.94290388820536</v>
      </c>
      <c r="J13" s="3016">
        <f t="shared" si="1"/>
        <v>186966.8865915011</v>
      </c>
    </row>
    <row r="14" spans="2:10" s="83" customFormat="1" ht="18" customHeight="1" x14ac:dyDescent="0.2">
      <c r="B14" s="20" t="s">
        <v>177</v>
      </c>
      <c r="C14" s="3013">
        <f>'Table1.A(a)s1'!H53</f>
        <v>4899.3949908550039</v>
      </c>
      <c r="D14" s="3013">
        <f>'Table1.A(a)s1'!I53</f>
        <v>8.0905061164125811E-2</v>
      </c>
      <c r="E14" s="3013">
        <f>'Table1.A(a)s1'!J53</f>
        <v>1.2931779777632593E-2</v>
      </c>
      <c r="F14" s="3014">
        <v>32.84624938654057</v>
      </c>
      <c r="G14" s="3014">
        <v>4.0975982354240417</v>
      </c>
      <c r="H14" s="3014">
        <v>7.7159921895176023E-2</v>
      </c>
      <c r="I14" s="3015">
        <v>7.7377200871224439</v>
      </c>
      <c r="J14" s="3016">
        <f t="shared" si="1"/>
        <v>4905.0872542086727</v>
      </c>
    </row>
    <row r="15" spans="2:10" s="83" customFormat="1" ht="18" customHeight="1" thickBot="1" x14ac:dyDescent="0.25">
      <c r="B15" s="21" t="s">
        <v>178</v>
      </c>
      <c r="C15" s="3017">
        <f>'Table1.A(a)s1'!H60</f>
        <v>19119.094309810222</v>
      </c>
      <c r="D15" s="3017">
        <f>'Table1.A(a)s1'!I60</f>
        <v>9.1840670621366041</v>
      </c>
      <c r="E15" s="3017">
        <f>'Table1.A(a)s1'!J60</f>
        <v>0.57309433267949228</v>
      </c>
      <c r="F15" s="3018">
        <v>428.54850155670374</v>
      </c>
      <c r="G15" s="3018">
        <v>128.96219813949915</v>
      </c>
      <c r="H15" s="3018">
        <v>55.111022025586472</v>
      </c>
      <c r="I15" s="3019">
        <v>14.323640618744363</v>
      </c>
      <c r="J15" s="3020">
        <f t="shared" si="1"/>
        <v>19528.118185710111</v>
      </c>
    </row>
    <row r="16" spans="2:10" s="83" customFormat="1" ht="18" customHeight="1" x14ac:dyDescent="0.2">
      <c r="B16" s="25" t="s">
        <v>179</v>
      </c>
      <c r="C16" s="3010">
        <f>IF(SUM(C17:C23)=0,"NO",SUM(C17:C23))</f>
        <v>45496.846030480068</v>
      </c>
      <c r="D16" s="3010">
        <f t="shared" ref="D16:I16" si="4">IF(SUM(D17:D23)=0,"NO",SUM(D17:D23))</f>
        <v>2.5643379299736306</v>
      </c>
      <c r="E16" s="3010">
        <f t="shared" si="4"/>
        <v>1.5116382527261478</v>
      </c>
      <c r="F16" s="3010">
        <f t="shared" si="4"/>
        <v>768.10031559407435</v>
      </c>
      <c r="G16" s="3010">
        <f t="shared" si="4"/>
        <v>247.31832839302444</v>
      </c>
      <c r="H16" s="3010">
        <f t="shared" si="4"/>
        <v>103.60798060261314</v>
      </c>
      <c r="I16" s="3011">
        <f t="shared" si="4"/>
        <v>92.784817239867181</v>
      </c>
      <c r="J16" s="3012">
        <f t="shared" si="1"/>
        <v>45969.231629491762</v>
      </c>
    </row>
    <row r="17" spans="2:10" s="83" customFormat="1" ht="18" customHeight="1" x14ac:dyDescent="0.2">
      <c r="B17" s="20" t="s">
        <v>180</v>
      </c>
      <c r="C17" s="3013">
        <f>'Table1.A(a)s2'!H17</f>
        <v>1704.8789329450863</v>
      </c>
      <c r="D17" s="3013">
        <f>'Table1.A(a)s2'!I17</f>
        <v>3.7051595473644755E-2</v>
      </c>
      <c r="E17" s="3013">
        <f>'Table1.A(a)s2'!J17</f>
        <v>2.1381205000067467E-2</v>
      </c>
      <c r="F17" s="3014">
        <v>18.513709382698202</v>
      </c>
      <c r="G17" s="3014">
        <v>3.0632378692324105</v>
      </c>
      <c r="H17" s="3014">
        <v>0.31644000753221513</v>
      </c>
      <c r="I17" s="3015">
        <v>7.8602755373096906</v>
      </c>
      <c r="J17" s="3016">
        <f t="shared" si="1"/>
        <v>1711.5823969433663</v>
      </c>
    </row>
    <row r="18" spans="2:10" s="83" customFormat="1" ht="18" customHeight="1" x14ac:dyDescent="0.2">
      <c r="B18" s="20" t="s">
        <v>181</v>
      </c>
      <c r="C18" s="3013">
        <f>'Table1.A(a)s2'!H24</f>
        <v>14526.983669044635</v>
      </c>
      <c r="D18" s="3013">
        <f>'Table1.A(a)s2'!I24</f>
        <v>0.26890420045835572</v>
      </c>
      <c r="E18" s="3013">
        <f>'Table1.A(a)s2'!J24</f>
        <v>0.16155349966968571</v>
      </c>
      <c r="F18" s="3014">
        <v>104.15131263318526</v>
      </c>
      <c r="G18" s="3014">
        <v>17.174765168560196</v>
      </c>
      <c r="H18" s="3014">
        <v>2.7539406071555734</v>
      </c>
      <c r="I18" s="3015">
        <v>51.491298388166555</v>
      </c>
      <c r="J18" s="3016">
        <f t="shared" si="1"/>
        <v>14577.324664069936</v>
      </c>
    </row>
    <row r="19" spans="2:10" s="83" customFormat="1" ht="18" customHeight="1" x14ac:dyDescent="0.2">
      <c r="B19" s="20" t="s">
        <v>182</v>
      </c>
      <c r="C19" s="3013">
        <f>'Table1.A(a)s2'!H31</f>
        <v>9025.8532607733032</v>
      </c>
      <c r="D19" s="3013">
        <f>'Table1.A(a)s2'!I31</f>
        <v>0.29629958504020676</v>
      </c>
      <c r="E19" s="3013">
        <f>'Table1.A(a)s2'!J31</f>
        <v>0.10774134291082901</v>
      </c>
      <c r="F19" s="3014">
        <v>63.553277414483176</v>
      </c>
      <c r="G19" s="3014">
        <v>21.909981374041699</v>
      </c>
      <c r="H19" s="3014">
        <v>13.289618334024327</v>
      </c>
      <c r="I19" s="3015">
        <v>8.5522328511892169</v>
      </c>
      <c r="J19" s="3016">
        <f t="shared" si="1"/>
        <v>9062.7011050257988</v>
      </c>
    </row>
    <row r="20" spans="2:10" s="83" customFormat="1" ht="18" customHeight="1" x14ac:dyDescent="0.2">
      <c r="B20" s="20" t="s">
        <v>183</v>
      </c>
      <c r="C20" s="3013">
        <f>'Table1.A(a)s2'!H38</f>
        <v>1089.3670228955018</v>
      </c>
      <c r="D20" s="3013">
        <f>'Table1.A(a)s2'!I38</f>
        <v>0.19157942885561866</v>
      </c>
      <c r="E20" s="3013">
        <f>'Table1.A(a)s2'!J38</f>
        <v>0.12683086697317386</v>
      </c>
      <c r="F20" s="3014">
        <v>7.3346884139762283</v>
      </c>
      <c r="G20" s="3014">
        <v>5.3065351775833483</v>
      </c>
      <c r="H20" s="3014">
        <v>0.45279354107733294</v>
      </c>
      <c r="I20" s="3015">
        <v>1.8694232553642378</v>
      </c>
      <c r="J20" s="3016">
        <f t="shared" si="1"/>
        <v>1128.3414266513503</v>
      </c>
    </row>
    <row r="21" spans="2:10" s="83" customFormat="1" ht="18" customHeight="1" x14ac:dyDescent="0.2">
      <c r="B21" s="20" t="s">
        <v>184</v>
      </c>
      <c r="C21" s="3013">
        <f>'Table1.A(a)s2'!H45</f>
        <v>2873.5930207244364</v>
      </c>
      <c r="D21" s="3013">
        <f>'Table1.A(a)s2'!I45</f>
        <v>0.89545411937416108</v>
      </c>
      <c r="E21" s="3013">
        <f>'Table1.A(a)s2'!J45</f>
        <v>0.56627029199498358</v>
      </c>
      <c r="F21" s="3014">
        <v>24.070515110247818</v>
      </c>
      <c r="G21" s="3014">
        <v>26.196644061619338</v>
      </c>
      <c r="H21" s="3014">
        <v>1.8845957966865754</v>
      </c>
      <c r="I21" s="3015">
        <v>4.0140788918444947</v>
      </c>
      <c r="J21" s="3016">
        <f t="shared" si="1"/>
        <v>3048.7273634455833</v>
      </c>
    </row>
    <row r="22" spans="2:10" s="83" customFormat="1" ht="18" customHeight="1" x14ac:dyDescent="0.2">
      <c r="B22" s="20" t="s">
        <v>185</v>
      </c>
      <c r="C22" s="3013">
        <f>'Table1.A(a)s2'!H52</f>
        <v>5558.8316049636651</v>
      </c>
      <c r="D22" s="3013">
        <f>'Table1.A(a)s2'!I52</f>
        <v>0.31060480925631934</v>
      </c>
      <c r="E22" s="3013">
        <f>'Table1.A(a)s2'!J52</f>
        <v>4.7867693351064673E-2</v>
      </c>
      <c r="F22" s="3014">
        <v>83.700435138595807</v>
      </c>
      <c r="G22" s="3014">
        <v>25.073134943275882</v>
      </c>
      <c r="H22" s="3014">
        <v>16.443142695270772</v>
      </c>
      <c r="I22" s="3015">
        <v>9.1996841704688244</v>
      </c>
      <c r="J22" s="3016">
        <f t="shared" si="1"/>
        <v>5580.2134783608744</v>
      </c>
    </row>
    <row r="23" spans="2:10" s="83" customFormat="1" ht="18" customHeight="1" thickBot="1" x14ac:dyDescent="0.25">
      <c r="B23" s="3039" t="s">
        <v>186</v>
      </c>
      <c r="C23" s="3013">
        <f>'Table1.A(a)s2'!H59</f>
        <v>10717.338519133442</v>
      </c>
      <c r="D23" s="3013">
        <f>'Table1.A(a)s2'!I59</f>
        <v>0.56444419151532432</v>
      </c>
      <c r="E23" s="3013">
        <f>'Table1.A(a)s2'!J59</f>
        <v>0.47999335282634359</v>
      </c>
      <c r="F23" s="3014">
        <v>466.77637750088786</v>
      </c>
      <c r="G23" s="3014">
        <v>148.59402979871157</v>
      </c>
      <c r="H23" s="3014">
        <v>68.467449620866347</v>
      </c>
      <c r="I23" s="3015">
        <v>9.7978241455241637</v>
      </c>
      <c r="J23" s="3016">
        <f t="shared" si="1"/>
        <v>10860.341194994851</v>
      </c>
    </row>
    <row r="24" spans="2:10" s="83" customFormat="1" ht="18" customHeight="1" x14ac:dyDescent="0.2">
      <c r="B24" s="25" t="s">
        <v>187</v>
      </c>
      <c r="C24" s="3010">
        <f>IF(SUM(C25:C29)=0,"NO",SUM(C25:C29))</f>
        <v>91143.808302532998</v>
      </c>
      <c r="D24" s="3010">
        <f t="shared" ref="D24:I24" si="5">IF(SUM(D25:D29)=0,"NO",SUM(D25:D29))</f>
        <v>15.864149704567856</v>
      </c>
      <c r="E24" s="3010">
        <f t="shared" si="5"/>
        <v>5.8347641882832999</v>
      </c>
      <c r="F24" s="3010">
        <f t="shared" si="5"/>
        <v>300.45211392489927</v>
      </c>
      <c r="G24" s="3010">
        <f t="shared" si="5"/>
        <v>1333.965381401121</v>
      </c>
      <c r="H24" s="3010">
        <f t="shared" si="5"/>
        <v>239.44214090645653</v>
      </c>
      <c r="I24" s="3011">
        <f t="shared" si="5"/>
        <v>22.735298770013781</v>
      </c>
      <c r="J24" s="3012">
        <f t="shared" si="1"/>
        <v>93134.217004155973</v>
      </c>
    </row>
    <row r="25" spans="2:10" s="83" customFormat="1" ht="18" customHeight="1" x14ac:dyDescent="0.2">
      <c r="B25" s="20" t="s">
        <v>188</v>
      </c>
      <c r="C25" s="1884">
        <f>'Table1.A(a)s3'!H16</f>
        <v>8410.9062753977978</v>
      </c>
      <c r="D25" s="1884">
        <f>'Table1.A(a)s3'!I16</f>
        <v>3.7961749158125183E-2</v>
      </c>
      <c r="E25" s="1884">
        <f>'Table1.A(a)s3'!J16</f>
        <v>6.2522690563317065E-2</v>
      </c>
      <c r="F25" s="3014">
        <v>28.427945825288372</v>
      </c>
      <c r="G25" s="3014">
        <v>18.727678033278846</v>
      </c>
      <c r="H25" s="3014">
        <v>1.8476272971803926</v>
      </c>
      <c r="I25" s="3015">
        <v>0.99177553120988027</v>
      </c>
      <c r="J25" s="3016">
        <f t="shared" si="1"/>
        <v>8428.5377173735051</v>
      </c>
    </row>
    <row r="26" spans="2:10" s="83" customFormat="1" ht="18" customHeight="1" x14ac:dyDescent="0.2">
      <c r="B26" s="20" t="s">
        <v>189</v>
      </c>
      <c r="C26" s="1884">
        <f>'Table1.A(a)s3'!H20</f>
        <v>77790.283905850883</v>
      </c>
      <c r="D26" s="1884">
        <f>'Table1.A(a)s3'!I20</f>
        <v>10.909320670935367</v>
      </c>
      <c r="E26" s="1884">
        <f>'Table1.A(a)s3'!J20</f>
        <v>4.4887174740224038</v>
      </c>
      <c r="F26" s="3014">
        <v>191.30414594261109</v>
      </c>
      <c r="G26" s="3014">
        <v>1045.4125024888506</v>
      </c>
      <c r="H26" s="3014">
        <v>192.62417813630043</v>
      </c>
      <c r="I26" s="3015">
        <v>16.427558990675116</v>
      </c>
      <c r="J26" s="3016">
        <f t="shared" si="1"/>
        <v>79285.255015253002</v>
      </c>
    </row>
    <row r="27" spans="2:10" s="83" customFormat="1" ht="18" customHeight="1" x14ac:dyDescent="0.2">
      <c r="B27" s="20" t="s">
        <v>190</v>
      </c>
      <c r="C27" s="1884">
        <f>'Table1.A(a)s3'!H81</f>
        <v>2921.5628880000004</v>
      </c>
      <c r="D27" s="1884">
        <f>'Table1.A(a)s3'!I81</f>
        <v>0.16717599999999999</v>
      </c>
      <c r="E27" s="1884">
        <f>'Table1.A(a)s3'!J81</f>
        <v>1.2538200000000002</v>
      </c>
      <c r="F27" s="3014">
        <v>63.94482</v>
      </c>
      <c r="G27" s="3014">
        <v>8.4423880000000011</v>
      </c>
      <c r="H27" s="3014">
        <v>2.9673739999999995</v>
      </c>
      <c r="I27" s="3015">
        <v>2.3858181511470984</v>
      </c>
      <c r="J27" s="3016">
        <f t="shared" si="1"/>
        <v>3258.5061160000005</v>
      </c>
    </row>
    <row r="28" spans="2:10" s="83" customFormat="1" ht="18" customHeight="1" x14ac:dyDescent="0.2">
      <c r="B28" s="20" t="s">
        <v>191</v>
      </c>
      <c r="C28" s="1884">
        <f>'Table1.A(a)s3'!H88</f>
        <v>1428.8332128626528</v>
      </c>
      <c r="D28" s="1884">
        <f>'Table1.A(a)s3'!I88</f>
        <v>4.628218174838798</v>
      </c>
      <c r="E28" s="1884">
        <f>'Table1.A(a)s3'!J88</f>
        <v>2.8487920038979091E-2</v>
      </c>
      <c r="F28" s="3014">
        <v>14.498086565710516</v>
      </c>
      <c r="G28" s="3014">
        <v>256.08615932831657</v>
      </c>
      <c r="H28" s="3014">
        <v>41.232342150626913</v>
      </c>
      <c r="I28" s="3015">
        <v>2.9248408789524913</v>
      </c>
      <c r="J28" s="3016">
        <f t="shared" si="1"/>
        <v>1565.9726205684685</v>
      </c>
    </row>
    <row r="29" spans="2:10" s="83" customFormat="1" ht="18" customHeight="1" thickBot="1" x14ac:dyDescent="0.25">
      <c r="B29" s="22" t="s">
        <v>192</v>
      </c>
      <c r="C29" s="1888">
        <f>'Table1.A(a)s3'!H99</f>
        <v>592.22202042167487</v>
      </c>
      <c r="D29" s="1888">
        <f>'Table1.A(a)s3'!I99</f>
        <v>0.12147310963556687</v>
      </c>
      <c r="E29" s="1888">
        <f>'Table1.A(a)s3'!J99</f>
        <v>1.2161036585989758E-3</v>
      </c>
      <c r="F29" s="3021">
        <v>2.2771155912892747</v>
      </c>
      <c r="G29" s="3021">
        <v>5.2966535506750727</v>
      </c>
      <c r="H29" s="3021">
        <v>0.7706193223487865</v>
      </c>
      <c r="I29" s="3022">
        <v>5.3052180291930286E-3</v>
      </c>
      <c r="J29" s="3023">
        <f t="shared" si="1"/>
        <v>595.94553496099945</v>
      </c>
    </row>
    <row r="30" spans="2:10" ht="18" customHeight="1" x14ac:dyDescent="0.2">
      <c r="B30" s="26" t="s">
        <v>193</v>
      </c>
      <c r="C30" s="3010">
        <f>IF(SUM(C31:C33)=0,"NO",SUM(C31:C33))</f>
        <v>21040.688190571178</v>
      </c>
      <c r="D30" s="3010">
        <f t="shared" ref="D30" si="6">IF(SUM(D31:D33)=0,"NO",SUM(D31:D33))</f>
        <v>39.276417338321792</v>
      </c>
      <c r="E30" s="3010">
        <f t="shared" ref="E30" si="7">IF(SUM(E31:E33)=0,"NO",SUM(E31:E33))</f>
        <v>0.67625281011968363</v>
      </c>
      <c r="F30" s="3010">
        <f t="shared" ref="F30" si="8">IF(SUM(F31:F33)=0,"NO",SUM(F31:F33))</f>
        <v>362.82305347309244</v>
      </c>
      <c r="G30" s="3010">
        <f t="shared" ref="G30" si="9">IF(SUM(G31:G33)=0,"NO",SUM(G31:G33))</f>
        <v>678.66835154339617</v>
      </c>
      <c r="H30" s="3010">
        <f t="shared" ref="H30" si="10">IF(SUM(H31:H33)=0,"NO",SUM(H31:H33))</f>
        <v>116.39753851726853</v>
      </c>
      <c r="I30" s="3011">
        <f t="shared" ref="I30" si="11">IF(SUM(I31:I33)=0,"NO",SUM(I31:I33))</f>
        <v>7.8842945952085923</v>
      </c>
      <c r="J30" s="3024">
        <f t="shared" si="1"/>
        <v>22319.634870725906</v>
      </c>
    </row>
    <row r="31" spans="2:10" ht="18" customHeight="1" x14ac:dyDescent="0.2">
      <c r="B31" s="20" t="s">
        <v>194</v>
      </c>
      <c r="C31" s="3013">
        <f>'Table1.A(a)s4'!H17</f>
        <v>5452.2667571034799</v>
      </c>
      <c r="D31" s="3013">
        <f>'Table1.A(a)s4'!I17</f>
        <v>0.12028741094565343</v>
      </c>
      <c r="E31" s="3013">
        <f>'Table1.A(a)s4'!J17</f>
        <v>9.9708299838268885E-2</v>
      </c>
      <c r="F31" s="3014">
        <v>30.06209470556928</v>
      </c>
      <c r="G31" s="3014">
        <v>11.378027645197925</v>
      </c>
      <c r="H31" s="3014">
        <v>4.1414282571345709</v>
      </c>
      <c r="I31" s="3015">
        <v>2.598902475220795</v>
      </c>
      <c r="J31" s="3016">
        <f t="shared" si="1"/>
        <v>5482.0575040670992</v>
      </c>
    </row>
    <row r="32" spans="2:10" ht="18" customHeight="1" x14ac:dyDescent="0.2">
      <c r="B32" s="20" t="s">
        <v>195</v>
      </c>
      <c r="C32" s="3013">
        <f>'Table1.A(a)s4'!H38</f>
        <v>9256.2036887004961</v>
      </c>
      <c r="D32" s="3013">
        <f>'Table1.A(a)s4'!I38</f>
        <v>38.54388866330688</v>
      </c>
      <c r="E32" s="3013">
        <f>'Table1.A(a)s4'!J38</f>
        <v>0.25131647478357932</v>
      </c>
      <c r="F32" s="3014">
        <v>12.716757399557936</v>
      </c>
      <c r="G32" s="3014">
        <v>525.74699792417232</v>
      </c>
      <c r="H32" s="3014">
        <v>62.081897105155605</v>
      </c>
      <c r="I32" s="3015">
        <v>0.54267467525095681</v>
      </c>
      <c r="J32" s="3016">
        <f t="shared" si="1"/>
        <v>10402.031437090738</v>
      </c>
    </row>
    <row r="33" spans="2:10" ht="18" customHeight="1" thickBot="1" x14ac:dyDescent="0.25">
      <c r="B33" s="20" t="s">
        <v>196</v>
      </c>
      <c r="C33" s="3013">
        <f>'Table1.A(a)s4'!H59</f>
        <v>6332.2177447672038</v>
      </c>
      <c r="D33" s="3013">
        <f>'Table1.A(a)s4'!I59</f>
        <v>0.61224126406926405</v>
      </c>
      <c r="E33" s="3013">
        <f>'Table1.A(a)s4'!J59</f>
        <v>0.32522803549783547</v>
      </c>
      <c r="F33" s="3014">
        <v>320.04420136796523</v>
      </c>
      <c r="G33" s="3014">
        <v>141.54332597402598</v>
      </c>
      <c r="H33" s="3014">
        <v>50.174213154978347</v>
      </c>
      <c r="I33" s="3015">
        <v>4.742717444736841</v>
      </c>
      <c r="J33" s="3016">
        <f t="shared" si="1"/>
        <v>6435.5459295680694</v>
      </c>
    </row>
    <row r="34" spans="2:10" ht="18" customHeight="1" x14ac:dyDescent="0.2">
      <c r="B34" s="25" t="s">
        <v>197</v>
      </c>
      <c r="C34" s="3010">
        <f>IF(SUM(C35:C36)=0,"NO",SUM(C35:C36))</f>
        <v>903.51625558477349</v>
      </c>
      <c r="D34" s="3010">
        <f t="shared" ref="D34:E34" si="12">IF(SUM(D35:D36)=0,"NO",SUM(D35:D36))</f>
        <v>2.7712151249619763E-2</v>
      </c>
      <c r="E34" s="3010">
        <f t="shared" si="12"/>
        <v>2.5560040590508946E-2</v>
      </c>
      <c r="F34" s="3010">
        <f t="shared" ref="F34:I34" si="13">IF(SUM(F35:F36)=0,"NO",SUM(F35:F36))</f>
        <v>7.3260196115394729</v>
      </c>
      <c r="G34" s="3010">
        <f t="shared" si="13"/>
        <v>2.7402383709944216</v>
      </c>
      <c r="H34" s="3010">
        <f t="shared" si="13"/>
        <v>0.414795205902869</v>
      </c>
      <c r="I34" s="3011">
        <f t="shared" si="13"/>
        <v>0.27855497904768034</v>
      </c>
      <c r="J34" s="3012">
        <f t="shared" si="1"/>
        <v>911.06560657624766</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903.51625558477349</v>
      </c>
      <c r="D36" s="3025">
        <f>'Table1.A(a)s4'!I108</f>
        <v>2.7712151249619763E-2</v>
      </c>
      <c r="E36" s="3025">
        <f>'Table1.A(a)s4'!J108</f>
        <v>2.5560040590508946E-2</v>
      </c>
      <c r="F36" s="3021">
        <v>7.3260196115394729</v>
      </c>
      <c r="G36" s="3021">
        <v>2.7402383709944216</v>
      </c>
      <c r="H36" s="3021">
        <v>0.414795205902869</v>
      </c>
      <c r="I36" s="3022">
        <v>0.27855497904768034</v>
      </c>
      <c r="J36" s="3023">
        <f t="shared" si="1"/>
        <v>911.06560657624766</v>
      </c>
    </row>
    <row r="37" spans="2:10" ht="18" customHeight="1" thickBot="1" x14ac:dyDescent="0.25">
      <c r="B37" s="18" t="s">
        <v>201</v>
      </c>
      <c r="C37" s="3010">
        <f>IF(SUM(C38,C42)=0,"NO",SUM(C38,C42))</f>
        <v>8854.6099250187071</v>
      </c>
      <c r="D37" s="3010">
        <f t="shared" ref="D37:I37" si="14">IF(SUM(D38,D42)=0,"NO",SUM(D38,D42))</f>
        <v>1304.9774238038376</v>
      </c>
      <c r="E37" s="3010">
        <f t="shared" si="14"/>
        <v>0.12078788849029787</v>
      </c>
      <c r="F37" s="3010">
        <f t="shared" si="14"/>
        <v>1.8500940039748812</v>
      </c>
      <c r="G37" s="3010">
        <f t="shared" si="14"/>
        <v>10.557366653034308</v>
      </c>
      <c r="H37" s="3010">
        <f t="shared" si="14"/>
        <v>207.8885133320826</v>
      </c>
      <c r="I37" s="3011" t="str">
        <f t="shared" si="14"/>
        <v>NO</v>
      </c>
      <c r="J37" s="3012">
        <f t="shared" si="1"/>
        <v>45425.986581976096</v>
      </c>
    </row>
    <row r="38" spans="2:10" ht="18" customHeight="1" x14ac:dyDescent="0.2">
      <c r="B38" s="26" t="s">
        <v>202</v>
      </c>
      <c r="C38" s="3010">
        <f>IF(SUM(C39:C41)=0,"NO",SUM(C39:C41))</f>
        <v>1887.6981156232673</v>
      </c>
      <c r="D38" s="3010">
        <f t="shared" ref="D38" si="15">IF(SUM(D39:D41)=0,"NO",SUM(D39:D41))</f>
        <v>1065.6667339707169</v>
      </c>
      <c r="E38" s="3010">
        <f t="shared" ref="E38" si="16">IF(SUM(E39:E41)=0,"NO",SUM(E39:E41))</f>
        <v>1.085977925640887E-3</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31726.65445095364</v>
      </c>
    </row>
    <row r="39" spans="2:10" ht="18" customHeight="1" x14ac:dyDescent="0.2">
      <c r="B39" s="20" t="s">
        <v>203</v>
      </c>
      <c r="C39" s="3013">
        <f>'Table1.B.1'!G10</f>
        <v>1887.6981156232673</v>
      </c>
      <c r="D39" s="3013">
        <f>'Table1.B.1'!F10</f>
        <v>1065.6667339707169</v>
      </c>
      <c r="E39" s="3014">
        <v>1.085977925640887E-3</v>
      </c>
      <c r="F39" s="3014" t="s">
        <v>199</v>
      </c>
      <c r="G39" s="3014" t="s">
        <v>199</v>
      </c>
      <c r="H39" s="3014" t="s">
        <v>199</v>
      </c>
      <c r="I39" s="2940"/>
      <c r="J39" s="3016">
        <f t="shared" si="1"/>
        <v>31726.65445095364</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6966.9118093954394</v>
      </c>
      <c r="D42" s="3010">
        <f t="shared" ref="D42:I42" si="21">IF(SUM(D43:D46)=0,"NO",SUM(D43:D46))</f>
        <v>239.31068983312076</v>
      </c>
      <c r="E42" s="4491">
        <f t="shared" si="21"/>
        <v>0.11970191056465698</v>
      </c>
      <c r="F42" s="3010">
        <f t="shared" si="21"/>
        <v>1.8500940039748812</v>
      </c>
      <c r="G42" s="3010">
        <f t="shared" si="21"/>
        <v>10.557366653034308</v>
      </c>
      <c r="H42" s="3010">
        <f t="shared" si="21"/>
        <v>207.8885133320826</v>
      </c>
      <c r="I42" s="3011" t="str">
        <f t="shared" si="21"/>
        <v>NO</v>
      </c>
      <c r="J42" s="3012">
        <f t="shared" ref="J42:J59" si="22">IF(SUM(C42:E42)=0,"NO",SUM(C42,IFERROR(28*D42,0),IFERROR(265*E42,0)))</f>
        <v>13699.332131022456</v>
      </c>
    </row>
    <row r="43" spans="2:10" ht="18" customHeight="1" x14ac:dyDescent="0.2">
      <c r="B43" s="20" t="s">
        <v>208</v>
      </c>
      <c r="C43" s="3013">
        <f>'Table1.B.2'!I10</f>
        <v>215.24505942370368</v>
      </c>
      <c r="D43" s="3013">
        <f>'Table1.B.2'!J10</f>
        <v>5.6910628162290715</v>
      </c>
      <c r="E43" s="4492">
        <f>'Table1.B.2'!K10</f>
        <v>6.6976517959999992E-3</v>
      </c>
      <c r="F43" s="3014">
        <v>0.12334081978888889</v>
      </c>
      <c r="G43" s="3014">
        <v>0.70899673275555553</v>
      </c>
      <c r="H43" s="3014">
        <v>109.30686906871631</v>
      </c>
      <c r="I43" s="3015" t="s">
        <v>199</v>
      </c>
      <c r="J43" s="3016">
        <f t="shared" si="22"/>
        <v>376.36969600405769</v>
      </c>
    </row>
    <row r="44" spans="2:10" ht="18" customHeight="1" x14ac:dyDescent="0.2">
      <c r="B44" s="20" t="s">
        <v>209</v>
      </c>
      <c r="C44" s="3013">
        <f>SUM('Table1.B.2'!I21)</f>
        <v>83.326921137880134</v>
      </c>
      <c r="D44" s="3013">
        <f>'Table1.B.2'!J21</f>
        <v>146.09866979092618</v>
      </c>
      <c r="E44" s="4492">
        <f>'Table1.B.2'!K21</f>
        <v>1.965667891149E-3</v>
      </c>
      <c r="F44" s="3014">
        <v>3.6401257243500004E-2</v>
      </c>
      <c r="G44" s="3014">
        <v>0.21112729201229996</v>
      </c>
      <c r="H44" s="3014">
        <v>81.979008886341376</v>
      </c>
      <c r="I44" s="3015" t="s">
        <v>199</v>
      </c>
      <c r="J44" s="3016">
        <f t="shared" si="22"/>
        <v>4174.6105772749679</v>
      </c>
    </row>
    <row r="45" spans="2:10" ht="18" customHeight="1" x14ac:dyDescent="0.2">
      <c r="B45" s="20" t="s">
        <v>210</v>
      </c>
      <c r="C45" s="3013">
        <f>'Table1.B.2'!I31</f>
        <v>6668.3398288338558</v>
      </c>
      <c r="D45" s="3013">
        <f>'Table1.B.2'!J31</f>
        <v>87.520957225965503</v>
      </c>
      <c r="E45" s="4492">
        <f>'Table1.B.2'!K31</f>
        <v>0.11103859087750799</v>
      </c>
      <c r="F45" s="3014">
        <v>1.6903519269424923</v>
      </c>
      <c r="G45" s="3014">
        <v>9.6372426282664527</v>
      </c>
      <c r="H45" s="3014">
        <v>16.602635377024917</v>
      </c>
      <c r="I45" s="3015" t="s">
        <v>199</v>
      </c>
      <c r="J45" s="3016">
        <f t="shared" si="22"/>
        <v>9148.3518577434297</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12970.425499999999</v>
      </c>
      <c r="D52" s="3013">
        <f t="shared" ref="D52:I52" si="23">IF(SUM(D53:D54)=0,"NO",SUM(D53:D54))</f>
        <v>0.20687184488372093</v>
      </c>
      <c r="E52" s="3013">
        <f t="shared" si="23"/>
        <v>0.10893505670364748</v>
      </c>
      <c r="F52" s="3013">
        <f t="shared" si="23"/>
        <v>108.59278810201468</v>
      </c>
      <c r="G52" s="3013">
        <f t="shared" si="23"/>
        <v>18.733719581591185</v>
      </c>
      <c r="H52" s="3013">
        <f t="shared" si="23"/>
        <v>10.03240658649645</v>
      </c>
      <c r="I52" s="3034">
        <f t="shared" si="23"/>
        <v>33.631002502024302</v>
      </c>
      <c r="J52" s="3016">
        <f t="shared" si="22"/>
        <v>13005.085701683211</v>
      </c>
    </row>
    <row r="53" spans="2:10" ht="18" customHeight="1" x14ac:dyDescent="0.2">
      <c r="B53" s="164" t="s">
        <v>218</v>
      </c>
      <c r="C53" s="3013">
        <f>Table1.D!G10</f>
        <v>11026.031999999999</v>
      </c>
      <c r="D53" s="3013">
        <f>Table1.D!H10</f>
        <v>2.1476844883720935E-2</v>
      </c>
      <c r="E53" s="3013">
        <f>Table1.D!I10</f>
        <v>5.5965056703647487E-2</v>
      </c>
      <c r="F53" s="3014">
        <v>56.179288102014674</v>
      </c>
      <c r="G53" s="3014">
        <v>17.410704581591183</v>
      </c>
      <c r="H53" s="3014">
        <v>8.3863765864964499</v>
      </c>
      <c r="I53" s="3015">
        <v>1.2990439999999999</v>
      </c>
      <c r="J53" s="3016">
        <f t="shared" si="22"/>
        <v>11041.464091683209</v>
      </c>
    </row>
    <row r="54" spans="2:10" ht="18" customHeight="1" x14ac:dyDescent="0.2">
      <c r="B54" s="164" t="s">
        <v>219</v>
      </c>
      <c r="C54" s="3013">
        <f>Table1.D!G14</f>
        <v>1944.3934999999999</v>
      </c>
      <c r="D54" s="3013">
        <f>Table1.D!H14</f>
        <v>0.185395</v>
      </c>
      <c r="E54" s="3013">
        <f>Table1.D!I14</f>
        <v>5.2969999999999996E-2</v>
      </c>
      <c r="F54" s="3014">
        <v>52.413499999999999</v>
      </c>
      <c r="G54" s="3014">
        <v>1.3230150000000001</v>
      </c>
      <c r="H54" s="3014">
        <v>1.6460299999999999</v>
      </c>
      <c r="I54" s="3015">
        <v>32.3319585020243</v>
      </c>
      <c r="J54" s="3016">
        <f t="shared" si="22"/>
        <v>1963.6216099999999</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18039.799317792527</v>
      </c>
      <c r="D56" s="3035"/>
      <c r="E56" s="3035"/>
      <c r="F56" s="3035"/>
      <c r="G56" s="3035"/>
      <c r="H56" s="3035"/>
      <c r="I56" s="2976"/>
      <c r="J56" s="3020">
        <f t="shared" si="22"/>
        <v>18039.799317792527</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135093.22887476199</v>
      </c>
      <c r="D10" s="3491" t="s">
        <v>199</v>
      </c>
      <c r="E10" s="3491">
        <v>19.840443965999999</v>
      </c>
      <c r="F10" s="3491">
        <v>484.66371899299997</v>
      </c>
      <c r="G10" s="3491" t="s">
        <v>199</v>
      </c>
      <c r="H10" s="3491" t="s">
        <v>199</v>
      </c>
      <c r="I10" s="3491" t="s">
        <v>199</v>
      </c>
      <c r="J10" s="3491">
        <v>19.001863301</v>
      </c>
      <c r="K10" s="3491" t="s">
        <v>199</v>
      </c>
      <c r="L10" s="3491" t="s">
        <v>199</v>
      </c>
      <c r="M10" s="3492">
        <f>IF(SUM(C10:L10)=0,"NO",SUM(C10:L10))</f>
        <v>135616.73490102199</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17.790385187999998</v>
      </c>
      <c r="D12" s="3491" t="s">
        <v>199</v>
      </c>
      <c r="E12" s="3491">
        <v>39968.711906049</v>
      </c>
      <c r="F12" s="3491" t="s">
        <v>274</v>
      </c>
      <c r="G12" s="3491" t="s">
        <v>199</v>
      </c>
      <c r="H12" s="3491" t="s">
        <v>274</v>
      </c>
      <c r="I12" s="3491" t="s">
        <v>199</v>
      </c>
      <c r="J12" s="3491" t="s">
        <v>274</v>
      </c>
      <c r="K12" s="3491" t="s">
        <v>199</v>
      </c>
      <c r="L12" s="3491" t="s">
        <v>199</v>
      </c>
      <c r="M12" s="3492">
        <f t="shared" si="0"/>
        <v>39986.502291236997</v>
      </c>
    </row>
    <row r="13" spans="2:13" ht="18" customHeight="1" x14ac:dyDescent="0.2">
      <c r="B13" s="2303" t="s">
        <v>1296</v>
      </c>
      <c r="C13" s="3491">
        <v>751.78408508400003</v>
      </c>
      <c r="D13" s="3491" t="s">
        <v>199</v>
      </c>
      <c r="E13" s="3491" t="s">
        <v>274</v>
      </c>
      <c r="F13" s="3491">
        <v>517007.962719484</v>
      </c>
      <c r="G13" s="3491" t="s">
        <v>199</v>
      </c>
      <c r="H13" s="3491" t="s">
        <v>274</v>
      </c>
      <c r="I13" s="3491" t="s">
        <v>199</v>
      </c>
      <c r="J13" s="3491" t="s">
        <v>274</v>
      </c>
      <c r="K13" s="3491" t="s">
        <v>199</v>
      </c>
      <c r="L13" s="3491" t="s">
        <v>199</v>
      </c>
      <c r="M13" s="3492">
        <f t="shared" si="0"/>
        <v>517759.74680456799</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8.1319284110000005</v>
      </c>
      <c r="D15" s="3491" t="s">
        <v>199</v>
      </c>
      <c r="E15" s="3491">
        <v>0.63304705100000003</v>
      </c>
      <c r="F15" s="3491">
        <v>2.443871627</v>
      </c>
      <c r="G15" s="3491" t="s">
        <v>199</v>
      </c>
      <c r="H15" s="3491">
        <v>13252.310971557999</v>
      </c>
      <c r="I15" s="3491" t="s">
        <v>199</v>
      </c>
      <c r="J15" s="3491" t="s">
        <v>199</v>
      </c>
      <c r="K15" s="3491" t="s">
        <v>199</v>
      </c>
      <c r="L15" s="3491" t="s">
        <v>199</v>
      </c>
      <c r="M15" s="3492">
        <f t="shared" si="0"/>
        <v>13263.519818646999</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11.030893536000001</v>
      </c>
      <c r="D17" s="3491" t="s">
        <v>199</v>
      </c>
      <c r="E17" s="3491" t="s">
        <v>199</v>
      </c>
      <c r="F17" s="3491" t="s">
        <v>199</v>
      </c>
      <c r="G17" s="3491" t="s">
        <v>199</v>
      </c>
      <c r="H17" s="3491" t="s">
        <v>199</v>
      </c>
      <c r="I17" s="3491" t="s">
        <v>199</v>
      </c>
      <c r="J17" s="3491">
        <v>1498.8364451689999</v>
      </c>
      <c r="K17" s="3491" t="s">
        <v>199</v>
      </c>
      <c r="L17" s="3491" t="s">
        <v>199</v>
      </c>
      <c r="M17" s="3492">
        <f t="shared" si="0"/>
        <v>1509.8673387049998</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135881.96616698097</v>
      </c>
      <c r="D20" s="3493" t="str">
        <f t="shared" ref="D20:L20" si="1">IF(SUM(D10:D19)=0,"NO",SUM(D10:D19))</f>
        <v>NO</v>
      </c>
      <c r="E20" s="3493">
        <f t="shared" si="1"/>
        <v>39989.185397066001</v>
      </c>
      <c r="F20" s="3493">
        <f t="shared" si="1"/>
        <v>517495.070310104</v>
      </c>
      <c r="G20" s="3493" t="str">
        <f t="shared" si="1"/>
        <v>NO</v>
      </c>
      <c r="H20" s="3493">
        <f t="shared" si="1"/>
        <v>13252.310971557999</v>
      </c>
      <c r="I20" s="3493" t="str">
        <f t="shared" si="1"/>
        <v>NO</v>
      </c>
      <c r="J20" s="3493">
        <f t="shared" si="1"/>
        <v>1517.8383084699999</v>
      </c>
      <c r="K20" s="3493">
        <f t="shared" si="1"/>
        <v>60692.328845821001</v>
      </c>
      <c r="L20" s="3493" t="str">
        <f t="shared" si="1"/>
        <v>NO</v>
      </c>
      <c r="M20" s="3492">
        <f t="shared" si="0"/>
        <v>768828.69999999984</v>
      </c>
    </row>
    <row r="21" spans="2:13" ht="18" customHeight="1" thickBot="1" x14ac:dyDescent="0.25">
      <c r="B21" s="2305" t="s">
        <v>1304</v>
      </c>
      <c r="C21" s="3494">
        <f>IF(SUM(C20)=0,"NO",C20-M10)</f>
        <v>265.23126595898066</v>
      </c>
      <c r="D21" s="3494" t="str">
        <f>IF(SUM(D20)=0,"NO",D20-M11)</f>
        <v>NO</v>
      </c>
      <c r="E21" s="3494">
        <f>IF(SUM(E20)=0,"NO",E20-M12)</f>
        <v>2.6831058290044894</v>
      </c>
      <c r="F21" s="3494">
        <f>IF(SUM(F20)=0,"NO",F20-M13)</f>
        <v>-264.67649446398718</v>
      </c>
      <c r="G21" s="3494" t="str">
        <f>IF(SUM(G20)=0,"NO",G20-M14)</f>
        <v>NO</v>
      </c>
      <c r="H21" s="3494">
        <f>IF(SUM(H20)=0,"NO",H20-M15)</f>
        <v>-11.208847088999391</v>
      </c>
      <c r="I21" s="3494" t="str">
        <f>IF(SUM(I20)=0,"NO",I20-M16)</f>
        <v>NO</v>
      </c>
      <c r="J21" s="3494">
        <f>IF(SUM(J20)=0,"NO",J20-M17)</f>
        <v>7.9709697650000635</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136040.81923673637</v>
      </c>
      <c r="E10" s="3498">
        <f t="shared" ref="E10:U10" si="0">IF(SUM(E11,E16)=0,"IE",SUM(E11,E16))</f>
        <v>135881.96616698068</v>
      </c>
      <c r="F10" s="3499">
        <f t="shared" si="0"/>
        <v>158.85306975568085</v>
      </c>
      <c r="G10" s="3500">
        <f t="shared" ref="G10:K11" si="1">IFERROR(IF(SUM($D10)=0,"NA",N10/$D10),"NA")</f>
        <v>0.13592306734027071</v>
      </c>
      <c r="H10" s="3057">
        <f t="shared" si="1"/>
        <v>-3.3199291670262701E-3</v>
      </c>
      <c r="I10" s="3057">
        <f t="shared" si="1"/>
        <v>0.13260313817324443</v>
      </c>
      <c r="J10" s="3057">
        <f t="shared" si="1"/>
        <v>3.6360429399188892E-3</v>
      </c>
      <c r="K10" s="3057">
        <f t="shared" si="1"/>
        <v>3.9783271962229149E-3</v>
      </c>
      <c r="L10" s="3057">
        <f>IFERROR(IF(SUM(E10)=0,"NA",S10/E10),"NA")</f>
        <v>-5.2117048719211606E-2</v>
      </c>
      <c r="M10" s="3106">
        <f>IFERROR(IF(SUM(F10)=0,"NA",T10/F10),"NA")</f>
        <v>0.21401924603110664</v>
      </c>
      <c r="N10" s="3501">
        <f t="shared" si="0"/>
        <v>18491.085434140514</v>
      </c>
      <c r="O10" s="3502">
        <f t="shared" si="0"/>
        <v>-451.64588369018952</v>
      </c>
      <c r="P10" s="3502">
        <f t="shared" si="0"/>
        <v>18039.439550450323</v>
      </c>
      <c r="Q10" s="3502">
        <f t="shared" si="0"/>
        <v>494.65026032651707</v>
      </c>
      <c r="R10" s="3502">
        <f t="shared" si="0"/>
        <v>541.21489096595383</v>
      </c>
      <c r="S10" s="3502">
        <f t="shared" si="0"/>
        <v>-7081.7670507867952</v>
      </c>
      <c r="T10" s="3503">
        <f t="shared" si="0"/>
        <v>33.997614218837604</v>
      </c>
      <c r="U10" s="4260">
        <f t="shared" si="0"/>
        <v>-44100.962638974408</v>
      </c>
      <c r="W10" s="2422"/>
    </row>
    <row r="11" spans="2:23" ht="18" customHeight="1" x14ac:dyDescent="0.2">
      <c r="B11" s="492" t="s">
        <v>1253</v>
      </c>
      <c r="C11" s="2282"/>
      <c r="D11" s="3504">
        <f>IF(SUM(D12:D15)=0,"IE",SUM(D12:D15))</f>
        <v>124120.315649469</v>
      </c>
      <c r="E11" s="3505">
        <f t="shared" ref="E11:U11" si="2">IF(SUM(E12:E15)=0,"IE",SUM(E12:E15))</f>
        <v>124120.315649469</v>
      </c>
      <c r="F11" s="3506" t="str">
        <f t="shared" si="2"/>
        <v>IE</v>
      </c>
      <c r="G11" s="3500">
        <f t="shared" si="1"/>
        <v>6.6028079208640317E-2</v>
      </c>
      <c r="H11" s="3057">
        <f t="shared" si="1"/>
        <v>-3.6387748558881603E-3</v>
      </c>
      <c r="I11" s="3057">
        <f t="shared" si="1"/>
        <v>6.238930435275216E-2</v>
      </c>
      <c r="J11" s="3057">
        <f t="shared" si="1"/>
        <v>-2.547329441174855E-3</v>
      </c>
      <c r="K11" s="3057">
        <f t="shared" si="1"/>
        <v>5.1740032764866443E-3</v>
      </c>
      <c r="L11" s="3057">
        <f t="shared" ref="L11:L28" si="3">IFERROR(IF(SUM(E11)=0,"NA",S11/E11),"NA")</f>
        <v>-3.2819451342316189E-2</v>
      </c>
      <c r="M11" s="3106" t="str">
        <f t="shared" ref="M11:M28" si="4">IFERROR(IF(SUM(F11)=0,"NA",T11/F11),"NA")</f>
        <v>NA</v>
      </c>
      <c r="N11" s="3087">
        <f t="shared" si="2"/>
        <v>8195.4260331045771</v>
      </c>
      <c r="O11" s="3087">
        <f t="shared" si="2"/>
        <v>-451.64588369018952</v>
      </c>
      <c r="P11" s="3087">
        <f t="shared" si="2"/>
        <v>7743.7801494143887</v>
      </c>
      <c r="Q11" s="3087">
        <f t="shared" si="2"/>
        <v>-316.1753343018085</v>
      </c>
      <c r="R11" s="3507">
        <f t="shared" si="2"/>
        <v>642.1989198489091</v>
      </c>
      <c r="S11" s="3507">
        <f t="shared" si="2"/>
        <v>-4073.5606600506749</v>
      </c>
      <c r="T11" s="3507" t="str">
        <f t="shared" si="2"/>
        <v>IE</v>
      </c>
      <c r="U11" s="4261">
        <f t="shared" si="2"/>
        <v>-14652.891274672986</v>
      </c>
      <c r="W11" s="2423"/>
    </row>
    <row r="12" spans="2:23" ht="18" customHeight="1" x14ac:dyDescent="0.2">
      <c r="B12" s="490"/>
      <c r="C12" s="498" t="s">
        <v>1339</v>
      </c>
      <c r="D12" s="3509">
        <f>IF(SUM(E12:F12)=0,E12,SUM(E12:F12))</f>
        <v>17548.737296806459</v>
      </c>
      <c r="E12" s="3510">
        <v>17548.737296806459</v>
      </c>
      <c r="F12" s="3496" t="s">
        <v>274</v>
      </c>
      <c r="G12" s="3500">
        <f>IFERROR(IF(SUM($D12)=0,"NA",N12/$D12),"NA")</f>
        <v>0.46030756507835202</v>
      </c>
      <c r="H12" s="3057" t="str">
        <f>IFERROR(IF(SUM($D12)=0,"NA",O12/$D12),"NA")</f>
        <v>NA</v>
      </c>
      <c r="I12" s="3057">
        <f>IFERROR(IF(SUM($D12)=0,"NA",P12/$D12),"NA")</f>
        <v>0.46030756507835202</v>
      </c>
      <c r="J12" s="3057">
        <f>IFERROR(IF(SUM($D12)=0,"NA",Q12/$D12),"NA")</f>
        <v>-2.4443665005558259E-2</v>
      </c>
      <c r="K12" s="3057">
        <f>IFERROR(IF(SUM($D12)=0,"NA",R12/$D12),"NA")</f>
        <v>2.6955258813580504E-2</v>
      </c>
      <c r="L12" s="3057">
        <f t="shared" si="3"/>
        <v>-0.24678374367285325</v>
      </c>
      <c r="M12" s="3106" t="str">
        <f t="shared" si="4"/>
        <v>NA</v>
      </c>
      <c r="N12" s="2917">
        <v>8077.8165352926426</v>
      </c>
      <c r="O12" s="2917" t="s">
        <v>274</v>
      </c>
      <c r="P12" s="3087">
        <f>IF(SUM(N12:O12)=0,N12,SUM(N12:O12))</f>
        <v>8077.8165352926426</v>
      </c>
      <c r="Q12" s="2917">
        <v>-428.95545575368305</v>
      </c>
      <c r="R12" s="2918">
        <v>473.03075568695124</v>
      </c>
      <c r="S12" s="2918">
        <v>-4330.7430868373249</v>
      </c>
      <c r="T12" s="2918" t="s">
        <v>274</v>
      </c>
      <c r="U12" s="4262">
        <f>IF(SUM(P12:T12)=0,P12,SUM(P12:T12)*-44/12)</f>
        <v>-13900.878744091482</v>
      </c>
      <c r="W12" s="2424"/>
    </row>
    <row r="13" spans="2:23" ht="18" customHeight="1" x14ac:dyDescent="0.2">
      <c r="B13" s="490"/>
      <c r="C13" s="498" t="s">
        <v>1340</v>
      </c>
      <c r="D13" s="3509">
        <f t="shared" ref="D13:D15" si="5">IF(SUM(E13:F13)=0,E13,SUM(E13:F13))</f>
        <v>681.4598829081516</v>
      </c>
      <c r="E13" s="3510">
        <v>681.4598829081516</v>
      </c>
      <c r="F13" s="3496" t="s">
        <v>274</v>
      </c>
      <c r="G13" s="3500" t="str">
        <f t="shared" ref="G13:K28" si="6">IFERROR(IF(SUM($D13)=0,"NA",N13/$D13),"NA")</f>
        <v>NA</v>
      </c>
      <c r="H13" s="3057">
        <f t="shared" si="6"/>
        <v>-0.43519200740080477</v>
      </c>
      <c r="I13" s="3057">
        <f t="shared" si="6"/>
        <v>-0.43519200740080477</v>
      </c>
      <c r="J13" s="3057">
        <f t="shared" si="6"/>
        <v>0.15576384602303417</v>
      </c>
      <c r="K13" s="3057">
        <f t="shared" si="6"/>
        <v>4.2519084054621611E-2</v>
      </c>
      <c r="L13" s="3057">
        <f t="shared" si="3"/>
        <v>0.37739921782206148</v>
      </c>
      <c r="M13" s="3106" t="str">
        <f t="shared" si="4"/>
        <v>NA</v>
      </c>
      <c r="N13" s="2917" t="s">
        <v>274</v>
      </c>
      <c r="O13" s="2917">
        <v>-296.56589440591586</v>
      </c>
      <c r="P13" s="3087">
        <f t="shared" ref="P13:P15" si="7">IF(SUM(N13:O13)=0,N13,SUM(N13:O13))</f>
        <v>-296.56589440591586</v>
      </c>
      <c r="Q13" s="2917">
        <v>106.14681227218021</v>
      </c>
      <c r="R13" s="2918">
        <v>28.9750500412243</v>
      </c>
      <c r="S13" s="2918">
        <v>257.18242678665001</v>
      </c>
      <c r="T13" s="2918" t="s">
        <v>274</v>
      </c>
      <c r="U13" s="4262">
        <f t="shared" ref="U13:U15" si="8">IF(SUM(P13:T13)=0,P13,SUM(P13:T13)*-44/12)</f>
        <v>-351.04078054517521</v>
      </c>
      <c r="W13" s="2424"/>
    </row>
    <row r="14" spans="2:23" ht="18" customHeight="1" x14ac:dyDescent="0.2">
      <c r="B14" s="490"/>
      <c r="C14" s="498" t="s">
        <v>1341</v>
      </c>
      <c r="D14" s="3509">
        <f t="shared" si="5"/>
        <v>105890.11846975439</v>
      </c>
      <c r="E14" s="3510">
        <v>105890.11846975439</v>
      </c>
      <c r="F14" s="3496" t="s">
        <v>274</v>
      </c>
      <c r="G14" s="3500">
        <f t="shared" si="6"/>
        <v>1.1106749101005887E-3</v>
      </c>
      <c r="H14" s="3057" t="str">
        <f t="shared" si="6"/>
        <v>NA</v>
      </c>
      <c r="I14" s="3057">
        <f t="shared" si="6"/>
        <v>1.1106749101005887E-3</v>
      </c>
      <c r="J14" s="3057">
        <f t="shared" si="6"/>
        <v>4.6796522985634358E-4</v>
      </c>
      <c r="K14" s="3057">
        <f t="shared" si="6"/>
        <v>1.3239489779282585E-3</v>
      </c>
      <c r="L14" s="3057" t="str">
        <f t="shared" si="3"/>
        <v>NA</v>
      </c>
      <c r="M14" s="3106" t="str">
        <f t="shared" si="4"/>
        <v>NA</v>
      </c>
      <c r="N14" s="2917">
        <v>117.60949781193516</v>
      </c>
      <c r="O14" s="2917" t="s">
        <v>274</v>
      </c>
      <c r="P14" s="3087">
        <f t="shared" si="7"/>
        <v>117.60949781193516</v>
      </c>
      <c r="Q14" s="2917">
        <v>49.552893629214068</v>
      </c>
      <c r="R14" s="2918">
        <v>140.19311412073353</v>
      </c>
      <c r="S14" s="2918" t="s">
        <v>205</v>
      </c>
      <c r="T14" s="2918" t="s">
        <v>205</v>
      </c>
      <c r="U14" s="4262">
        <f t="shared" si="8"/>
        <v>-1126.9701870602369</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-155.07998928427367</v>
      </c>
      <c r="P15" s="3087">
        <f t="shared" si="7"/>
        <v>-155.07998928427367</v>
      </c>
      <c r="Q15" s="2917">
        <v>-42.919584449519746</v>
      </c>
      <c r="R15" s="2918" t="s">
        <v>205</v>
      </c>
      <c r="S15" s="2918" t="s">
        <v>205</v>
      </c>
      <c r="T15" s="2918" t="s">
        <v>205</v>
      </c>
      <c r="U15" s="4262">
        <f t="shared" si="8"/>
        <v>725.9984370239091</v>
      </c>
      <c r="W15" s="2424"/>
    </row>
    <row r="16" spans="2:23" ht="18" customHeight="1" x14ac:dyDescent="0.2">
      <c r="B16" s="475" t="s">
        <v>1343</v>
      </c>
      <c r="C16" s="494"/>
      <c r="D16" s="3509">
        <f>IF(SUM(D17,D19,D23,D25,D27)=0,"IE",SUM(D17,D19,D23,D25,D27))</f>
        <v>11920.503587267362</v>
      </c>
      <c r="E16" s="3512">
        <f t="shared" ref="E16:T16" si="9">IF(SUM(E17,E19,E23,E25,E27)=0,"IE",SUM(E17,E19,E23,E25,E27))</f>
        <v>11761.65051751168</v>
      </c>
      <c r="F16" s="3513">
        <f t="shared" si="9"/>
        <v>158.85306975568085</v>
      </c>
      <c r="G16" s="3500">
        <f t="shared" si="6"/>
        <v>0.86369332685181432</v>
      </c>
      <c r="H16" s="3057" t="str">
        <f t="shared" si="6"/>
        <v>NA</v>
      </c>
      <c r="I16" s="3057">
        <f t="shared" si="6"/>
        <v>0.86369332685181432</v>
      </c>
      <c r="J16" s="3057">
        <f t="shared" si="6"/>
        <v>6.8019407795354564E-2</v>
      </c>
      <c r="K16" s="3057">
        <f t="shared" si="6"/>
        <v>-8.4714566078247996E-3</v>
      </c>
      <c r="L16" s="3057">
        <f t="shared" si="3"/>
        <v>-0.25576396665223672</v>
      </c>
      <c r="M16" s="3106">
        <f t="shared" si="4"/>
        <v>0.21401924603110664</v>
      </c>
      <c r="N16" s="3057">
        <f t="shared" si="9"/>
        <v>10295.659401035935</v>
      </c>
      <c r="O16" s="3057" t="str">
        <f t="shared" si="9"/>
        <v>IE</v>
      </c>
      <c r="P16" s="3057">
        <f t="shared" si="9"/>
        <v>10295.659401035935</v>
      </c>
      <c r="Q16" s="3057">
        <f t="shared" si="9"/>
        <v>810.82559462832558</v>
      </c>
      <c r="R16" s="3514">
        <f t="shared" si="9"/>
        <v>-100.98402888295533</v>
      </c>
      <c r="S16" s="3514">
        <f t="shared" si="9"/>
        <v>-3008.2063907361198</v>
      </c>
      <c r="T16" s="3514">
        <f t="shared" si="9"/>
        <v>33.997614218837604</v>
      </c>
      <c r="U16" s="4262">
        <f>IF(SUM(U17,U19,U23,U25,U27)=0,"IE",SUM(U17,U19,U23,U25,U27))</f>
        <v>-29448.071364301424</v>
      </c>
      <c r="W16" s="2048"/>
    </row>
    <row r="17" spans="2:23" ht="18" customHeight="1" x14ac:dyDescent="0.2">
      <c r="B17" s="477" t="s">
        <v>1344</v>
      </c>
      <c r="C17" s="494"/>
      <c r="D17" s="3509">
        <f>D18</f>
        <v>75.529494162720979</v>
      </c>
      <c r="E17" s="3512">
        <f t="shared" ref="E17:U17" si="10">E18</f>
        <v>75.529494162720979</v>
      </c>
      <c r="F17" s="3513" t="str">
        <f t="shared" si="10"/>
        <v>NO</v>
      </c>
      <c r="G17" s="3500">
        <f t="shared" si="6"/>
        <v>1.3224383262966717</v>
      </c>
      <c r="H17" s="3057" t="str">
        <f t="shared" si="6"/>
        <v>NA</v>
      </c>
      <c r="I17" s="3057">
        <f t="shared" si="6"/>
        <v>1.3224383262966717</v>
      </c>
      <c r="J17" s="3057">
        <f t="shared" si="6"/>
        <v>3.9604402758757498E-2</v>
      </c>
      <c r="K17" s="3057">
        <f t="shared" si="6"/>
        <v>2.2047435337944545E-2</v>
      </c>
      <c r="L17" s="3057">
        <f t="shared" si="3"/>
        <v>-0.40776396114825125</v>
      </c>
      <c r="M17" s="3106" t="str">
        <f t="shared" si="4"/>
        <v>NA</v>
      </c>
      <c r="N17" s="3057">
        <f t="shared" si="10"/>
        <v>99.88309784658297</v>
      </c>
      <c r="O17" s="3057" t="str">
        <f t="shared" si="10"/>
        <v>IE</v>
      </c>
      <c r="P17" s="3057">
        <f t="shared" si="10"/>
        <v>99.88309784658297</v>
      </c>
      <c r="Q17" s="3057">
        <f t="shared" si="10"/>
        <v>2.9913005069856253</v>
      </c>
      <c r="R17" s="3514">
        <f t="shared" si="10"/>
        <v>1.6652316386602508</v>
      </c>
      <c r="S17" s="3514">
        <f t="shared" si="10"/>
        <v>-30.798205723314826</v>
      </c>
      <c r="T17" s="3514" t="str">
        <f t="shared" si="10"/>
        <v>NO</v>
      </c>
      <c r="U17" s="4262">
        <f t="shared" si="10"/>
        <v>-270.38522231935139</v>
      </c>
      <c r="W17" s="2048"/>
    </row>
    <row r="18" spans="2:23" ht="18" customHeight="1" x14ac:dyDescent="0.2">
      <c r="B18" s="478"/>
      <c r="C18" s="498" t="s">
        <v>409</v>
      </c>
      <c r="D18" s="3509">
        <f>IF(SUM(E18:F18)=0,E18,SUM(E18:F18))</f>
        <v>75.529494162720979</v>
      </c>
      <c r="E18" s="3510">
        <v>75.529494162720979</v>
      </c>
      <c r="F18" s="3496" t="s">
        <v>199</v>
      </c>
      <c r="G18" s="3500">
        <f t="shared" si="6"/>
        <v>1.3224383262966717</v>
      </c>
      <c r="H18" s="3057" t="str">
        <f t="shared" si="6"/>
        <v>NA</v>
      </c>
      <c r="I18" s="3057">
        <f t="shared" si="6"/>
        <v>1.3224383262966717</v>
      </c>
      <c r="J18" s="3057">
        <f t="shared" si="6"/>
        <v>3.9604402758757498E-2</v>
      </c>
      <c r="K18" s="3057">
        <f t="shared" si="6"/>
        <v>2.2047435337944545E-2</v>
      </c>
      <c r="L18" s="3057">
        <f t="shared" si="3"/>
        <v>-0.40776396114825125</v>
      </c>
      <c r="M18" s="3106" t="str">
        <f t="shared" si="4"/>
        <v>NA</v>
      </c>
      <c r="N18" s="2917">
        <v>99.88309784658297</v>
      </c>
      <c r="O18" s="2917" t="s">
        <v>274</v>
      </c>
      <c r="P18" s="3087">
        <f>IF(SUM(N18:O18)=0,N18,SUM(N18:O18))</f>
        <v>99.88309784658297</v>
      </c>
      <c r="Q18" s="2917">
        <v>2.9913005069856253</v>
      </c>
      <c r="R18" s="2918">
        <v>1.6652316386602508</v>
      </c>
      <c r="S18" s="2918">
        <v>-30.798205723314826</v>
      </c>
      <c r="T18" s="2918" t="s">
        <v>199</v>
      </c>
      <c r="U18" s="4262">
        <f t="shared" ref="U18" si="11">IF(SUM(P18:T18)=0,P18,SUM(P18:T18)*-44/12)</f>
        <v>-270.38522231935139</v>
      </c>
      <c r="W18" s="2424"/>
    </row>
    <row r="19" spans="2:23" ht="18" customHeight="1" x14ac:dyDescent="0.2">
      <c r="B19" s="477" t="s">
        <v>1345</v>
      </c>
      <c r="C19" s="494"/>
      <c r="D19" s="3504">
        <f>IF(SUM(D20:D22)=0,"IE",SUM(D20:D22))</f>
        <v>11626.05612508253</v>
      </c>
      <c r="E19" s="3512">
        <f t="shared" ref="E19:U19" si="12">IF(SUM(E20:E22)=0,"IE",SUM(E20:E22))</f>
        <v>11626.05612508253</v>
      </c>
      <c r="F19" s="3513" t="str">
        <f t="shared" si="12"/>
        <v>IE</v>
      </c>
      <c r="G19" s="3500">
        <f t="shared" si="6"/>
        <v>0.76411075320536959</v>
      </c>
      <c r="H19" s="3057" t="str">
        <f t="shared" si="6"/>
        <v>NA</v>
      </c>
      <c r="I19" s="3057">
        <f t="shared" si="6"/>
        <v>0.76411075320536959</v>
      </c>
      <c r="J19" s="3057">
        <f t="shared" si="6"/>
        <v>7.8192043139898706E-2</v>
      </c>
      <c r="K19" s="3057">
        <f t="shared" si="6"/>
        <v>-9.5258141373620268E-3</v>
      </c>
      <c r="L19" s="3057">
        <f t="shared" si="3"/>
        <v>-0.25200631337873358</v>
      </c>
      <c r="M19" s="3106" t="str">
        <f t="shared" si="4"/>
        <v>NA</v>
      </c>
      <c r="N19" s="3057">
        <f t="shared" si="12"/>
        <v>8883.5945025447127</v>
      </c>
      <c r="O19" s="3057" t="str">
        <f t="shared" si="12"/>
        <v>IE</v>
      </c>
      <c r="P19" s="3057">
        <f t="shared" si="12"/>
        <v>8883.5945025447127</v>
      </c>
      <c r="Q19" s="3057">
        <f t="shared" si="12"/>
        <v>909.06508207933678</v>
      </c>
      <c r="R19" s="3514">
        <f t="shared" si="12"/>
        <v>-110.74764979807554</v>
      </c>
      <c r="S19" s="3514">
        <f t="shared" si="12"/>
        <v>-2929.8395432162929</v>
      </c>
      <c r="T19" s="3514" t="str">
        <f t="shared" si="12"/>
        <v>IE</v>
      </c>
      <c r="U19" s="4262">
        <f t="shared" si="12"/>
        <v>-24757.598769235505</v>
      </c>
      <c r="W19" s="2048"/>
    </row>
    <row r="20" spans="2:23" ht="18" customHeight="1" x14ac:dyDescent="0.2">
      <c r="B20" s="486"/>
      <c r="C20" s="498" t="s">
        <v>1346</v>
      </c>
      <c r="D20" s="3509">
        <f>IF(SUM(E20:F20)=0,E20,SUM(E20:F20))</f>
        <v>2957.4973405837518</v>
      </c>
      <c r="E20" s="3510">
        <v>2957.4973405837518</v>
      </c>
      <c r="F20" s="3496" t="s">
        <v>199</v>
      </c>
      <c r="G20" s="3500">
        <f t="shared" si="6"/>
        <v>1.2429770725918927</v>
      </c>
      <c r="H20" s="3057" t="str">
        <f t="shared" si="6"/>
        <v>NA</v>
      </c>
      <c r="I20" s="3057">
        <f t="shared" si="6"/>
        <v>1.2429770725918927</v>
      </c>
      <c r="J20" s="3057">
        <f t="shared" si="6"/>
        <v>5.5511513450774978E-2</v>
      </c>
      <c r="K20" s="3057">
        <f t="shared" si="6"/>
        <v>3.0642892489948621E-2</v>
      </c>
      <c r="L20" s="3057">
        <f t="shared" si="3"/>
        <v>-0.41656214865114244</v>
      </c>
      <c r="M20" s="3106" t="str">
        <f t="shared" si="4"/>
        <v>NA</v>
      </c>
      <c r="N20" s="2917">
        <v>3676.1013865970999</v>
      </c>
      <c r="O20" s="2917" t="s">
        <v>274</v>
      </c>
      <c r="P20" s="3087">
        <f>IF(SUM(N20:O20)=0,N20,SUM(N20:O20))</f>
        <v>3676.1013865970999</v>
      </c>
      <c r="Q20" s="2917">
        <v>164.17515340244617</v>
      </c>
      <c r="R20" s="2918">
        <v>90.626273046816863</v>
      </c>
      <c r="S20" s="2918">
        <v>-1231.9814468236073</v>
      </c>
      <c r="T20" s="2918" t="s">
        <v>199</v>
      </c>
      <c r="U20" s="4262">
        <f t="shared" ref="U20:U22" si="13">IF(SUM(P20:T20)=0,P20,SUM(P20:T20)*-44/12)</f>
        <v>-9896.0450094834378</v>
      </c>
      <c r="W20" s="2424"/>
    </row>
    <row r="21" spans="2:23" ht="18" customHeight="1" x14ac:dyDescent="0.2">
      <c r="B21" s="490"/>
      <c r="C21" s="498" t="s">
        <v>1347</v>
      </c>
      <c r="D21" s="3509">
        <f>IF(SUM(E21:F21)=0,E21,SUM(E21:F21))</f>
        <v>8668.5587844987786</v>
      </c>
      <c r="E21" s="3510">
        <v>8668.5587844987786</v>
      </c>
      <c r="F21" s="3496" t="s">
        <v>199</v>
      </c>
      <c r="G21" s="3500">
        <f t="shared" si="6"/>
        <v>0.60068299109292489</v>
      </c>
      <c r="H21" s="3057" t="str">
        <f t="shared" si="6"/>
        <v>NA</v>
      </c>
      <c r="I21" s="3057">
        <f t="shared" si="6"/>
        <v>0.60068299109292489</v>
      </c>
      <c r="J21" s="3057">
        <f t="shared" si="6"/>
        <v>8.5931660763345893E-2</v>
      </c>
      <c r="K21" s="3057">
        <f t="shared" si="6"/>
        <v>-2.3230380949252106E-2</v>
      </c>
      <c r="L21" s="3057">
        <f t="shared" si="3"/>
        <v>-0.19586394216173697</v>
      </c>
      <c r="M21" s="3106" t="str">
        <f t="shared" si="4"/>
        <v>NA</v>
      </c>
      <c r="N21" s="2917">
        <v>5207.0558191375758</v>
      </c>
      <c r="O21" s="2917" t="s">
        <v>274</v>
      </c>
      <c r="P21" s="3087">
        <f t="shared" ref="P21:P28" si="14">IF(SUM(N21:O21)=0,N21,SUM(N21:O21))</f>
        <v>5207.0558191375758</v>
      </c>
      <c r="Q21" s="2917">
        <v>744.90365277667104</v>
      </c>
      <c r="R21" s="2918">
        <v>-201.37392284489241</v>
      </c>
      <c r="S21" s="2918">
        <v>-1697.8580963926856</v>
      </c>
      <c r="T21" s="2918" t="s">
        <v>199</v>
      </c>
      <c r="U21" s="4262">
        <f t="shared" si="13"/>
        <v>-14860.000659814454</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v>0.43729681003832255</v>
      </c>
      <c r="O22" s="2917" t="s">
        <v>274</v>
      </c>
      <c r="P22" s="3087">
        <f t="shared" si="14"/>
        <v>0.43729681003832255</v>
      </c>
      <c r="Q22" s="2917">
        <v>-1.3724099780456966E-2</v>
      </c>
      <c r="R22" s="2918" t="s">
        <v>205</v>
      </c>
      <c r="S22" s="2918" t="s">
        <v>205</v>
      </c>
      <c r="T22" s="2918" t="s">
        <v>205</v>
      </c>
      <c r="U22" s="4262">
        <f t="shared" si="13"/>
        <v>-1.5530999376121739</v>
      </c>
      <c r="W22" s="2424"/>
    </row>
    <row r="23" spans="2:23" ht="18" customHeight="1" x14ac:dyDescent="0.2">
      <c r="B23" s="477" t="s">
        <v>1348</v>
      </c>
      <c r="C23" s="494"/>
      <c r="D23" s="3509">
        <f>D24</f>
        <v>158.85306975568085</v>
      </c>
      <c r="E23" s="3512" t="str">
        <f t="shared" ref="E23" si="15">E24</f>
        <v>NO</v>
      </c>
      <c r="F23" s="3513">
        <f t="shared" ref="F23" si="16">F24</f>
        <v>158.85306975568085</v>
      </c>
      <c r="G23" s="3500">
        <f t="shared" si="6"/>
        <v>7.6438094626794086</v>
      </c>
      <c r="H23" s="3057" t="str">
        <f t="shared" si="6"/>
        <v>NA</v>
      </c>
      <c r="I23" s="3057">
        <f t="shared" si="6"/>
        <v>7.6438094626794086</v>
      </c>
      <c r="J23" s="3057">
        <f t="shared" si="6"/>
        <v>-0.66511469252022615</v>
      </c>
      <c r="K23" s="3057">
        <f t="shared" si="6"/>
        <v>3.3317420523550627E-2</v>
      </c>
      <c r="L23" s="3057" t="str">
        <f t="shared" si="3"/>
        <v>NA</v>
      </c>
      <c r="M23" s="3106">
        <f t="shared" si="4"/>
        <v>0.21401924603110664</v>
      </c>
      <c r="N23" s="3057">
        <f t="shared" ref="N23" si="17">N24</f>
        <v>1214.2425977741455</v>
      </c>
      <c r="O23" s="3057" t="str">
        <f t="shared" ref="O23" si="18">O24</f>
        <v>IE</v>
      </c>
      <c r="P23" s="3057">
        <f t="shared" ref="P23" si="19">P24</f>
        <v>1214.2425977741455</v>
      </c>
      <c r="Q23" s="3057">
        <f t="shared" ref="Q23" si="20">Q24</f>
        <v>-105.6555106464437</v>
      </c>
      <c r="R23" s="3514">
        <f t="shared" ref="R23" si="21">R24</f>
        <v>5.2925745265069404</v>
      </c>
      <c r="S23" s="3514" t="str">
        <f t="shared" ref="S23" si="22">S24</f>
        <v>NO</v>
      </c>
      <c r="T23" s="3514">
        <f t="shared" ref="T23" si="23">T24</f>
        <v>33.997614218837604</v>
      </c>
      <c r="U23" s="4262">
        <f t="shared" ref="U23" si="24">U24</f>
        <v>-4208.883344867837</v>
      </c>
      <c r="W23" s="2048"/>
    </row>
    <row r="24" spans="2:23" ht="18" customHeight="1" x14ac:dyDescent="0.2">
      <c r="B24" s="478"/>
      <c r="C24" s="498" t="s">
        <v>409</v>
      </c>
      <c r="D24" s="3509">
        <f>IF(SUM(E24:F24)=0,E24,SUM(E24:F24))</f>
        <v>158.85306975568085</v>
      </c>
      <c r="E24" s="3510" t="s">
        <v>199</v>
      </c>
      <c r="F24" s="3496">
        <v>158.85306975568085</v>
      </c>
      <c r="G24" s="3500">
        <f t="shared" si="6"/>
        <v>7.6438094626794086</v>
      </c>
      <c r="H24" s="3057" t="str">
        <f t="shared" si="6"/>
        <v>NA</v>
      </c>
      <c r="I24" s="3057">
        <f t="shared" si="6"/>
        <v>7.6438094626794086</v>
      </c>
      <c r="J24" s="3057">
        <f t="shared" si="6"/>
        <v>-0.66511469252022615</v>
      </c>
      <c r="K24" s="3057">
        <f t="shared" si="6"/>
        <v>3.3317420523550627E-2</v>
      </c>
      <c r="L24" s="3057" t="str">
        <f t="shared" si="3"/>
        <v>NA</v>
      </c>
      <c r="M24" s="3106">
        <f t="shared" si="4"/>
        <v>0.21401924603110664</v>
      </c>
      <c r="N24" s="2917">
        <v>1214.2425977741455</v>
      </c>
      <c r="O24" s="2917" t="s">
        <v>274</v>
      </c>
      <c r="P24" s="3087">
        <f t="shared" si="14"/>
        <v>1214.2425977741455</v>
      </c>
      <c r="Q24" s="2917">
        <v>-105.6555106464437</v>
      </c>
      <c r="R24" s="2918">
        <v>5.2925745265069404</v>
      </c>
      <c r="S24" s="2918" t="s">
        <v>199</v>
      </c>
      <c r="T24" s="2918">
        <v>33.997614218837604</v>
      </c>
      <c r="U24" s="4262">
        <f t="shared" ref="U24" si="25">IF(SUM(P24:T24)=0,P24,SUM(P24:T24)*-44/12)</f>
        <v>-4208.883344867837</v>
      </c>
      <c r="W24" s="2424"/>
    </row>
    <row r="25" spans="2:23" ht="18" customHeight="1" x14ac:dyDescent="0.2">
      <c r="B25" s="477" t="s">
        <v>1349</v>
      </c>
      <c r="C25" s="494"/>
      <c r="D25" s="3509">
        <f>D26</f>
        <v>60.064898266427981</v>
      </c>
      <c r="E25" s="3512">
        <f t="shared" ref="E25" si="26">E26</f>
        <v>60.064898266427981</v>
      </c>
      <c r="F25" s="3513" t="str">
        <f t="shared" ref="F25" si="27">F26</f>
        <v>NO</v>
      </c>
      <c r="G25" s="3500">
        <f t="shared" si="6"/>
        <v>1.6305563764724555</v>
      </c>
      <c r="H25" s="3057" t="str">
        <f t="shared" si="6"/>
        <v>NA</v>
      </c>
      <c r="I25" s="3057">
        <f t="shared" si="6"/>
        <v>1.6305563764724555</v>
      </c>
      <c r="J25" s="3057">
        <f t="shared" si="6"/>
        <v>7.3665698538608923E-2</v>
      </c>
      <c r="K25" s="3057">
        <f t="shared" si="6"/>
        <v>4.6713052563701493E-2</v>
      </c>
      <c r="L25" s="3057">
        <f t="shared" si="3"/>
        <v>-0.79195408915059551</v>
      </c>
      <c r="M25" s="3106" t="str">
        <f t="shared" si="4"/>
        <v>NA</v>
      </c>
      <c r="N25" s="3057">
        <f t="shared" ref="N25" si="28">N26</f>
        <v>97.939202870493489</v>
      </c>
      <c r="O25" s="3057" t="str">
        <f t="shared" ref="O25" si="29">O26</f>
        <v>IE</v>
      </c>
      <c r="P25" s="3057">
        <f t="shared" ref="P25" si="30">P26</f>
        <v>97.939202870493489</v>
      </c>
      <c r="Q25" s="3057">
        <f t="shared" ref="Q25" si="31">Q26</f>
        <v>4.4247226884468978</v>
      </c>
      <c r="R25" s="3514">
        <f t="shared" ref="R25" si="32">R26</f>
        <v>2.8058147499530328</v>
      </c>
      <c r="S25" s="3514">
        <f t="shared" ref="S25" si="33">S26</f>
        <v>-47.568641796512154</v>
      </c>
      <c r="T25" s="3514" t="str">
        <f t="shared" ref="T25" si="34">T26</f>
        <v>NO</v>
      </c>
      <c r="U25" s="4262">
        <f t="shared" ref="U25" si="35">U26</f>
        <v>-211.20402787873127</v>
      </c>
      <c r="W25" s="2048"/>
    </row>
    <row r="26" spans="2:23" ht="18" customHeight="1" x14ac:dyDescent="0.2">
      <c r="B26" s="478"/>
      <c r="C26" s="498" t="s">
        <v>409</v>
      </c>
      <c r="D26" s="3509">
        <f>IF(SUM(E26:F26)=0,E26,SUM(E26:F26))</f>
        <v>60.064898266427981</v>
      </c>
      <c r="E26" s="3510">
        <v>60.064898266427981</v>
      </c>
      <c r="F26" s="3496" t="s">
        <v>199</v>
      </c>
      <c r="G26" s="3500">
        <f t="shared" si="6"/>
        <v>1.6305563764724555</v>
      </c>
      <c r="H26" s="3057" t="str">
        <f t="shared" si="6"/>
        <v>NA</v>
      </c>
      <c r="I26" s="3057">
        <f t="shared" si="6"/>
        <v>1.6305563764724555</v>
      </c>
      <c r="J26" s="3057">
        <f t="shared" si="6"/>
        <v>7.3665698538608923E-2</v>
      </c>
      <c r="K26" s="3057">
        <f t="shared" si="6"/>
        <v>4.6713052563701493E-2</v>
      </c>
      <c r="L26" s="3057">
        <f t="shared" si="3"/>
        <v>-0.79195408915059551</v>
      </c>
      <c r="M26" s="3106" t="str">
        <f t="shared" si="4"/>
        <v>NA</v>
      </c>
      <c r="N26" s="2917">
        <v>97.939202870493489</v>
      </c>
      <c r="O26" s="2917" t="s">
        <v>274</v>
      </c>
      <c r="P26" s="3087">
        <f t="shared" si="14"/>
        <v>97.939202870493489</v>
      </c>
      <c r="Q26" s="2917">
        <v>4.4247226884468978</v>
      </c>
      <c r="R26" s="2918">
        <v>2.8058147499530328</v>
      </c>
      <c r="S26" s="2918">
        <v>-47.568641796512154</v>
      </c>
      <c r="T26" s="2918" t="s">
        <v>199</v>
      </c>
      <c r="U26" s="4262">
        <f t="shared" ref="U26" si="36">IF(SUM(P26:T26)=0,P26,SUM(P26:T26)*-44/12)</f>
        <v>-211.20402787873127</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39989.18539706702</v>
      </c>
      <c r="E10" s="3523">
        <f t="shared" ref="E10:F10" si="0">IF(SUM(E11,E13)=0,"IE",SUM(E11,E13))</f>
        <v>39986.18539706702</v>
      </c>
      <c r="F10" s="3524">
        <f t="shared" si="0"/>
        <v>3</v>
      </c>
      <c r="G10" s="3500" t="str">
        <f>IFERROR(IF(SUM($D10)=0,"NA",M10/$D10),"NA")</f>
        <v>NA</v>
      </c>
      <c r="H10" s="3523">
        <f t="shared" ref="H10:J10" si="1">IFERROR(IF(SUM($D10)=0,"NA",N10/$D10),"NA")</f>
        <v>-3.1686873564605457E-2</v>
      </c>
      <c r="I10" s="3523">
        <f t="shared" si="1"/>
        <v>-3.1686873564605457E-2</v>
      </c>
      <c r="J10" s="3523">
        <f t="shared" si="1"/>
        <v>-9.1611189283390354E-4</v>
      </c>
      <c r="K10" s="3525">
        <f>IFERROR(IF(SUM(E10)=0,"NA",Q10/E10),"NA")</f>
        <v>1.3555217556458303E-2</v>
      </c>
      <c r="L10" s="3524">
        <f>IFERROR(IF(SUM(F10)=0,"NA",R10/F10),"NA")</f>
        <v>-12.475</v>
      </c>
      <c r="M10" s="3526" t="str">
        <f>IF(SUM(M11,M13)=0,"IE",SUM(M11,M13))</f>
        <v>IE</v>
      </c>
      <c r="N10" s="3523">
        <f t="shared" ref="N10:S10" si="2">IF(SUM(N11,N13)=0,"IE",SUM(N11,N13))</f>
        <v>-1267.1322616284297</v>
      </c>
      <c r="O10" s="3527">
        <f t="shared" si="2"/>
        <v>-1267.1322616284297</v>
      </c>
      <c r="P10" s="3523">
        <f t="shared" si="2"/>
        <v>-36.634568326992962</v>
      </c>
      <c r="Q10" s="3525">
        <f t="shared" si="2"/>
        <v>542.02144231011948</v>
      </c>
      <c r="R10" s="3525">
        <f t="shared" si="2"/>
        <v>-37.424999999999997</v>
      </c>
      <c r="S10" s="3528">
        <f t="shared" si="2"/>
        <v>2930.291421366112</v>
      </c>
      <c r="U10" s="2287"/>
    </row>
    <row r="11" spans="2:21" ht="18" customHeight="1" x14ac:dyDescent="0.2">
      <c r="B11" s="489" t="s">
        <v>1256</v>
      </c>
      <c r="C11" s="2282"/>
      <c r="D11" s="3529">
        <f>D12</f>
        <v>37701.648080931001</v>
      </c>
      <c r="E11" s="3057">
        <f t="shared" ref="E11" si="3">E12</f>
        <v>37701.648080931001</v>
      </c>
      <c r="F11" s="3057" t="str">
        <f t="shared" ref="F11" si="4">F12</f>
        <v>IE</v>
      </c>
      <c r="G11" s="3500" t="str">
        <f t="shared" ref="G11:G23" si="5">IFERROR(IF(SUM($D11)=0,"NA",M11/$D11),"NA")</f>
        <v>NA</v>
      </c>
      <c r="H11" s="3057">
        <f t="shared" ref="H11:H23" si="6">IFERROR(IF(SUM($D11)=0,"NA",N11/$D11),"NA")</f>
        <v>-6.7442098528062685E-4</v>
      </c>
      <c r="I11" s="3057">
        <f t="shared" ref="I11:I23" si="7">IFERROR(IF(SUM($D11)=0,"NA",O11/$D11),"NA")</f>
        <v>-6.7442098528062685E-4</v>
      </c>
      <c r="J11" s="3057" t="str">
        <f t="shared" ref="J11:J23" si="8">IFERROR(IF(SUM($D11)=0,"NA",P11/$D11),"NA")</f>
        <v>NA</v>
      </c>
      <c r="K11" s="3514">
        <f t="shared" ref="K11:K23" si="9">IFERROR(IF(SUM(E11)=0,"NA",Q11/E11),"NA")</f>
        <v>2.6620043761697319E-2</v>
      </c>
      <c r="L11" s="3106" t="str">
        <f t="shared" ref="L11:L23" si="10">IFERROR(IF(SUM(F11)=0,"NA",R11/F11),"NA")</f>
        <v>NA</v>
      </c>
      <c r="M11" s="3530" t="str">
        <f t="shared" ref="M11" si="11">M12</f>
        <v>IE</v>
      </c>
      <c r="N11" s="3531">
        <f t="shared" ref="N11" si="12">N12</f>
        <v>-25.426782645444941</v>
      </c>
      <c r="O11" s="3532">
        <f t="shared" ref="O11" si="13">O12</f>
        <v>-25.426782645444941</v>
      </c>
      <c r="P11" s="3531" t="str">
        <f t="shared" ref="P11" si="14">P12</f>
        <v>NA</v>
      </c>
      <c r="Q11" s="3533">
        <f t="shared" ref="Q11" si="15">Q12</f>
        <v>1003.619521802495</v>
      </c>
      <c r="R11" s="3533" t="str">
        <f t="shared" ref="R11" si="16">R12</f>
        <v>IE</v>
      </c>
      <c r="S11" s="3534">
        <f t="shared" ref="S11" si="17">S12</f>
        <v>-3586.7067102425167</v>
      </c>
      <c r="U11" s="2284"/>
    </row>
    <row r="12" spans="2:21" ht="18" customHeight="1" x14ac:dyDescent="0.2">
      <c r="B12" s="491"/>
      <c r="C12" s="498" t="s">
        <v>409</v>
      </c>
      <c r="D12" s="3509">
        <f>IF(SUM(E12:F12)=0,E12,SUM(E12:F12))</f>
        <v>37701.648080931001</v>
      </c>
      <c r="E12" s="3510">
        <v>37701.648080931001</v>
      </c>
      <c r="F12" s="3496" t="s">
        <v>274</v>
      </c>
      <c r="G12" s="3500" t="str">
        <f t="shared" si="5"/>
        <v>NA</v>
      </c>
      <c r="H12" s="3057">
        <f t="shared" si="6"/>
        <v>-6.7442098528062685E-4</v>
      </c>
      <c r="I12" s="3057">
        <f t="shared" si="7"/>
        <v>-6.7442098528062685E-4</v>
      </c>
      <c r="J12" s="3057" t="str">
        <f t="shared" si="8"/>
        <v>NA</v>
      </c>
      <c r="K12" s="3514">
        <f t="shared" si="9"/>
        <v>2.6620043761697319E-2</v>
      </c>
      <c r="L12" s="3106" t="str">
        <f t="shared" si="10"/>
        <v>NA</v>
      </c>
      <c r="M12" s="2917" t="s">
        <v>274</v>
      </c>
      <c r="N12" s="2917">
        <v>-25.426782645444941</v>
      </c>
      <c r="O12" s="3087">
        <f>IF(SUM(M12:N12)=0,M12,SUM(M12:N12))</f>
        <v>-25.426782645444941</v>
      </c>
      <c r="P12" s="2917" t="s">
        <v>205</v>
      </c>
      <c r="Q12" s="2918">
        <v>1003.619521802495</v>
      </c>
      <c r="R12" s="2918" t="s">
        <v>274</v>
      </c>
      <c r="S12" s="3534">
        <f>IF(SUM(O12:R12)=0,Q12,SUM(O12:R12)*-44/12)</f>
        <v>-3586.7067102425167</v>
      </c>
      <c r="U12" s="2424"/>
    </row>
    <row r="13" spans="2:21" ht="18" customHeight="1" x14ac:dyDescent="0.2">
      <c r="B13" s="475" t="s">
        <v>1375</v>
      </c>
      <c r="C13" s="494"/>
      <c r="D13" s="3529">
        <f>IF(SUM(D14,D16,D18,D20,D22)=0,"IE",SUM(D14,D16,D18,D20,D22))</f>
        <v>2287.5373161360167</v>
      </c>
      <c r="E13" s="3531">
        <f t="shared" ref="E13:F13" si="18">IF(SUM(E14,E16,E18,E20,E22)=0,"IE",SUM(E14,E16,E18,E20,E22))</f>
        <v>2284.5373161360167</v>
      </c>
      <c r="F13" s="3535">
        <f t="shared" si="18"/>
        <v>3</v>
      </c>
      <c r="G13" s="3500" t="str">
        <f t="shared" si="5"/>
        <v>NA</v>
      </c>
      <c r="H13" s="3057">
        <f t="shared" si="6"/>
        <v>-0.54281321236779034</v>
      </c>
      <c r="I13" s="3057">
        <f t="shared" si="7"/>
        <v>-0.54281321236779034</v>
      </c>
      <c r="J13" s="3057">
        <f t="shared" si="8"/>
        <v>-1.601485058563944E-2</v>
      </c>
      <c r="K13" s="3514">
        <f t="shared" si="9"/>
        <v>-0.20205320185931819</v>
      </c>
      <c r="L13" s="3106">
        <f t="shared" si="10"/>
        <v>-12.475</v>
      </c>
      <c r="M13" s="3530" t="str">
        <f>IF(SUM(M14,M16,M18,M20,M22)=0,"IE",SUM(M14,M16,M18,M20,M22))</f>
        <v>IE</v>
      </c>
      <c r="N13" s="3531">
        <f t="shared" ref="N13" si="19">IF(SUM(N14,N16,N18,N20,N22)=0,"IE",SUM(N14,N16,N18,N20,N22))</f>
        <v>-1241.7054789829847</v>
      </c>
      <c r="O13" s="3532">
        <f t="shared" ref="O13" si="20">IF(SUM(O14,O16,O18,O20,O22)=0,"IE",SUM(O14,O16,O18,O20,O22))</f>
        <v>-1241.7054789829847</v>
      </c>
      <c r="P13" s="3532">
        <f t="shared" ref="P13" si="21">IF(SUM(P14,P16,P18,P20,P22)=0,"IE",SUM(P14,P16,P18,P20,P22))</f>
        <v>-36.634568326992962</v>
      </c>
      <c r="Q13" s="3532">
        <f t="shared" ref="Q13" si="22">IF(SUM(Q14,Q16,Q18,Q20,Q22)=0,"IE",SUM(Q14,Q16,Q18,Q20,Q22))</f>
        <v>-461.59807949237558</v>
      </c>
      <c r="R13" s="3532">
        <f t="shared" ref="R13" si="23">IF(SUM(R14,R16,R18,R20,R22)=0,"IE",SUM(R14,R16,R18,R20,R22))</f>
        <v>-37.424999999999997</v>
      </c>
      <c r="S13" s="3534">
        <f t="shared" ref="S13" si="24">IF(SUM(S14,S16,S18,S20,S22)=0,"IE",SUM(S14,S16,S18,S20,S22))</f>
        <v>6516.9981316086287</v>
      </c>
      <c r="U13" s="493"/>
    </row>
    <row r="14" spans="2:21" ht="18" customHeight="1" x14ac:dyDescent="0.2">
      <c r="B14" s="477" t="s">
        <v>1376</v>
      </c>
      <c r="C14" s="494"/>
      <c r="D14" s="3529">
        <f>D15</f>
        <v>2274.8763751082047</v>
      </c>
      <c r="E14" s="3057">
        <f t="shared" ref="E14" si="25">E15</f>
        <v>2274.8763751082047</v>
      </c>
      <c r="F14" s="3057" t="str">
        <f t="shared" ref="F14" si="26">F15</f>
        <v>IE</v>
      </c>
      <c r="G14" s="3500" t="str">
        <f t="shared" si="5"/>
        <v>NA</v>
      </c>
      <c r="H14" s="3057">
        <f t="shared" si="6"/>
        <v>-0.54583426711437133</v>
      </c>
      <c r="I14" s="3057">
        <f t="shared" si="7"/>
        <v>-0.54583426711437133</v>
      </c>
      <c r="J14" s="3057">
        <f t="shared" si="8"/>
        <v>-1.6103982057157035E-2</v>
      </c>
      <c r="K14" s="3514">
        <f t="shared" si="9"/>
        <v>-0.19050455209358738</v>
      </c>
      <c r="L14" s="3106" t="str">
        <f t="shared" si="10"/>
        <v>NA</v>
      </c>
      <c r="M14" s="3530" t="str">
        <f t="shared" ref="M14" si="27">M15</f>
        <v>IE</v>
      </c>
      <c r="N14" s="3531">
        <f t="shared" ref="N14" si="28">N15</f>
        <v>-1241.7054789829847</v>
      </c>
      <c r="O14" s="3532">
        <f t="shared" ref="O14" si="29">O15</f>
        <v>-1241.7054789829847</v>
      </c>
      <c r="P14" s="3531">
        <f t="shared" ref="P14" si="30">P15</f>
        <v>-36.634568326992962</v>
      </c>
      <c r="Q14" s="3533">
        <f t="shared" ref="Q14" si="31">Q15</f>
        <v>-433.37430490827222</v>
      </c>
      <c r="R14" s="3533" t="str">
        <f t="shared" ref="R14" si="32">R15</f>
        <v>IE</v>
      </c>
      <c r="S14" s="3534">
        <f t="shared" ref="S14" si="33">S15</f>
        <v>6276.2859581335833</v>
      </c>
      <c r="U14" s="493"/>
    </row>
    <row r="15" spans="2:21" ht="18" customHeight="1" x14ac:dyDescent="0.2">
      <c r="B15" s="491"/>
      <c r="C15" s="498" t="s">
        <v>409</v>
      </c>
      <c r="D15" s="3509">
        <f>IF(SUM(E15:F15)=0,E15,SUM(E15:F15))</f>
        <v>2274.8763751082047</v>
      </c>
      <c r="E15" s="3510">
        <v>2274.8763751082047</v>
      </c>
      <c r="F15" s="3496" t="s">
        <v>274</v>
      </c>
      <c r="G15" s="3500" t="str">
        <f t="shared" si="5"/>
        <v>NA</v>
      </c>
      <c r="H15" s="3057">
        <f t="shared" si="6"/>
        <v>-0.54583426711437133</v>
      </c>
      <c r="I15" s="3057">
        <f t="shared" si="7"/>
        <v>-0.54583426711437133</v>
      </c>
      <c r="J15" s="3057">
        <f t="shared" si="8"/>
        <v>-1.6103982057157035E-2</v>
      </c>
      <c r="K15" s="3514">
        <f t="shared" si="9"/>
        <v>-0.19050455209358738</v>
      </c>
      <c r="L15" s="3106" t="str">
        <f t="shared" si="10"/>
        <v>NA</v>
      </c>
      <c r="M15" s="2917" t="s">
        <v>274</v>
      </c>
      <c r="N15" s="2917">
        <v>-1241.7054789829847</v>
      </c>
      <c r="O15" s="3087">
        <f>IF(SUM(M15:N15)=0,M15,SUM(M15:N15))</f>
        <v>-1241.7054789829847</v>
      </c>
      <c r="P15" s="2917">
        <v>-36.634568326992962</v>
      </c>
      <c r="Q15" s="2918">
        <v>-433.37430490827222</v>
      </c>
      <c r="R15" s="2918" t="s">
        <v>274</v>
      </c>
      <c r="S15" s="3534">
        <f>IF(SUM(O15:R15)=0,Q15,SUM(O15:R15)*-44/12)</f>
        <v>6276.2859581335833</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517495.07031010324</v>
      </c>
      <c r="E10" s="3523">
        <f t="shared" ref="E10:F10" si="0">IF(SUM(E11,E15)=0,"IE",SUM(E11,E15))</f>
        <v>517494.07031010324</v>
      </c>
      <c r="F10" s="3524">
        <f t="shared" si="0"/>
        <v>1</v>
      </c>
      <c r="G10" s="3500">
        <f>IFERROR(IF(SUM($D10)=0,"NA",M10/$D10),"NA")</f>
        <v>3.9250630799889065E-3</v>
      </c>
      <c r="H10" s="3523">
        <f t="shared" ref="H10:J10" si="1">IFERROR(IF(SUM($D10)=0,"NA",N10/$D10),"NA")</f>
        <v>-1.7509197913489299E-2</v>
      </c>
      <c r="I10" s="3523">
        <f t="shared" si="1"/>
        <v>-1.3584134833500393E-2</v>
      </c>
      <c r="J10" s="3523">
        <f t="shared" si="1"/>
        <v>-1.3180219579049782E-3</v>
      </c>
      <c r="K10" s="3525">
        <f>IFERROR(IF(SUM(E10)=0,"NA",Q10/E10),"NA")</f>
        <v>-1.068699952619055E-3</v>
      </c>
      <c r="L10" s="3524">
        <f>IFERROR(IF(SUM(F10)=0,"NA",R10/F10),"NA")</f>
        <v>-8.7249999999999996</v>
      </c>
      <c r="M10" s="3526">
        <f>IF(SUM(M11,M15)=0,"IE",SUM(M11,M15))</f>
        <v>2031.2007945504495</v>
      </c>
      <c r="N10" s="3523">
        <f t="shared" ref="N10:S10" si="2">IF(SUM(N11,N15)=0,"IE",SUM(N11,N15))</f>
        <v>-9060.9236053146578</v>
      </c>
      <c r="O10" s="3527">
        <f t="shared" si="2"/>
        <v>-7029.7228107642086</v>
      </c>
      <c r="P10" s="3523">
        <f t="shared" si="2"/>
        <v>-682.06986577629664</v>
      </c>
      <c r="Q10" s="3525">
        <f t="shared" si="2"/>
        <v>-553.04588842104931</v>
      </c>
      <c r="R10" s="3525">
        <f t="shared" si="2"/>
        <v>-8.7249999999999996</v>
      </c>
      <c r="S10" s="3528">
        <f t="shared" si="2"/>
        <v>30336.399738192373</v>
      </c>
      <c r="U10" s="2287"/>
    </row>
    <row r="11" spans="2:21" ht="18" customHeight="1" x14ac:dyDescent="0.2">
      <c r="B11" s="483" t="s">
        <v>1259</v>
      </c>
      <c r="C11" s="473"/>
      <c r="D11" s="3539">
        <f>IF(SUM(D12:D14)=0,"IE",SUM(D12:D14))</f>
        <v>504085.24033190002</v>
      </c>
      <c r="E11" s="3505">
        <f t="shared" ref="E11:F11" si="3">IF(SUM(E12:E14)=0,"IE",SUM(E12:E14))</f>
        <v>504085.24033190002</v>
      </c>
      <c r="F11" s="3506" t="str">
        <f t="shared" si="3"/>
        <v>IE</v>
      </c>
      <c r="G11" s="3539">
        <f t="shared" ref="G11:G26" si="4">IFERROR(IF(SUM($D11)=0,"NA",M11/$D11),"NA")</f>
        <v>4.0294788103953719E-3</v>
      </c>
      <c r="H11" s="3087" t="str">
        <f t="shared" ref="H11:H26" si="5">IFERROR(IF(SUM($D11)=0,"NA",N11/$D11),"NA")</f>
        <v>NA</v>
      </c>
      <c r="I11" s="3087">
        <f t="shared" ref="I11:I26" si="6">IFERROR(IF(SUM($D11)=0,"NA",O11/$D11),"NA")</f>
        <v>4.0294788103953719E-3</v>
      </c>
      <c r="J11" s="3087">
        <f t="shared" ref="J11:J26" si="7">IFERROR(IF(SUM($D11)=0,"NA",P11/$D11),"NA")</f>
        <v>1.1796546857520181E-4</v>
      </c>
      <c r="K11" s="3507">
        <f t="shared" ref="K11:K26" si="8">IFERROR(IF(SUM(E11)=0,"NA",Q11/E11),"NA")</f>
        <v>3.1992979526741282E-3</v>
      </c>
      <c r="L11" s="3216" t="str">
        <f t="shared" ref="L11:L26" si="9">IFERROR(IF(SUM(F11)=0,"NA",R11/F11),"NA")</f>
        <v>NA</v>
      </c>
      <c r="M11" s="3087">
        <f>IF(SUM(M12:M14)=0,"IE",SUM(M12:M14))</f>
        <v>2031.2007945504495</v>
      </c>
      <c r="N11" s="3087" t="str">
        <f t="shared" ref="N11:O11" si="10">IF(SUM(N12:N14)=0,"IE",SUM(N12:N14))</f>
        <v>IE</v>
      </c>
      <c r="O11" s="3087">
        <f t="shared" si="10"/>
        <v>2031.2007945504495</v>
      </c>
      <c r="P11" s="3087">
        <f t="shared" ref="P11" si="11">IF(SUM(P12:P14)=0,"IE",SUM(P12:P14))</f>
        <v>59.464651577595802</v>
      </c>
      <c r="Q11" s="3507">
        <f t="shared" ref="Q11" si="12">IF(SUM(Q12:Q14)=0,"IE",SUM(Q12:Q14))</f>
        <v>1612.7188773670937</v>
      </c>
      <c r="R11" s="3507" t="str">
        <f t="shared" ref="R11" si="13">IF(SUM(R12:R14)=0,"IE",SUM(R12:R14))</f>
        <v>IE</v>
      </c>
      <c r="S11" s="3508">
        <f t="shared" ref="S11" si="14">IF(SUM(S12:S14)=0,"IE",SUM(S12:S14))</f>
        <v>-13579.075852815509</v>
      </c>
      <c r="U11" s="2423"/>
    </row>
    <row r="12" spans="2:21" ht="18" customHeight="1" x14ac:dyDescent="0.2">
      <c r="B12" s="489"/>
      <c r="C12" s="474" t="s">
        <v>1391</v>
      </c>
      <c r="D12" s="3500">
        <f>IF(SUM(E12:F12)=0,E12,SUM(E12:F12))</f>
        <v>69820.727480068104</v>
      </c>
      <c r="E12" s="3510">
        <v>69820.727480068104</v>
      </c>
      <c r="F12" s="3496" t="s">
        <v>274</v>
      </c>
      <c r="G12" s="3500">
        <f t="shared" si="4"/>
        <v>1.0241806511615704E-2</v>
      </c>
      <c r="H12" s="3057" t="str">
        <f t="shared" si="5"/>
        <v>NA</v>
      </c>
      <c r="I12" s="3057">
        <f t="shared" si="6"/>
        <v>1.0241806511615704E-2</v>
      </c>
      <c r="J12" s="3057">
        <f t="shared" si="7"/>
        <v>2.0483613023231416E-3</v>
      </c>
      <c r="K12" s="3514">
        <f t="shared" si="8"/>
        <v>8.1934452092925665E-3</v>
      </c>
      <c r="L12" s="3106" t="str">
        <f t="shared" si="9"/>
        <v>NA</v>
      </c>
      <c r="M12" s="2917">
        <v>715.090381351107</v>
      </c>
      <c r="N12" s="2917" t="s">
        <v>274</v>
      </c>
      <c r="O12" s="3087">
        <f>IF(SUM(M12:N12)=0,M12,SUM(M12:N12))</f>
        <v>715.090381351107</v>
      </c>
      <c r="P12" s="2917">
        <v>143.01807627022146</v>
      </c>
      <c r="Q12" s="2918">
        <v>572.07230508088583</v>
      </c>
      <c r="R12" s="2918" t="s">
        <v>274</v>
      </c>
      <c r="S12" s="3511">
        <f>IF(SUM(O12:R12)=0,Q12,SUM(O12:R12)*-44/12)</f>
        <v>-5243.9961299081187</v>
      </c>
      <c r="U12" s="2424"/>
    </row>
    <row r="13" spans="2:21" ht="18" customHeight="1" x14ac:dyDescent="0.2">
      <c r="B13" s="489"/>
      <c r="C13" s="474" t="s">
        <v>1392</v>
      </c>
      <c r="D13" s="3500">
        <f>IF(SUM(E13:F13)=0,E13,SUM(E13:F13))</f>
        <v>434264.51285183191</v>
      </c>
      <c r="E13" s="3510">
        <v>434264.51285183191</v>
      </c>
      <c r="F13" s="3496" t="s">
        <v>274</v>
      </c>
      <c r="G13" s="3500" t="str">
        <f t="shared" si="4"/>
        <v>NA</v>
      </c>
      <c r="H13" s="3057" t="str">
        <f t="shared" si="5"/>
        <v>NA</v>
      </c>
      <c r="I13" s="3057" t="str">
        <f t="shared" si="6"/>
        <v>NA</v>
      </c>
      <c r="J13" s="3057" t="str">
        <f t="shared" si="7"/>
        <v>NA</v>
      </c>
      <c r="K13" s="3514">
        <f t="shared" si="8"/>
        <v>2.3963426471397386E-3</v>
      </c>
      <c r="L13" s="3106" t="str">
        <f t="shared" si="9"/>
        <v>NA</v>
      </c>
      <c r="M13" s="2917" t="s">
        <v>205</v>
      </c>
      <c r="N13" s="2917" t="s">
        <v>205</v>
      </c>
      <c r="O13" s="3087" t="str">
        <f>IF(SUM(M13:N13)=0,M13,SUM(M13:N13))</f>
        <v>NA</v>
      </c>
      <c r="P13" s="2917" t="s">
        <v>205</v>
      </c>
      <c r="Q13" s="2918">
        <v>1040.6465722862079</v>
      </c>
      <c r="R13" s="2918" t="s">
        <v>274</v>
      </c>
      <c r="S13" s="3511">
        <f>IF(SUM(O13:R13)=0,Q13,SUM(O13:R13)*-44/12)</f>
        <v>-3815.7040983827624</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1316.1104131993425</v>
      </c>
      <c r="N14" s="2917" t="s">
        <v>274</v>
      </c>
      <c r="O14" s="3087">
        <f>IF(SUM(M14:N14)=0,M14,SUM(M14:N14))</f>
        <v>1316.1104131993425</v>
      </c>
      <c r="P14" s="2917">
        <v>-83.553424692625654</v>
      </c>
      <c r="Q14" s="2918" t="s">
        <v>205</v>
      </c>
      <c r="R14" s="2918" t="s">
        <v>205</v>
      </c>
      <c r="S14" s="3511">
        <f>IF(SUM(O14:R14)=0,Q14,SUM(O14:R14)*-44/12)</f>
        <v>-4519.3756245246286</v>
      </c>
      <c r="U14" s="2424"/>
    </row>
    <row r="15" spans="2:21" ht="18" customHeight="1" x14ac:dyDescent="0.2">
      <c r="B15" s="475" t="s">
        <v>1394</v>
      </c>
      <c r="C15" s="476"/>
      <c r="D15" s="3529">
        <f>IF(SUM(D16,D19,D21,D23,D25)=0,"IE",SUM(D16,D19,D21,D23,D25))</f>
        <v>13409.829978203255</v>
      </c>
      <c r="E15" s="3531">
        <f t="shared" ref="E15:F15" si="15">IF(SUM(E16,E19,E21,E23,E25)=0,"IE",SUM(E16,E19,E21,E23,E25))</f>
        <v>13408.829978203255</v>
      </c>
      <c r="F15" s="3535">
        <f t="shared" si="15"/>
        <v>1</v>
      </c>
      <c r="G15" s="3500" t="str">
        <f t="shared" si="4"/>
        <v>NA</v>
      </c>
      <c r="H15" s="3057">
        <f t="shared" si="5"/>
        <v>-0.67569265382503418</v>
      </c>
      <c r="I15" s="3057">
        <f t="shared" si="6"/>
        <v>-0.67569265382503418</v>
      </c>
      <c r="J15" s="3057">
        <f t="shared" si="7"/>
        <v>-5.5297831408690871E-2</v>
      </c>
      <c r="K15" s="3514">
        <f t="shared" si="8"/>
        <v>-0.16151780351519895</v>
      </c>
      <c r="L15" s="3106">
        <f t="shared" si="9"/>
        <v>-8.7249999999999996</v>
      </c>
      <c r="M15" s="3530" t="str">
        <f>IF(SUM(M16,M19,M21,M23,M25)=0,"IE",SUM(M16,M19,M21,M23,M25))</f>
        <v>IE</v>
      </c>
      <c r="N15" s="3531">
        <f t="shared" ref="N15:S15" si="16">IF(SUM(N16,N19,N21,N23,N25)=0,"IE",SUM(N16,N19,N21,N23,N25))</f>
        <v>-9060.9236053146578</v>
      </c>
      <c r="O15" s="3532">
        <f t="shared" si="16"/>
        <v>-9060.9236053146578</v>
      </c>
      <c r="P15" s="3532">
        <f t="shared" si="16"/>
        <v>-741.5345173538924</v>
      </c>
      <c r="Q15" s="3532">
        <f t="shared" si="16"/>
        <v>-2165.764765788143</v>
      </c>
      <c r="R15" s="3532">
        <f t="shared" si="16"/>
        <v>-8.7249999999999996</v>
      </c>
      <c r="S15" s="3534">
        <f t="shared" si="16"/>
        <v>43915.475591007882</v>
      </c>
      <c r="U15" s="2048"/>
    </row>
    <row r="16" spans="2:21" ht="18" customHeight="1" x14ac:dyDescent="0.2">
      <c r="B16" s="490" t="s">
        <v>1395</v>
      </c>
      <c r="C16" s="476"/>
      <c r="D16" s="3539">
        <f>IF(SUM(D17:D18)=0,"IE",SUM(D17:D18))</f>
        <v>13360.952545666709</v>
      </c>
      <c r="E16" s="3505">
        <f t="shared" ref="E16:F16" si="17">IF(SUM(E17:E18)=0,"IE",SUM(E17:E18))</f>
        <v>13360.952545666709</v>
      </c>
      <c r="F16" s="3506" t="str">
        <f t="shared" si="17"/>
        <v>IE</v>
      </c>
      <c r="G16" s="3500" t="str">
        <f t="shared" si="4"/>
        <v>NA</v>
      </c>
      <c r="H16" s="3057">
        <f t="shared" si="5"/>
        <v>-0.67816449271450652</v>
      </c>
      <c r="I16" s="3057">
        <f t="shared" si="6"/>
        <v>-0.67816449271450652</v>
      </c>
      <c r="J16" s="3057">
        <f t="shared" si="7"/>
        <v>-5.5500123574227539E-2</v>
      </c>
      <c r="K16" s="3514">
        <f t="shared" si="8"/>
        <v>-0.15323540456942672</v>
      </c>
      <c r="L16" s="3106" t="str">
        <f t="shared" si="9"/>
        <v>NA</v>
      </c>
      <c r="M16" s="3057" t="str">
        <f>IF(SUM(M17:M18)=0,"IE",SUM(M17:M18))</f>
        <v>IE</v>
      </c>
      <c r="N16" s="3057">
        <f t="shared" ref="N16:O16" si="18">IF(SUM(N17:N18)=0,"IE",SUM(N17:N18))</f>
        <v>-9060.9236053146578</v>
      </c>
      <c r="O16" s="3057">
        <f t="shared" si="18"/>
        <v>-9060.9236053146578</v>
      </c>
      <c r="P16" s="3057">
        <f t="shared" ref="P16" si="19">IF(SUM(P17:P18)=0,"IE",SUM(P17:P18))</f>
        <v>-741.5345173538924</v>
      </c>
      <c r="Q16" s="3514">
        <f t="shared" ref="Q16" si="20">IF(SUM(Q17:Q18)=0,"IE",SUM(Q17:Q18))</f>
        <v>-2047.3709687681499</v>
      </c>
      <c r="R16" s="3514" t="str">
        <f t="shared" ref="R16" si="21">IF(SUM(R17:R18)=0,"IE",SUM(R17:R18))</f>
        <v>IE</v>
      </c>
      <c r="S16" s="3511">
        <f t="shared" ref="S16" si="22">IF(SUM(S17:S18)=0,"IE",SUM(S17:S18))</f>
        <v>43449.373335267905</v>
      </c>
      <c r="U16" s="2048"/>
    </row>
    <row r="17" spans="2:21" ht="18" customHeight="1" x14ac:dyDescent="0.2">
      <c r="B17" s="490"/>
      <c r="C17" s="474" t="s">
        <v>1396</v>
      </c>
      <c r="D17" s="3500">
        <f>IF(SUM(E17:F17)=0,E17,SUM(E17:F17))</f>
        <v>13360.952545666709</v>
      </c>
      <c r="E17" s="3510">
        <v>13360.952545666709</v>
      </c>
      <c r="F17" s="3496" t="s">
        <v>274</v>
      </c>
      <c r="G17" s="3500" t="str">
        <f t="shared" si="4"/>
        <v>NA</v>
      </c>
      <c r="H17" s="3057">
        <f t="shared" si="5"/>
        <v>-0.67810756009902418</v>
      </c>
      <c r="I17" s="3057">
        <f t="shared" si="6"/>
        <v>-0.67810756009902418</v>
      </c>
      <c r="J17" s="3057">
        <f t="shared" si="7"/>
        <v>-5.544549113155809E-2</v>
      </c>
      <c r="K17" s="3514">
        <f t="shared" si="8"/>
        <v>-0.15323540456942672</v>
      </c>
      <c r="L17" s="3106" t="str">
        <f t="shared" si="9"/>
        <v>NA</v>
      </c>
      <c r="M17" s="2917" t="s">
        <v>274</v>
      </c>
      <c r="N17" s="2917">
        <v>-9060.1629313408976</v>
      </c>
      <c r="O17" s="3087">
        <f>IF(SUM(M17:N17)=0,M17,SUM(M17:N17))</f>
        <v>-9060.1629313408976</v>
      </c>
      <c r="P17" s="2917">
        <v>-740.80457587993203</v>
      </c>
      <c r="Q17" s="2918">
        <v>-2047.3709687681499</v>
      </c>
      <c r="R17" s="2918" t="s">
        <v>274</v>
      </c>
      <c r="S17" s="3511">
        <f>IF(SUM(O17:R17)=0,Q17,SUM(O17:R17)*-44/12)</f>
        <v>43443.907745292927</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-0.76067397376061474</v>
      </c>
      <c r="O18" s="3087">
        <f>IF(SUM(M18:N18)=0,M18,SUM(M18:N18))</f>
        <v>-0.76067397376061474</v>
      </c>
      <c r="P18" s="2917">
        <v>-0.72994147396036102</v>
      </c>
      <c r="Q18" s="2918" t="s">
        <v>205</v>
      </c>
      <c r="R18" s="2918" t="s">
        <v>205</v>
      </c>
      <c r="S18" s="3511">
        <f>IF(SUM(O18:R18)=0,Q18,SUM(O18:R18)*-44/12)</f>
        <v>5.4655899749769112</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13252.310971558354</v>
      </c>
      <c r="E10" s="3523">
        <f>IF(SUM(E11,E23)=0,"IE",SUM(E11,E23))</f>
        <v>13209.265825043351</v>
      </c>
      <c r="F10" s="3524">
        <f>IF(SUM(F11,F23)=0,"IE",SUM(F11,F23))</f>
        <v>43.045146515003154</v>
      </c>
      <c r="G10" s="4317" t="str">
        <f>IFERROR(IF(SUM($D10)=0,"NA",M10/$D10),"NA")</f>
        <v>NA</v>
      </c>
      <c r="H10" s="4318">
        <f t="shared" ref="H10:J10" si="0">IFERROR(IF(SUM($D10)=0,"NA",N10/$D10),"NA")</f>
        <v>-6.1978467781897062E-3</v>
      </c>
      <c r="I10" s="4319">
        <f t="shared" si="0"/>
        <v>-6.1978467781897062E-3</v>
      </c>
      <c r="J10" s="4318">
        <f t="shared" si="0"/>
        <v>1.088610822104394E-4</v>
      </c>
      <c r="K10" s="4318">
        <f>IFERROR(IF(SUM(E10)=0,"NA",Q10/E10),"NA")</f>
        <v>-5.6645651009914675E-4</v>
      </c>
      <c r="L10" s="4320" t="str">
        <f>IFERROR(IF(SUM(F10)=0,"NA",R10/F10),"NA")</f>
        <v>NA</v>
      </c>
      <c r="M10" s="4319" t="str">
        <f t="shared" ref="M10:S10" si="1">IF(SUM(M11,M23)=0,"IE",SUM(M11,M23))</f>
        <v>IE</v>
      </c>
      <c r="N10" s="4318">
        <f t="shared" si="1"/>
        <v>-82.13579285864104</v>
      </c>
      <c r="O10" s="4319">
        <f t="shared" si="1"/>
        <v>-82.13579285864104</v>
      </c>
      <c r="P10" s="4318">
        <f t="shared" si="1"/>
        <v>1.4426609141531219</v>
      </c>
      <c r="Q10" s="4321">
        <f t="shared" si="1"/>
        <v>-7.4824746202259833</v>
      </c>
      <c r="R10" s="4321" t="str">
        <f t="shared" si="1"/>
        <v>IE</v>
      </c>
      <c r="S10" s="3528">
        <f t="shared" si="1"/>
        <v>323.31055740395101</v>
      </c>
      <c r="U10" s="4322"/>
    </row>
    <row r="11" spans="1:23" ht="18" customHeight="1" x14ac:dyDescent="0.2">
      <c r="B11" s="491" t="s">
        <v>1262</v>
      </c>
      <c r="C11" s="473"/>
      <c r="D11" s="4323">
        <f>IF(SUM(D12,D14,D17)=0,"IE",SUM(D12,D14,D17))</f>
        <v>13202.804103114</v>
      </c>
      <c r="E11" s="3542">
        <f t="shared" ref="E11:S11" si="2">IF(SUM(E12,E14,E17)=0,"IE",SUM(E12,E14,E17))</f>
        <v>13159.758956598997</v>
      </c>
      <c r="F11" s="3543">
        <f t="shared" si="2"/>
        <v>43.045146515003154</v>
      </c>
      <c r="G11" s="4324" t="str">
        <f t="shared" ref="G11:G56" si="3">IFERROR(IF(SUM($D11)=0,"NA",M11/$D11),"NA")</f>
        <v>NA</v>
      </c>
      <c r="H11" s="4325">
        <f t="shared" ref="H11:H56" si="4">IFERROR(IF(SUM($D11)=0,"NA",N11/$D11),"NA")</f>
        <v>-5.9867744587372177E-3</v>
      </c>
      <c r="I11" s="4326">
        <f t="shared" ref="I11:I56" si="5">IFERROR(IF(SUM($D11)=0,"NA",O11/$D11),"NA")</f>
        <v>-5.9867744587372177E-3</v>
      </c>
      <c r="J11" s="4325">
        <f t="shared" ref="J11:J56" si="6">IFERROR(IF(SUM($D11)=0,"NA",P11/$D11),"NA")</f>
        <v>1.0926928119859457E-4</v>
      </c>
      <c r="K11" s="4325">
        <f t="shared" ref="K11:K56" si="7">IFERROR(IF(SUM(E11)=0,"NA",Q11/E11),"NA")</f>
        <v>-5.6858751325941854E-4</v>
      </c>
      <c r="L11" s="4327" t="str">
        <f t="shared" ref="L11:L56" si="8">IFERROR(IF(SUM(F11)=0,"NA",R11/F11),"NA")</f>
        <v>NA</v>
      </c>
      <c r="M11" s="4326" t="str">
        <f t="shared" si="2"/>
        <v>IE</v>
      </c>
      <c r="N11" s="4325">
        <f t="shared" si="2"/>
        <v>-79.04221038823384</v>
      </c>
      <c r="O11" s="4326">
        <f t="shared" si="2"/>
        <v>-79.04221038823384</v>
      </c>
      <c r="P11" s="4325">
        <f t="shared" si="2"/>
        <v>1.4426609141531219</v>
      </c>
      <c r="Q11" s="4328">
        <f t="shared" si="2"/>
        <v>-7.4824746202259833</v>
      </c>
      <c r="R11" s="4328" t="str">
        <f t="shared" si="2"/>
        <v>IE</v>
      </c>
      <c r="S11" s="3544">
        <f t="shared" si="2"/>
        <v>311.96742167912464</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773.76889083423191</v>
      </c>
      <c r="E14" s="3505">
        <f>IF(SUM(E15:E16)=0,"IE",SUM(E15:E16))</f>
        <v>773.76889083423191</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546.59870000000012</v>
      </c>
      <c r="E15" s="3510">
        <v>546.59870000000012</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12429.035212279769</v>
      </c>
      <c r="E17" s="3505">
        <f>IF(SUM(E18:E21)=0,"IE",SUM(E18:E21))</f>
        <v>12385.990065764765</v>
      </c>
      <c r="F17" s="3506">
        <f>IF(SUM(F18:F21)=0,"IE",SUM(F18:F21))</f>
        <v>43.045146515003154</v>
      </c>
      <c r="G17" s="3545" t="str">
        <f t="shared" si="3"/>
        <v>NA</v>
      </c>
      <c r="H17" s="3531">
        <f t="shared" si="4"/>
        <v>-6.3594807672715326E-3</v>
      </c>
      <c r="I17" s="3546">
        <f t="shared" si="5"/>
        <v>-6.3594807672715326E-3</v>
      </c>
      <c r="J17" s="3531">
        <f t="shared" si="6"/>
        <v>1.1607183417806932E-4</v>
      </c>
      <c r="K17" s="3531">
        <f t="shared" si="7"/>
        <v>-6.0410791390086449E-4</v>
      </c>
      <c r="L17" s="3535" t="str">
        <f t="shared" si="8"/>
        <v>NA</v>
      </c>
      <c r="M17" s="3505" t="str">
        <f t="shared" ref="M17:S17" si="16">IF(SUM(M18:M21)=0,"IE",SUM(M18:M21))</f>
        <v>IE</v>
      </c>
      <c r="N17" s="4325">
        <f t="shared" si="16"/>
        <v>-79.04221038823384</v>
      </c>
      <c r="O17" s="4326">
        <f t="shared" si="16"/>
        <v>-79.04221038823384</v>
      </c>
      <c r="P17" s="4325">
        <f t="shared" si="16"/>
        <v>1.4426609141531219</v>
      </c>
      <c r="Q17" s="4328">
        <f t="shared" si="16"/>
        <v>-7.4824746202259833</v>
      </c>
      <c r="R17" s="4328" t="str">
        <f t="shared" si="16"/>
        <v>IE</v>
      </c>
      <c r="S17" s="4332">
        <f t="shared" si="16"/>
        <v>311.96742167912464</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-5.4470715911987743E-3</v>
      </c>
      <c r="I18" s="3554">
        <f t="shared" si="5"/>
        <v>-5.4470715911987743E-3</v>
      </c>
      <c r="J18" s="3553">
        <f t="shared" si="6"/>
        <v>-1.0894143182397548E-3</v>
      </c>
      <c r="K18" s="3553">
        <f t="shared" si="7"/>
        <v>-4.3576572729590191E-3</v>
      </c>
      <c r="L18" s="3555" t="str">
        <f t="shared" si="8"/>
        <v>NA</v>
      </c>
      <c r="M18" s="3547" t="s">
        <v>274</v>
      </c>
      <c r="N18" s="3548">
        <v>-9.3530932752824807</v>
      </c>
      <c r="O18" s="3087">
        <f>IF(SUM(M18:N18)=0,M18,SUM(M18:N18))</f>
        <v>-9.3530932752824807</v>
      </c>
      <c r="P18" s="3548">
        <v>-1.8706186550564958</v>
      </c>
      <c r="Q18" s="3549">
        <v>-7.4824746202259833</v>
      </c>
      <c r="R18" s="3556" t="s">
        <v>274</v>
      </c>
      <c r="S18" s="3511">
        <f>IF(SUM(O18:R18)=0,Q18,SUM(O18:R18)*-44/12)</f>
        <v>68.589350685404852</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-69.689117112951365</v>
      </c>
      <c r="O19" s="3087">
        <f t="shared" ref="O19:O22" si="18">IF(SUM(M19:N19)=0,M19,SUM(M19:N19))</f>
        <v>-69.689117112951365</v>
      </c>
      <c r="P19" s="3548">
        <v>3.3132795692096177</v>
      </c>
      <c r="Q19" s="3551" t="s">
        <v>205</v>
      </c>
      <c r="R19" s="3550" t="s">
        <v>205</v>
      </c>
      <c r="S19" s="3511">
        <f t="shared" ref="S19:S22" si="19">IF(SUM(O19:R19)=0,Q19,SUM(O19:R19)*-44/12)</f>
        <v>243.37807099371977</v>
      </c>
      <c r="T19" s="2519"/>
      <c r="U19" s="2699"/>
      <c r="V19" s="2519"/>
      <c r="W19" s="2519"/>
    </row>
    <row r="20" spans="1:23" ht="18" customHeight="1" x14ac:dyDescent="0.2">
      <c r="A20" s="2519"/>
      <c r="B20" s="2698"/>
      <c r="C20" s="4316" t="s">
        <v>1414</v>
      </c>
      <c r="D20" s="3500">
        <f t="shared" si="17"/>
        <v>10668.903532443825</v>
      </c>
      <c r="E20" s="4335">
        <v>10668.903532443825</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43.045146515003154</v>
      </c>
      <c r="E21" s="3505" t="str">
        <f t="shared" ref="E21:F21" si="20">E22</f>
        <v>IE</v>
      </c>
      <c r="F21" s="3506">
        <f t="shared" si="20"/>
        <v>43.045146515003154</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43.045146515003154</v>
      </c>
      <c r="E22" s="3510" t="s">
        <v>274</v>
      </c>
      <c r="F22" s="3496">
        <v>43.045146515003154</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49.506868444354005</v>
      </c>
      <c r="E23" s="3531">
        <f t="shared" ref="E23:F23" si="22">IF(SUM(E24,E35,E46)=0,"IE",SUM(E24,E35,E46))</f>
        <v>49.506868444354005</v>
      </c>
      <c r="F23" s="3535" t="str">
        <f t="shared" si="22"/>
        <v>IE</v>
      </c>
      <c r="G23" s="3545" t="str">
        <f t="shared" si="3"/>
        <v>NA</v>
      </c>
      <c r="H23" s="3531">
        <f t="shared" si="4"/>
        <v>-6.2487944958271799E-2</v>
      </c>
      <c r="I23" s="3546">
        <f t="shared" si="5"/>
        <v>-6.2487944958271799E-2</v>
      </c>
      <c r="J23" s="3531" t="str">
        <f t="shared" si="6"/>
        <v>NA</v>
      </c>
      <c r="K23" s="3531" t="str">
        <f t="shared" si="7"/>
        <v>NA</v>
      </c>
      <c r="L23" s="3535" t="str">
        <f t="shared" si="8"/>
        <v>NA</v>
      </c>
      <c r="M23" s="3531" t="str">
        <f t="shared" ref="M23" si="23">IF(SUM(M24,M35,M46)=0,"IE",SUM(M24,M35,M46))</f>
        <v>IE</v>
      </c>
      <c r="N23" s="3531">
        <f t="shared" ref="N23" si="24">IF(SUM(N24,N35,N46)=0,"IE",SUM(N24,N35,N46))</f>
        <v>-3.0935824704071959</v>
      </c>
      <c r="O23" s="3546">
        <f t="shared" ref="O23" si="25">IF(SUM(O24,O35,O46)=0,"IE",SUM(O24,O35,O46))</f>
        <v>-3.0935824704071959</v>
      </c>
      <c r="P23" s="3531" t="str">
        <f>IF(SUM(P24,P35,P46)=0,"NO",SUM(P24,P35,P46))</f>
        <v>NO</v>
      </c>
      <c r="Q23" s="3530" t="str">
        <f>IF(SUM(Q24,Q35,Q46)=0,"NO",SUM(Q24,Q35,Q46))</f>
        <v>NO</v>
      </c>
      <c r="R23" s="3530" t="str">
        <f>IF(SUM(R24,R35,R46)=0,"NO",SUM(R24,R35,R46))</f>
        <v>NO</v>
      </c>
      <c r="S23" s="3534">
        <f t="shared" ref="S23" si="26">IF(SUM(S24,S35,S46)=0,"IE",SUM(S24,S35,S46))</f>
        <v>11.343135724826384</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49.506868444354005</v>
      </c>
      <c r="E35" s="3531">
        <f>IF(SUM(E36,E38,E40,E42,E44)=0,"IE",SUM(E36,E38,E40,E42,E44))</f>
        <v>49.506868444354005</v>
      </c>
      <c r="F35" s="3535" t="str">
        <f>IF(SUM(F36,F38,F40,F42,F44)=0,"IE",SUM(F36,F38,F40,F42,F44))</f>
        <v>IE</v>
      </c>
      <c r="G35" s="3545" t="str">
        <f t="shared" si="3"/>
        <v>NA</v>
      </c>
      <c r="H35" s="3531">
        <f t="shared" si="4"/>
        <v>-6.2487944958271799E-2</v>
      </c>
      <c r="I35" s="3546">
        <f t="shared" si="5"/>
        <v>-6.2487944958271799E-2</v>
      </c>
      <c r="J35" s="3531" t="str">
        <f t="shared" si="6"/>
        <v>NA</v>
      </c>
      <c r="K35" s="3531" t="str">
        <f t="shared" si="7"/>
        <v>NA</v>
      </c>
      <c r="L35" s="3535" t="str">
        <f t="shared" si="8"/>
        <v>NA</v>
      </c>
      <c r="M35" s="3531" t="str">
        <f t="shared" ref="M35:S35" si="48">IF(SUM(M36,M38,M40,M42,M44)=0,"IE",SUM(M36,M38,M40,M42,M44))</f>
        <v>IE</v>
      </c>
      <c r="N35" s="3531">
        <f t="shared" si="48"/>
        <v>-3.0935824704071959</v>
      </c>
      <c r="O35" s="3546">
        <f t="shared" si="48"/>
        <v>-3.0935824704071959</v>
      </c>
      <c r="P35" s="3531" t="str">
        <f>IF(SUM(P36,P38,P40,P42,P44)=0,"NO",SUM(P36,P38,P40,P42,P44))</f>
        <v>NO</v>
      </c>
      <c r="Q35" s="3530" t="str">
        <f>IF(SUM(Q36,Q38,Q40,Q42,Q44)=0,"NO",SUM(Q36,Q38,Q40,Q42,Q44))</f>
        <v>NO</v>
      </c>
      <c r="R35" s="3530" t="str">
        <f>IF(SUM(R36,R38,R40,R42,R44)=0,"NO",SUM(R36,R38,R40,R42,R44))</f>
        <v>NO</v>
      </c>
      <c r="S35" s="3534">
        <f t="shared" si="48"/>
        <v>11.343135724826384</v>
      </c>
      <c r="U35" s="493"/>
    </row>
    <row r="36" spans="2:21" ht="18" customHeight="1" x14ac:dyDescent="0.2">
      <c r="B36" s="495" t="s">
        <v>1424</v>
      </c>
      <c r="C36" s="476"/>
      <c r="D36" s="3500">
        <f>D37</f>
        <v>49.506868444354005</v>
      </c>
      <c r="E36" s="3505">
        <f t="shared" ref="E36:F36" si="49">E37</f>
        <v>49.506868444354005</v>
      </c>
      <c r="F36" s="3506" t="str">
        <f t="shared" si="49"/>
        <v>IE</v>
      </c>
      <c r="G36" s="3500" t="str">
        <f t="shared" si="3"/>
        <v>NA</v>
      </c>
      <c r="H36" s="3057">
        <f t="shared" si="4"/>
        <v>-6.2487944958271799E-2</v>
      </c>
      <c r="I36" s="3057">
        <f t="shared" si="5"/>
        <v>-6.2487944958271799E-2</v>
      </c>
      <c r="J36" s="3057" t="str">
        <f t="shared" si="6"/>
        <v>NA</v>
      </c>
      <c r="K36" s="3514" t="str">
        <f t="shared" si="7"/>
        <v>NA</v>
      </c>
      <c r="L36" s="3106" t="str">
        <f t="shared" si="8"/>
        <v>NA</v>
      </c>
      <c r="M36" s="4170" t="str">
        <f t="shared" ref="M36:S36" si="50">M37</f>
        <v>IE</v>
      </c>
      <c r="N36" s="3057">
        <f t="shared" si="50"/>
        <v>-3.0935824704071959</v>
      </c>
      <c r="O36" s="3057">
        <f t="shared" si="50"/>
        <v>-3.0935824704071959</v>
      </c>
      <c r="P36" s="3057" t="str">
        <f t="shared" si="50"/>
        <v>NA</v>
      </c>
      <c r="Q36" s="3514" t="str">
        <f t="shared" si="50"/>
        <v>NA</v>
      </c>
      <c r="R36" s="3514" t="str">
        <f t="shared" si="50"/>
        <v>NA</v>
      </c>
      <c r="S36" s="3511">
        <f t="shared" si="50"/>
        <v>11.343135724826384</v>
      </c>
      <c r="U36" s="4329"/>
    </row>
    <row r="37" spans="2:21" ht="18" customHeight="1" x14ac:dyDescent="0.2">
      <c r="B37" s="1478"/>
      <c r="C37" s="4330" t="s">
        <v>409</v>
      </c>
      <c r="D37" s="3500">
        <f>IF(SUM(E37:F37)=0,E37,SUM(E37:F37))</f>
        <v>49.506868444354005</v>
      </c>
      <c r="E37" s="3510">
        <v>49.506868444354005</v>
      </c>
      <c r="F37" s="3496" t="s">
        <v>274</v>
      </c>
      <c r="G37" s="3545" t="str">
        <f t="shared" si="3"/>
        <v>NA</v>
      </c>
      <c r="H37" s="3531">
        <f t="shared" si="4"/>
        <v>-6.2487944958271799E-2</v>
      </c>
      <c r="I37" s="3546">
        <f t="shared" si="5"/>
        <v>-6.2487944958271799E-2</v>
      </c>
      <c r="J37" s="3531" t="str">
        <f t="shared" si="6"/>
        <v>NA</v>
      </c>
      <c r="K37" s="3531" t="str">
        <f t="shared" si="7"/>
        <v>NA</v>
      </c>
      <c r="L37" s="3535" t="str">
        <f t="shared" si="8"/>
        <v>NA</v>
      </c>
      <c r="M37" s="3547" t="s">
        <v>274</v>
      </c>
      <c r="N37" s="3548">
        <v>-3.0935824704071959</v>
      </c>
      <c r="O37" s="3087">
        <f t="shared" ref="O37" si="51">IF(SUM(M37:N37)=0,M37,SUM(M37:N37))</f>
        <v>-3.0935824704071959</v>
      </c>
      <c r="P37" s="3548" t="s">
        <v>205</v>
      </c>
      <c r="Q37" s="3549" t="s">
        <v>205</v>
      </c>
      <c r="R37" s="3549" t="s">
        <v>205</v>
      </c>
      <c r="S37" s="3511">
        <f t="shared" ref="S37" si="52">IF(SUM(O37:R37)=0,Q37,SUM(O37:R37)*-44/12)</f>
        <v>11.343135724826384</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1605.7692439944435</v>
      </c>
      <c r="E10" s="3523">
        <f t="shared" ref="E10:F10" si="0">IF(SUM(E11,E13)=0,"IE",SUM(E11,E13))</f>
        <v>1517.8383084698548</v>
      </c>
      <c r="F10" s="3524">
        <f t="shared" si="0"/>
        <v>87.930935524588705</v>
      </c>
      <c r="G10" s="3522">
        <f>IFERROR(IF(SUM($D10)=0,"NA",M10/$D10),"NA")</f>
        <v>1.3594394451510359E-3</v>
      </c>
      <c r="H10" s="3523">
        <f t="shared" ref="H10:J10" si="1">IFERROR(IF(SUM($D10)=0,"NA",N10/$D10),"NA")</f>
        <v>-0.68154458249627803</v>
      </c>
      <c r="I10" s="3523">
        <f t="shared" si="1"/>
        <v>-0.68018514305112698</v>
      </c>
      <c r="J10" s="3523">
        <f t="shared" si="1"/>
        <v>-0.12109561323808041</v>
      </c>
      <c r="K10" s="3525">
        <f>IFERROR(IF(SUM(E10)=0,"NA",Q10/E10),"NA")</f>
        <v>-6.2733219061744491E-2</v>
      </c>
      <c r="L10" s="3524">
        <f>IFERROR(IF(SUM(F10)=0,"NA",R10/F10),"NA")</f>
        <v>0.30029181198328814</v>
      </c>
      <c r="M10" s="3526">
        <f>IF(SUM(M11,M13)=0,"IE",SUM(M11,M13))</f>
        <v>2.1829460500964046</v>
      </c>
      <c r="N10" s="3523">
        <f t="shared" ref="N10:S10" si="2">IF(SUM(N11,N13)=0,"IE",SUM(N11,N13))</f>
        <v>-1094.403328983557</v>
      </c>
      <c r="O10" s="3527">
        <f t="shared" si="2"/>
        <v>-1092.2203829334605</v>
      </c>
      <c r="P10" s="3523">
        <f t="shared" si="2"/>
        <v>-194.45161132035591</v>
      </c>
      <c r="Q10" s="3525">
        <f t="shared" si="2"/>
        <v>-95.218883105547107</v>
      </c>
      <c r="R10" s="3525">
        <f t="shared" si="2"/>
        <v>26.404939958064425</v>
      </c>
      <c r="S10" s="3528">
        <f t="shared" si="2"/>
        <v>4970.1151038047637</v>
      </c>
      <c r="U10" s="2287"/>
    </row>
    <row r="11" spans="2:21" ht="18" customHeight="1" x14ac:dyDescent="0.2">
      <c r="B11" s="483" t="s">
        <v>1265</v>
      </c>
      <c r="C11" s="2282"/>
      <c r="D11" s="3529">
        <f>D12</f>
        <v>1098.3975228520001</v>
      </c>
      <c r="E11" s="3057">
        <f t="shared" ref="E11:F11" si="3">E12</f>
        <v>1098.3975228520001</v>
      </c>
      <c r="F11" s="3057" t="str">
        <f t="shared" si="3"/>
        <v>IE</v>
      </c>
      <c r="G11" s="3500">
        <f t="shared" ref="G11:G24" si="4">IFERROR(IF(SUM($D11)=0,"NA",M11/$D11),"NA")</f>
        <v>1.9873916361613448E-3</v>
      </c>
      <c r="H11" s="3057" t="str">
        <f t="shared" ref="H11:H24" si="5">IFERROR(IF(SUM($D11)=0,"NA",N11/$D11),"NA")</f>
        <v>NA</v>
      </c>
      <c r="I11" s="3057">
        <f t="shared" ref="I11:I24" si="6">IFERROR(IF(SUM($D11)=0,"NA",O11/$D11),"NA")</f>
        <v>1.9873916361613448E-3</v>
      </c>
      <c r="J11" s="3057">
        <f t="shared" ref="J11:J24" si="7">IFERROR(IF(SUM($D11)=0,"NA",P11/$D11),"NA")</f>
        <v>3.9747832723226883E-4</v>
      </c>
      <c r="K11" s="3514">
        <f t="shared" ref="K11:K24" si="8">IFERROR(IF(SUM(E11)=0,"NA",Q11/E11),"NA")</f>
        <v>1.5899133089290753E-3</v>
      </c>
      <c r="L11" s="3106" t="str">
        <f t="shared" ref="L11:L24" si="9">IFERROR(IF(SUM(F11)=0,"NA",R11/F11),"NA")</f>
        <v>NA</v>
      </c>
      <c r="M11" s="3530">
        <f t="shared" ref="M11:S11" si="10">M12</f>
        <v>2.1829460500964046</v>
      </c>
      <c r="N11" s="3531" t="str">
        <f t="shared" si="10"/>
        <v>IE</v>
      </c>
      <c r="O11" s="3532">
        <f t="shared" si="10"/>
        <v>2.1829460500964046</v>
      </c>
      <c r="P11" s="3531">
        <f t="shared" si="10"/>
        <v>0.43658921001928075</v>
      </c>
      <c r="Q11" s="3533">
        <f t="shared" si="10"/>
        <v>1.746356840077123</v>
      </c>
      <c r="R11" s="3533" t="str">
        <f t="shared" si="10"/>
        <v>IE</v>
      </c>
      <c r="S11" s="3534">
        <f t="shared" si="10"/>
        <v>-16.008271034040298</v>
      </c>
      <c r="U11" s="2423"/>
    </row>
    <row r="12" spans="2:21" ht="18" customHeight="1" x14ac:dyDescent="0.2">
      <c r="B12" s="491"/>
      <c r="C12" s="4330" t="s">
        <v>409</v>
      </c>
      <c r="D12" s="3500">
        <f>IF(SUM(E12:F12)=0,E12,SUM(E12:F12))</f>
        <v>1098.3975228520001</v>
      </c>
      <c r="E12" s="3510">
        <v>1098.3975228520001</v>
      </c>
      <c r="F12" s="3496" t="s">
        <v>274</v>
      </c>
      <c r="G12" s="3500">
        <f t="shared" si="4"/>
        <v>1.9873916361613448E-3</v>
      </c>
      <c r="H12" s="3057" t="str">
        <f t="shared" si="5"/>
        <v>NA</v>
      </c>
      <c r="I12" s="3057">
        <f t="shared" si="6"/>
        <v>1.9873916361613448E-3</v>
      </c>
      <c r="J12" s="3057">
        <f t="shared" si="7"/>
        <v>3.9747832723226883E-4</v>
      </c>
      <c r="K12" s="3514">
        <f t="shared" si="8"/>
        <v>1.5899133089290753E-3</v>
      </c>
      <c r="L12" s="3106" t="str">
        <f t="shared" si="9"/>
        <v>NA</v>
      </c>
      <c r="M12" s="2917">
        <v>2.1829460500964046</v>
      </c>
      <c r="N12" s="2917" t="s">
        <v>274</v>
      </c>
      <c r="O12" s="3087">
        <f>IF(SUM(M12:N12)=0,M12,SUM(M12:N12))</f>
        <v>2.1829460500964046</v>
      </c>
      <c r="P12" s="2917">
        <v>0.43658921001928075</v>
      </c>
      <c r="Q12" s="2918">
        <v>1.746356840077123</v>
      </c>
      <c r="R12" s="2918" t="s">
        <v>274</v>
      </c>
      <c r="S12" s="3511">
        <f>IF(SUM(O12:R12)=0,Q12,SUM(O12:R12)*-44/12)</f>
        <v>-16.008271034040298</v>
      </c>
      <c r="U12" s="2424"/>
    </row>
    <row r="13" spans="2:21" ht="18" customHeight="1" x14ac:dyDescent="0.2">
      <c r="B13" s="483" t="s">
        <v>1266</v>
      </c>
      <c r="C13" s="494"/>
      <c r="D13" s="3529">
        <f>IF(SUM(D14,D17,D19,D21,D23)=0,"IE",SUM(D14,D17,D19,D21,D23))</f>
        <v>507.37172114244356</v>
      </c>
      <c r="E13" s="3531">
        <f t="shared" ref="E13:S13" si="11">IF(SUM(E14,E17,E19,E21,E23)=0,"IE",SUM(E14,E17,E19,E21,E23))</f>
        <v>419.44078561785483</v>
      </c>
      <c r="F13" s="3535">
        <f t="shared" si="11"/>
        <v>87.930935524588705</v>
      </c>
      <c r="G13" s="3500" t="str">
        <f t="shared" si="4"/>
        <v>NA</v>
      </c>
      <c r="H13" s="3057">
        <f t="shared" si="5"/>
        <v>-2.1570049795430077</v>
      </c>
      <c r="I13" s="3057">
        <f t="shared" si="6"/>
        <v>-2.1570049795430077</v>
      </c>
      <c r="J13" s="3057">
        <f t="shared" si="7"/>
        <v>-0.3841132495353653</v>
      </c>
      <c r="K13" s="3514">
        <f t="shared" si="8"/>
        <v>-0.23117742306054034</v>
      </c>
      <c r="L13" s="3106">
        <f t="shared" si="9"/>
        <v>0.30029181198328814</v>
      </c>
      <c r="M13" s="3057" t="str">
        <f t="shared" si="11"/>
        <v>IE</v>
      </c>
      <c r="N13" s="3057">
        <f t="shared" si="11"/>
        <v>-1094.403328983557</v>
      </c>
      <c r="O13" s="3057">
        <f t="shared" si="11"/>
        <v>-1094.403328983557</v>
      </c>
      <c r="P13" s="3057">
        <f t="shared" si="11"/>
        <v>-194.8882005303752</v>
      </c>
      <c r="Q13" s="3514">
        <f t="shared" si="11"/>
        <v>-96.965239945624234</v>
      </c>
      <c r="R13" s="3514">
        <f t="shared" si="11"/>
        <v>26.404939958064425</v>
      </c>
      <c r="S13" s="3511">
        <f t="shared" si="11"/>
        <v>4986.123374838804</v>
      </c>
      <c r="U13" s="2048"/>
    </row>
    <row r="14" spans="2:21" ht="18" customHeight="1" x14ac:dyDescent="0.2">
      <c r="B14" s="485" t="s">
        <v>1440</v>
      </c>
      <c r="C14" s="494"/>
      <c r="D14" s="3539">
        <f>IF(SUM(D15:D16)=0,"IE",SUM(D15:D16))</f>
        <v>507.37172114244356</v>
      </c>
      <c r="E14" s="3505">
        <f t="shared" ref="E14:F14" si="12">IF(SUM(E15:E16)=0,"IE",SUM(E15:E16))</f>
        <v>419.44078561785483</v>
      </c>
      <c r="F14" s="3506">
        <f t="shared" si="12"/>
        <v>87.930935524588705</v>
      </c>
      <c r="G14" s="3500" t="str">
        <f t="shared" si="4"/>
        <v>NA</v>
      </c>
      <c r="H14" s="3057">
        <f t="shared" si="5"/>
        <v>-2.1570049795430077</v>
      </c>
      <c r="I14" s="3057">
        <f t="shared" si="6"/>
        <v>-2.1570049795430077</v>
      </c>
      <c r="J14" s="3057">
        <f t="shared" si="7"/>
        <v>-0.3841132495353653</v>
      </c>
      <c r="K14" s="3514">
        <f t="shared" si="8"/>
        <v>-0.23117742306054034</v>
      </c>
      <c r="L14" s="3106">
        <f t="shared" si="9"/>
        <v>0.30029181198328814</v>
      </c>
      <c r="M14" s="3057" t="str">
        <f>IF(SUM(M15:M16)=0,"IE",SUM(M15:M16))</f>
        <v>IE</v>
      </c>
      <c r="N14" s="3057">
        <f t="shared" ref="N14:S14" si="13">IF(SUM(N15:N16)=0,"IE",SUM(N15:N16))</f>
        <v>-1094.403328983557</v>
      </c>
      <c r="O14" s="3057">
        <f t="shared" si="13"/>
        <v>-1094.403328983557</v>
      </c>
      <c r="P14" s="3057">
        <f t="shared" si="13"/>
        <v>-194.8882005303752</v>
      </c>
      <c r="Q14" s="3514">
        <f t="shared" si="13"/>
        <v>-96.965239945624234</v>
      </c>
      <c r="R14" s="3514">
        <f t="shared" si="13"/>
        <v>26.404939958064425</v>
      </c>
      <c r="S14" s="3511">
        <f t="shared" si="13"/>
        <v>4986.123374838804</v>
      </c>
      <c r="U14" s="2048"/>
    </row>
    <row r="15" spans="2:21" ht="18" customHeight="1" x14ac:dyDescent="0.2">
      <c r="B15" s="486"/>
      <c r="C15" s="498" t="s">
        <v>1441</v>
      </c>
      <c r="D15" s="3500">
        <f>IF(SUM(E15:F15)=0,E15,SUM(E15:F15))</f>
        <v>87.930935524588705</v>
      </c>
      <c r="E15" s="3510" t="s">
        <v>199</v>
      </c>
      <c r="F15" s="3496">
        <v>87.930935524588705</v>
      </c>
      <c r="G15" s="3500" t="str">
        <f t="shared" si="4"/>
        <v>NA</v>
      </c>
      <c r="H15" s="3057">
        <f t="shared" si="5"/>
        <v>-7.1717075638224834</v>
      </c>
      <c r="I15" s="3057">
        <f t="shared" si="6"/>
        <v>-7.1717075638224834</v>
      </c>
      <c r="J15" s="3057">
        <f t="shared" si="7"/>
        <v>-0.75493196236624627</v>
      </c>
      <c r="K15" s="3514" t="str">
        <f t="shared" si="8"/>
        <v>NA</v>
      </c>
      <c r="L15" s="3106">
        <f t="shared" si="9"/>
        <v>0.30029181198328814</v>
      </c>
      <c r="M15" s="2917" t="s">
        <v>274</v>
      </c>
      <c r="N15" s="2917">
        <v>-630.61495539567989</v>
      </c>
      <c r="O15" s="3087">
        <f>IF(SUM(M15:N15)=0,M15,SUM(M15:N15))</f>
        <v>-630.61495539567989</v>
      </c>
      <c r="P15" s="2917">
        <v>-66.381873708277624</v>
      </c>
      <c r="Q15" s="2918" t="s">
        <v>199</v>
      </c>
      <c r="R15" s="2918">
        <v>26.404939958064425</v>
      </c>
      <c r="S15" s="3511">
        <f>IF(SUM(O15:R15)=0,Q15,SUM(O15:R15)*-44/12)</f>
        <v>2458.8369268682741</v>
      </c>
      <c r="U15" s="2048"/>
    </row>
    <row r="16" spans="2:21" ht="18" customHeight="1" x14ac:dyDescent="0.2">
      <c r="B16" s="484"/>
      <c r="C16" s="498" t="s">
        <v>1442</v>
      </c>
      <c r="D16" s="3500">
        <f>IF(SUM(E16:F16)=0,E16,SUM(E16:F16))</f>
        <v>419.44078561785483</v>
      </c>
      <c r="E16" s="3510">
        <v>419.44078561785483</v>
      </c>
      <c r="F16" s="3496" t="s">
        <v>274</v>
      </c>
      <c r="G16" s="3500" t="str">
        <f t="shared" si="4"/>
        <v>NA</v>
      </c>
      <c r="H16" s="3057">
        <f t="shared" si="5"/>
        <v>-1.1057302710910584</v>
      </c>
      <c r="I16" s="3057">
        <f t="shared" si="6"/>
        <v>-1.1057302710910584</v>
      </c>
      <c r="J16" s="3057">
        <f t="shared" si="7"/>
        <v>-0.30637537222996108</v>
      </c>
      <c r="K16" s="3514">
        <f t="shared" si="8"/>
        <v>-0.23117742306054034</v>
      </c>
      <c r="L16" s="3106" t="str">
        <f t="shared" si="9"/>
        <v>NA</v>
      </c>
      <c r="M16" s="2917" t="s">
        <v>274</v>
      </c>
      <c r="N16" s="2917">
        <v>-463.78837358787712</v>
      </c>
      <c r="O16" s="3087">
        <f>IF(SUM(M16:N16)=0,M16,SUM(M16:N16))</f>
        <v>-463.78837358787712</v>
      </c>
      <c r="P16" s="2917">
        <v>-128.50632682209758</v>
      </c>
      <c r="Q16" s="2918">
        <v>-96.965239945624234</v>
      </c>
      <c r="R16" s="2918" t="s">
        <v>274</v>
      </c>
      <c r="S16" s="3511">
        <f>IF(SUM(O16:R16)=0,Q16,SUM(O16:R16)*-44/12)</f>
        <v>2527.2864479705295</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70.496454521498663</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70.496454521498663</v>
      </c>
    </row>
    <row r="270" spans="2:10" ht="18" customHeight="1" x14ac:dyDescent="0.2">
      <c r="B270" s="2842" t="s">
        <v>1550</v>
      </c>
      <c r="C270" s="2843"/>
      <c r="D270" s="2823"/>
      <c r="E270" s="2824"/>
      <c r="F270" s="2825"/>
      <c r="G270" s="2826"/>
      <c r="H270" s="2834" t="s">
        <v>221</v>
      </c>
      <c r="I270" s="2830" t="s">
        <v>221</v>
      </c>
      <c r="J270" s="3659">
        <f>J277</f>
        <v>69.424633147325864</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633.17713749823895</v>
      </c>
      <c r="E277" s="2770" t="s">
        <v>205</v>
      </c>
      <c r="F277" s="2768" t="s">
        <v>205</v>
      </c>
      <c r="G277" s="3653">
        <f>IF(SUM(D277)=0,"NA",J277*1000/D277)</f>
        <v>109.64488298113726</v>
      </c>
      <c r="H277" s="2793" t="str">
        <f t="shared" ref="H277:J277" si="1">H302</f>
        <v>NE</v>
      </c>
      <c r="I277" s="2792" t="str">
        <f t="shared" si="1"/>
        <v>NE</v>
      </c>
      <c r="J277" s="3652">
        <f t="shared" si="1"/>
        <v>69.424633147325864</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430.56238490427506</v>
      </c>
      <c r="E281" s="2770" t="str">
        <f t="shared" si="2"/>
        <v>NA</v>
      </c>
      <c r="F281" s="2768" t="str">
        <f t="shared" si="2"/>
        <v>NA</v>
      </c>
      <c r="G281" s="3653">
        <f t="shared" si="2"/>
        <v>122.54280733942808</v>
      </c>
      <c r="H281" s="2795" t="str">
        <f t="shared" ref="H281" si="3">H306</f>
        <v>NA</v>
      </c>
      <c r="I281" s="2773" t="str">
        <f t="shared" ref="I281:J281" si="4">I306</f>
        <v>NA</v>
      </c>
      <c r="J281" s="3662">
        <f t="shared" si="4"/>
        <v>52.76232338092926</v>
      </c>
    </row>
    <row r="282" spans="2:10" ht="18" customHeight="1" outlineLevel="1" x14ac:dyDescent="0.2">
      <c r="B282" s="2862" t="str">
        <f>B307</f>
        <v>Other Constructed Water Bodies</v>
      </c>
      <c r="C282" s="2850" t="str">
        <f t="shared" si="2"/>
        <v>Other Constructed Water Bodies</v>
      </c>
      <c r="D282" s="3647">
        <f t="shared" si="2"/>
        <v>202.61475259396389</v>
      </c>
      <c r="E282" s="2770" t="str">
        <f t="shared" si="2"/>
        <v>NA</v>
      </c>
      <c r="F282" s="2768" t="str">
        <f t="shared" si="2"/>
        <v>NA</v>
      </c>
      <c r="G282" s="3653">
        <f t="shared" si="2"/>
        <v>82.236409506604645</v>
      </c>
      <c r="H282" s="2860" t="str">
        <f t="shared" ref="H282" si="5">H307</f>
        <v>NA</v>
      </c>
      <c r="I282" s="2861" t="str">
        <f t="shared" ref="I282:J282" si="6">I307</f>
        <v>NA</v>
      </c>
      <c r="J282" s="3662">
        <f t="shared" si="6"/>
        <v>16.6623097663966</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69.424633147325864</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633.17713749823895</v>
      </c>
      <c r="E302" s="2770" t="s">
        <v>205</v>
      </c>
      <c r="F302" s="2768" t="s">
        <v>205</v>
      </c>
      <c r="G302" s="3653">
        <f>IF(SUM(D302)=0,"NA",J302*1000/D302)</f>
        <v>109.64488298113726</v>
      </c>
      <c r="H302" s="2793" t="s">
        <v>221</v>
      </c>
      <c r="I302" s="2792" t="s">
        <v>221</v>
      </c>
      <c r="J302" s="3652">
        <f t="shared" ref="J302" si="7">IF(SUM(J306:J307)=0,"NO",SUM(J306:J307))</f>
        <v>69.424633147325864</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430.56238490427506</v>
      </c>
      <c r="E306" s="2770" t="s">
        <v>205</v>
      </c>
      <c r="F306" s="2768" t="s">
        <v>205</v>
      </c>
      <c r="G306" s="3653">
        <f>IF(SUM(D306)=0,"NA",J306*1000/D306)</f>
        <v>122.54280733942808</v>
      </c>
      <c r="H306" s="2795" t="s">
        <v>205</v>
      </c>
      <c r="I306" s="2773" t="s">
        <v>205</v>
      </c>
      <c r="J306" s="3662">
        <v>52.76232338092926</v>
      </c>
    </row>
    <row r="307" spans="2:10" ht="18" customHeight="1" outlineLevel="2" x14ac:dyDescent="0.2">
      <c r="B307" s="2862" t="s">
        <v>1554</v>
      </c>
      <c r="C307" s="2850" t="s">
        <v>1554</v>
      </c>
      <c r="D307" s="3650">
        <v>202.61475259396389</v>
      </c>
      <c r="E307" s="2770" t="s">
        <v>205</v>
      </c>
      <c r="F307" s="2768" t="s">
        <v>205</v>
      </c>
      <c r="G307" s="3653">
        <f>IF(SUM(D307)=0,"NA",J307*1000/D307)</f>
        <v>82.236409506604645</v>
      </c>
      <c r="H307" s="2795" t="s">
        <v>205</v>
      </c>
      <c r="I307" s="2773" t="s">
        <v>205</v>
      </c>
      <c r="J307" s="3662">
        <v>16.6623097663966</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1.071821374172794</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4.7881360038807177</v>
      </c>
      <c r="E327" s="2791" t="str">
        <f t="shared" ref="E327:J327" si="8">E331</f>
        <v>NA</v>
      </c>
      <c r="F327" s="2792" t="str">
        <f t="shared" si="8"/>
        <v>NA</v>
      </c>
      <c r="G327" s="3655">
        <f t="shared" si="8"/>
        <v>223.84940054002178</v>
      </c>
      <c r="H327" s="2793" t="str">
        <f t="shared" si="8"/>
        <v>IE</v>
      </c>
      <c r="I327" s="2792" t="str">
        <f t="shared" si="8"/>
        <v>NA</v>
      </c>
      <c r="J327" s="3652">
        <f t="shared" si="8"/>
        <v>1.071821374172794</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4.7881360038807177</v>
      </c>
      <c r="E331" s="2770" t="str">
        <f t="shared" si="9"/>
        <v>NA</v>
      </c>
      <c r="F331" s="2768" t="str">
        <f t="shared" si="9"/>
        <v>NA</v>
      </c>
      <c r="G331" s="3653">
        <f t="shared" si="9"/>
        <v>223.84940054002178</v>
      </c>
      <c r="H331" s="2780" t="str">
        <f t="shared" si="9"/>
        <v>IE</v>
      </c>
      <c r="I331" s="2773" t="str">
        <f t="shared" si="9"/>
        <v>NA</v>
      </c>
      <c r="J331" s="3662">
        <f t="shared" si="9"/>
        <v>1.071821374172794</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1.071821374172794</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4.7881360038807177</v>
      </c>
      <c r="E411" s="2791" t="str">
        <f t="shared" ref="E411:J411" si="10">E415</f>
        <v>NA</v>
      </c>
      <c r="F411" s="2792" t="str">
        <f t="shared" si="10"/>
        <v>NA</v>
      </c>
      <c r="G411" s="3655">
        <f t="shared" si="10"/>
        <v>223.84940054002178</v>
      </c>
      <c r="H411" s="2793" t="str">
        <f t="shared" si="10"/>
        <v>IE</v>
      </c>
      <c r="I411" s="2792" t="str">
        <f t="shared" si="10"/>
        <v>NA</v>
      </c>
      <c r="J411" s="3652">
        <f t="shared" si="10"/>
        <v>1.071821374172794</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4.7881360038807177</v>
      </c>
      <c r="E415" s="2770" t="str">
        <f>E427</f>
        <v>NA</v>
      </c>
      <c r="F415" s="2768" t="str">
        <f>F427</f>
        <v>NA</v>
      </c>
      <c r="G415" s="3653">
        <f t="shared" ref="G415:J415" si="11">G427</f>
        <v>223.84940054002178</v>
      </c>
      <c r="H415" s="2795" t="str">
        <f t="shared" si="11"/>
        <v>IE</v>
      </c>
      <c r="I415" s="2773" t="str">
        <f t="shared" si="11"/>
        <v>NA</v>
      </c>
      <c r="J415" s="3662">
        <f t="shared" si="11"/>
        <v>1.071821374172794</v>
      </c>
    </row>
    <row r="416" spans="2:10" ht="18" customHeight="1" outlineLevel="2" x14ac:dyDescent="0.2">
      <c r="B416" s="2857" t="s">
        <v>1564</v>
      </c>
      <c r="C416" s="2843"/>
      <c r="D416" s="3649"/>
      <c r="E416" s="2824"/>
      <c r="F416" s="2825"/>
      <c r="G416" s="3656"/>
      <c r="H416" s="2834" t="s">
        <v>221</v>
      </c>
      <c r="I416" s="2830" t="s">
        <v>221</v>
      </c>
      <c r="J416" s="3659">
        <f>J423</f>
        <v>1.071821374172794</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4.7881360038807177</v>
      </c>
      <c r="E423" s="2791" t="str">
        <f t="shared" ref="E423:J423" si="12">E427</f>
        <v>NA</v>
      </c>
      <c r="F423" s="2792" t="str">
        <f t="shared" si="12"/>
        <v>NA</v>
      </c>
      <c r="G423" s="3655">
        <f t="shared" si="12"/>
        <v>223.84940054002178</v>
      </c>
      <c r="H423" s="2793" t="str">
        <f t="shared" si="12"/>
        <v>IE</v>
      </c>
      <c r="I423" s="2792" t="str">
        <f t="shared" si="12"/>
        <v>NA</v>
      </c>
      <c r="J423" s="3652">
        <f t="shared" si="12"/>
        <v>1.071821374172794</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4.7881360038807177</v>
      </c>
      <c r="E427" s="2770" t="s">
        <v>205</v>
      </c>
      <c r="F427" s="2768" t="s">
        <v>205</v>
      </c>
      <c r="G427" s="3653">
        <f>IF(SUM(D427)=0,"NA",J427*1000/D427)</f>
        <v>223.84940054002178</v>
      </c>
      <c r="H427" s="4306" t="s">
        <v>274</v>
      </c>
      <c r="I427" s="2773" t="s">
        <v>205</v>
      </c>
      <c r="J427" s="3662">
        <v>1.071821374172794</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657120.87372812547</v>
      </c>
      <c r="D10" s="3577">
        <f>IF(SUM(D11,D20,D28,D37,D46,D55)=0,"NO",SUM(D11,D20,D28,D37,D46,D55))</f>
        <v>75944.612042344961</v>
      </c>
      <c r="E10" s="3592">
        <f t="shared" ref="E10:E12" si="0">IF(SUM(C10)=0,"NA",G10/C10*1000/(44/28))</f>
        <v>2.3334204438729368E-3</v>
      </c>
      <c r="F10" s="3593">
        <f t="shared" ref="F10:F11" si="1">IF(SUM(D10)=0,"NA",H10/D10*1000/(44/28))</f>
        <v>7.4999999999999971E-3</v>
      </c>
      <c r="G10" s="4464">
        <f>IF(SUM(G11,G20,G28,G37,G46,G55)=0,"NO",SUM(G11,G20,G28,G37,G46,G55))</f>
        <v>2.4095331556259145</v>
      </c>
      <c r="H10" s="4465">
        <f>IF(SUM(H11,H20,H28,H37,H46,H55)=0,"NO",SUM(H11,H20,H28,H37,H46,H55))</f>
        <v>0.89506149907049382</v>
      </c>
      <c r="I10" s="4466">
        <f t="shared" ref="I10:I11" si="2">IF(SUM(G10:H10)=0,"NO",SUM(G10:H10))</f>
        <v>3.3045946546964085</v>
      </c>
    </row>
    <row r="11" spans="2:10" ht="18" customHeight="1" x14ac:dyDescent="0.2">
      <c r="B11" s="2863" t="s">
        <v>1605</v>
      </c>
      <c r="C11" s="3578">
        <f>IF(SUM(C12:C13)=0,"NO",SUM(C12:C13))</f>
        <v>135881.96616698068</v>
      </c>
      <c r="D11" s="3579">
        <f>IF(SUM(D12:D13)=0,"NO",SUM(D12:D13))</f>
        <v>56811.376102454691</v>
      </c>
      <c r="E11" s="3594">
        <f t="shared" si="0"/>
        <v>6.9209969147298071E-3</v>
      </c>
      <c r="F11" s="3595">
        <f t="shared" si="1"/>
        <v>7.4999999999999989E-3</v>
      </c>
      <c r="G11" s="4467">
        <f>IF(SUM(G12:G13)=0,"NO",SUM(G12:G13))</f>
        <v>1.4778321935285752</v>
      </c>
      <c r="H11" s="4468">
        <f>IF(SUM(H12:H13)=0,"NO",SUM(H12:H13))</f>
        <v>0.66956264692178724</v>
      </c>
      <c r="I11" s="4469">
        <f t="shared" si="2"/>
        <v>2.1473948404503624</v>
      </c>
    </row>
    <row r="12" spans="2:10" ht="18" customHeight="1" x14ac:dyDescent="0.2">
      <c r="B12" s="917" t="s">
        <v>1606</v>
      </c>
      <c r="C12" s="3580">
        <f>Table4.A!E11</f>
        <v>124120.315649469</v>
      </c>
      <c r="D12" s="3581">
        <f>H12/F12*1000/(44/28)</f>
        <v>34360.204155599546</v>
      </c>
      <c r="E12" s="3596">
        <f t="shared" si="0"/>
        <v>4.2533180407050347E-3</v>
      </c>
      <c r="F12" s="3597">
        <v>7.4999999999999997E-3</v>
      </c>
      <c r="G12" s="4470">
        <v>0.82959356506697002</v>
      </c>
      <c r="H12" s="4471">
        <v>0.40495954897670883</v>
      </c>
      <c r="I12" s="4472">
        <f>IF(SUM(G12:H12)=0,"NO",SUM(G12:H12))</f>
        <v>1.234553114043679</v>
      </c>
    </row>
    <row r="13" spans="2:10" ht="18" customHeight="1" x14ac:dyDescent="0.2">
      <c r="B13" s="917" t="s">
        <v>1607</v>
      </c>
      <c r="C13" s="3582">
        <f>IF(SUM(C15:C19)=0,"NO",SUM(C15:C19))</f>
        <v>11761.65051751168</v>
      </c>
      <c r="D13" s="3583">
        <f>IF(SUM(D15:D19)=0,"NO",SUM(D15:D19))</f>
        <v>22451.171946855146</v>
      </c>
      <c r="E13" s="3599">
        <f>IF(SUM(C13)=0,"NA",G13/C13*1000/(44/28))</f>
        <v>3.5072925370892252E-2</v>
      </c>
      <c r="F13" s="3598">
        <f>IF(SUM(D13)=0,"NA",H13/D13*1000/(44/28))</f>
        <v>7.4999999999999997E-3</v>
      </c>
      <c r="G13" s="4473">
        <f>IF(SUM(G15:G19)=0,"NO",SUM(G15:G19))</f>
        <v>0.64823862846160529</v>
      </c>
      <c r="H13" s="4474">
        <f>IF(SUM(H15:H19)=0,"NO",SUM(H15:H19))</f>
        <v>0.26460309794507847</v>
      </c>
      <c r="I13" s="4472">
        <f>IF(SUM(G13:H13)=0,"NO",SUM(G13:H13))</f>
        <v>0.91284172640668371</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75.529494162720979</v>
      </c>
      <c r="D15" s="3581">
        <f>H15/F15*1000/(44/28)</f>
        <v>168.35475413404492</v>
      </c>
      <c r="E15" s="3599">
        <f>IF(SUM(C15)=0,"NA",G15/C15*1000/(44/28))</f>
        <v>4.8398000009860928E-2</v>
      </c>
      <c r="F15" s="3597">
        <v>7.4999999999999997E-3</v>
      </c>
      <c r="G15" s="4477">
        <v>5.7443201502219675E-3</v>
      </c>
      <c r="H15" s="4478">
        <v>1.9841810308655295E-3</v>
      </c>
      <c r="I15" s="4472">
        <f>IF(SUM(G15:H15)=0,"NO",SUM(G15:H15))</f>
        <v>7.728501181087497E-3</v>
      </c>
    </row>
    <row r="16" spans="2:10" ht="18" customHeight="1" x14ac:dyDescent="0.2">
      <c r="B16" s="518" t="s">
        <v>1609</v>
      </c>
      <c r="C16" s="3584">
        <f>Table4.A!E19</f>
        <v>11626.05612508253</v>
      </c>
      <c r="D16" s="3581">
        <f>H16/F16*1000/(44/28)</f>
        <v>22057.374486588247</v>
      </c>
      <c r="E16" s="3599">
        <f t="shared" ref="E16:E21" si="3">IF(SUM(C16)=0,"NA",G16/C16*1000/(44/28))</f>
        <v>3.4689276397103654E-2</v>
      </c>
      <c r="F16" s="3597">
        <v>7.4999999999999997E-3</v>
      </c>
      <c r="G16" s="4477">
        <v>0.63375631680621503</v>
      </c>
      <c r="H16" s="4478">
        <v>0.25996191359193288</v>
      </c>
      <c r="I16" s="4472">
        <f t="shared" ref="I16:I21" si="4">IF(SUM(G16:H16)=0,"NO",SUM(G16:H16))</f>
        <v>0.89371823039814791</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60.064898266427981</v>
      </c>
      <c r="D18" s="3581">
        <f>H18/F18*1000/(44/28)</f>
        <v>225.44270613285369</v>
      </c>
      <c r="E18" s="3599">
        <f t="shared" si="3"/>
        <v>9.2575534284246655E-2</v>
      </c>
      <c r="F18" s="3597">
        <v>7.4999999999999997E-3</v>
      </c>
      <c r="G18" s="4477">
        <v>8.7379915051683417E-3</v>
      </c>
      <c r="H18" s="4478">
        <v>2.6570033222800609E-3</v>
      </c>
      <c r="I18" s="4472">
        <f t="shared" si="4"/>
        <v>1.1394994827448404E-2</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2274.8763751082047</v>
      </c>
      <c r="D20" s="3589">
        <f>D21</f>
        <v>2923.4031135698392</v>
      </c>
      <c r="E20" s="3602">
        <f t="shared" si="3"/>
        <v>2.2370309171125032E-2</v>
      </c>
      <c r="F20" s="3603">
        <f t="shared" si="5"/>
        <v>7.4999999999999997E-3</v>
      </c>
      <c r="G20" s="4482">
        <f>G21</f>
        <v>7.9969509458549443E-2</v>
      </c>
      <c r="H20" s="4483">
        <f>H21</f>
        <v>3.4454393838501671E-2</v>
      </c>
      <c r="I20" s="4484">
        <f t="shared" si="4"/>
        <v>0.11442390329705111</v>
      </c>
    </row>
    <row r="21" spans="2:9" ht="18" customHeight="1" x14ac:dyDescent="0.2">
      <c r="B21" s="917" t="s">
        <v>1614</v>
      </c>
      <c r="C21" s="3582">
        <f>IF(SUM(C23:C27)=0,"NO",SUM(C23:C27))</f>
        <v>2274.8763751082047</v>
      </c>
      <c r="D21" s="3583">
        <f>IF(SUM(D23:D27)=0,"NO",SUM(D23:D27))</f>
        <v>2923.4031135698392</v>
      </c>
      <c r="E21" s="3599">
        <f t="shared" si="3"/>
        <v>2.2370309171125032E-2</v>
      </c>
      <c r="F21" s="3598">
        <f t="shared" si="5"/>
        <v>7.4999999999999997E-3</v>
      </c>
      <c r="G21" s="4473">
        <f>IF(SUM(G23:G27)=0,"NO",SUM(G23:G27))</f>
        <v>7.9969509458549443E-2</v>
      </c>
      <c r="H21" s="4474">
        <f>IF(SUM(H23:H27)=0,"NO",SUM(H23:H27))</f>
        <v>3.4454393838501671E-2</v>
      </c>
      <c r="I21" s="4472">
        <f t="shared" si="4"/>
        <v>0.11442390329705111</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2274.8763751082047</v>
      </c>
      <c r="D23" s="3581">
        <f>H23/F23*1000/(44/28)</f>
        <v>2923.4031135698392</v>
      </c>
      <c r="E23" s="3599">
        <f>IF(SUM(C23)=0,"NA",G23/C23*1000/(44/28))</f>
        <v>2.2370309171125032E-2</v>
      </c>
      <c r="F23" s="3597">
        <v>7.4999999999999997E-3</v>
      </c>
      <c r="G23" s="4477">
        <v>7.9969509458549443E-2</v>
      </c>
      <c r="H23" s="4478">
        <v>3.4454393838501671E-2</v>
      </c>
      <c r="I23" s="4472">
        <f>IF(SUM(G23:H23)=0,"NO",SUM(G23:H23))</f>
        <v>0.11442390329705111</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517446.19287756673</v>
      </c>
      <c r="D28" s="3579">
        <f>IF(SUM(D29:D30)=0,"NO",SUM(D29:D30))</f>
        <v>15838.05643890693</v>
      </c>
      <c r="E28" s="3594">
        <f t="shared" si="6"/>
        <v>1.0248993193225624E-3</v>
      </c>
      <c r="F28" s="3595">
        <f t="shared" si="7"/>
        <v>7.4999999999999997E-3</v>
      </c>
      <c r="G28" s="4467">
        <f>IF(SUM(G29:G30)=0,"NO",SUM(G29:G30))</f>
        <v>0.83337610850413779</v>
      </c>
      <c r="H28" s="4468">
        <f>IF(SUM(H29:H30)=0,"NO",SUM(H29:H30))</f>
        <v>0.18666280802997454</v>
      </c>
      <c r="I28" s="4484">
        <f t="shared" si="8"/>
        <v>1.0200389165341124</v>
      </c>
    </row>
    <row r="29" spans="2:9" ht="18" customHeight="1" x14ac:dyDescent="0.2">
      <c r="B29" s="917" t="s">
        <v>1621</v>
      </c>
      <c r="C29" s="3580">
        <f>Table4.C!E11</f>
        <v>504085.24033190002</v>
      </c>
      <c r="D29" s="3581">
        <f>H29/F29*1000/(44/28)</f>
        <v>9252.8989000710517</v>
      </c>
      <c r="E29" s="3596">
        <f t="shared" si="6"/>
        <v>5.4322012818920293E-4</v>
      </c>
      <c r="F29" s="3597">
        <v>7.4999999999999997E-3</v>
      </c>
      <c r="G29" s="4470">
        <v>0.43030310536931121</v>
      </c>
      <c r="H29" s="4471">
        <v>0.10905202275083739</v>
      </c>
      <c r="I29" s="4472">
        <f t="shared" si="8"/>
        <v>0.53935512812014863</v>
      </c>
    </row>
    <row r="30" spans="2:9" ht="18" customHeight="1" x14ac:dyDescent="0.2">
      <c r="B30" s="917" t="s">
        <v>1622</v>
      </c>
      <c r="C30" s="3582">
        <f>IF(SUM(C32:C36)=0,"NO",SUM(C32:C36))</f>
        <v>13360.952545666709</v>
      </c>
      <c r="D30" s="3583">
        <f>IF(SUM(D32:D36)=0,"NO",SUM(D32:D36))</f>
        <v>6585.1575388358788</v>
      </c>
      <c r="E30" s="3599">
        <f>IF(SUM(C30)=0,"NA",G30/C30*1000/(44/28))</f>
        <v>1.9197808024404621E-2</v>
      </c>
      <c r="F30" s="3598">
        <f>IF(SUM(D30)=0,"NA",H30/D30*1000/(44/28))</f>
        <v>7.4999999999999997E-3</v>
      </c>
      <c r="G30" s="4473">
        <f>IF(SUM(G32:G36)=0,"NO",SUM(G32:G36))</f>
        <v>0.40307300313482664</v>
      </c>
      <c r="H30" s="4474">
        <f>IF(SUM(H32:H36)=0,"NO",SUM(H32:H36))</f>
        <v>7.7610785279137132E-2</v>
      </c>
      <c r="I30" s="4472">
        <f t="shared" si="8"/>
        <v>0.48068378841396375</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13360.952545666709</v>
      </c>
      <c r="D32" s="3581">
        <f>H32/F32*1000/(44/28)</f>
        <v>6585.1575388358788</v>
      </c>
      <c r="E32" s="3599">
        <f>IF(SUM(C32)=0,"NA",G32/C32*1000/(44/28))</f>
        <v>1.9197808024404621E-2</v>
      </c>
      <c r="F32" s="3597">
        <v>7.4999999999999997E-3</v>
      </c>
      <c r="G32" s="4477">
        <v>0.40307300313482664</v>
      </c>
      <c r="H32" s="4478">
        <v>7.7610785279137132E-2</v>
      </c>
      <c r="I32" s="4472">
        <f t="shared" si="8"/>
        <v>0.48068378841396375</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1517.8383084698548</v>
      </c>
      <c r="D46" s="3579">
        <f>IF(SUM(D47:D48)=0,"NO",SUM(D47:D48))</f>
        <v>371.77638741349398</v>
      </c>
      <c r="E46" s="3594">
        <f t="shared" si="11"/>
        <v>7.6955980588001441E-3</v>
      </c>
      <c r="F46" s="3595">
        <f t="shared" si="12"/>
        <v>7.4999999999999997E-3</v>
      </c>
      <c r="G46" s="4467">
        <f>IF(SUM(G47:G48)=0,"NO",SUM(G47:G48))</f>
        <v>1.8355344134652028E-2</v>
      </c>
      <c r="H46" s="4468">
        <f>IF(SUM(H47:H48)=0,"NO",SUM(H47:H48))</f>
        <v>4.3816502802304638E-3</v>
      </c>
      <c r="I46" s="4469">
        <f t="shared" si="8"/>
        <v>2.2736994414882493E-2</v>
      </c>
    </row>
    <row r="47" spans="2:9" ht="18" customHeight="1" x14ac:dyDescent="0.2">
      <c r="B47" s="917" t="s">
        <v>1637</v>
      </c>
      <c r="C47" s="3580">
        <f>Table4.E!E11</f>
        <v>1098.3975228520001</v>
      </c>
      <c r="D47" s="3581">
        <f>H47/F47*1000/(44/28)</f>
        <v>2.8374054778169566</v>
      </c>
      <c r="E47" s="3596">
        <f t="shared" si="11"/>
        <v>3.6523185805809224E-5</v>
      </c>
      <c r="F47" s="3597">
        <v>7.4999999999999997E-3</v>
      </c>
      <c r="G47" s="4470">
        <v>6.3040963567629433E-5</v>
      </c>
      <c r="H47" s="4471">
        <v>3.3440850274271271E-5</v>
      </c>
      <c r="I47" s="4472">
        <f t="shared" si="8"/>
        <v>9.6481813841900704E-5</v>
      </c>
    </row>
    <row r="48" spans="2:9" ht="18" customHeight="1" x14ac:dyDescent="0.2">
      <c r="B48" s="917" t="s">
        <v>1638</v>
      </c>
      <c r="C48" s="3582">
        <f>IF(SUM(C50:C54)=0,"NO",SUM(C50:C54))</f>
        <v>419.44078561785483</v>
      </c>
      <c r="D48" s="3583">
        <f>IF(SUM(D50:D54)=0,"NO",SUM(D50:D54))</f>
        <v>368.93898193567702</v>
      </c>
      <c r="E48" s="3599">
        <f>IF(SUM(C48)=0,"NA",G48/C48*1000/(44/28))</f>
        <v>2.7752562370085897E-2</v>
      </c>
      <c r="F48" s="3598">
        <f>IF(SUM(D48)=0,"NA",H48/D48*1000/(44/28))</f>
        <v>7.4999999999999997E-3</v>
      </c>
      <c r="G48" s="4473">
        <f>IF(SUM(G50:G54)=0,"NO",SUM(G50:G54))</f>
        <v>1.8292303171084399E-2</v>
      </c>
      <c r="H48" s="4474">
        <f>IF(SUM(H50:H54)=0,"NO",SUM(H50:H54))</f>
        <v>4.3482094299561926E-3</v>
      </c>
      <c r="I48" s="4472">
        <f t="shared" si="8"/>
        <v>2.2640512601040594E-2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419.44078561785483</v>
      </c>
      <c r="D50" s="3581">
        <f>H50/F50*1000/(44/28)</f>
        <v>368.93898193567702</v>
      </c>
      <c r="E50" s="3599">
        <f>IF(SUM(C50)=0,"NA",G50/C50*1000/(44/28))</f>
        <v>2.7752562370085897E-2</v>
      </c>
      <c r="F50" s="3597">
        <v>7.4999999999999997E-3</v>
      </c>
      <c r="G50" s="4477">
        <v>1.8292303171084399E-2</v>
      </c>
      <c r="H50" s="4478">
        <v>4.3482094299561926E-3</v>
      </c>
      <c r="I50" s="4472">
        <f t="shared" si="8"/>
        <v>2.2640512601040594E-2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5334417.1820826326</v>
      </c>
      <c r="D10" s="3055" t="s">
        <v>97</v>
      </c>
      <c r="E10" s="615"/>
      <c r="F10" s="615"/>
      <c r="G10" s="615"/>
      <c r="H10" s="1938">
        <f>IF(SUM(H11:H15)=0,"NO",SUM(H11:H15))</f>
        <v>368323.72147592145</v>
      </c>
      <c r="I10" s="1938">
        <f t="shared" ref="I10:K10" si="0">IF(SUM(I11:I16)=0,"NO",SUM(I11:I16))</f>
        <v>78.343958829686557</v>
      </c>
      <c r="J10" s="1938">
        <f t="shared" si="0"/>
        <v>12.139203091385385</v>
      </c>
      <c r="K10" s="3064" t="str">
        <f t="shared" si="0"/>
        <v>NO</v>
      </c>
    </row>
    <row r="11" spans="2:11" ht="18" customHeight="1" x14ac:dyDescent="0.2">
      <c r="B11" s="282" t="s">
        <v>243</v>
      </c>
      <c r="C11" s="3065">
        <f>IF(SUM(C18,'Table1.A(a)s2'!C11,'Table1.A(a)s3'!C11,'Table1.A(a)s4'!C11,'Table1.A(a)s4'!C94)=0,"NO",SUM(C18,'Table1.A(a)s2'!C11,'Table1.A(a)s3'!C11,'Table1.A(a)s4'!C11,'Table1.A(a)s4'!C94))</f>
        <v>1969403.6483331015</v>
      </c>
      <c r="D11" s="3056" t="s">
        <v>244</v>
      </c>
      <c r="E11" s="1938">
        <f>IFERROR(H11*1000/$C11,"NA")</f>
        <v>68.272731005191474</v>
      </c>
      <c r="F11" s="1938">
        <f t="shared" ref="F11:G16" si="1">IFERROR(I11*1000000/$C11,"NA")</f>
        <v>9.2760814849190236</v>
      </c>
      <c r="G11" s="1938">
        <f t="shared" si="1"/>
        <v>3.6454144814882512</v>
      </c>
      <c r="H11" s="1938">
        <f>IF(SUM(H18,'Table1.A(a)s2'!H11,'Table1.A(a)s3'!H11,'Table1.A(a)s4'!H11,'Table1.A(a)s4'!H94)=0,"NO",SUM(H18,'Table1.A(a)s2'!H11,'Table1.A(a)s3'!H11,'Table1.A(a)s4'!H11,'Table1.A(a)s4'!H94))</f>
        <v>134456.56552328856</v>
      </c>
      <c r="I11" s="1938">
        <f>IF(SUM(I18,'Table1.A(a)s2'!I11,'Table1.A(a)s3'!I11,'Table1.A(a)s4'!I11,'Table1.A(a)s4'!I94)=0,"NO",SUM(I18,'Table1.A(a)s2'!I11,'Table1.A(a)s3'!I11,'Table1.A(a)s4'!I11,'Table1.A(a)s4'!I94))</f>
        <v>18.268348718634659</v>
      </c>
      <c r="J11" s="1938">
        <f>IF(SUM(J18,'Table1.A(a)s2'!J11,'Table1.A(a)s3'!J11,'Table1.A(a)s4'!J11,'Table1.A(a)s4'!J94)=0,"NO",SUM(J18,'Table1.A(a)s2'!J11,'Table1.A(a)s3'!J11,'Table1.A(a)s4'!J11,'Table1.A(a)s4'!J94))</f>
        <v>7.1792925795292835</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1869413.4561366979</v>
      </c>
      <c r="D12" s="3056" t="s">
        <v>97</v>
      </c>
      <c r="E12" s="1938">
        <f t="shared" ref="E12:E16" si="2">IFERROR(H12*1000/$C12,"NA")</f>
        <v>89.896649562564988</v>
      </c>
      <c r="F12" s="1938">
        <f t="shared" si="1"/>
        <v>0.68184223556188839</v>
      </c>
      <c r="G12" s="1938">
        <f t="shared" si="1"/>
        <v>1.4587240664255996</v>
      </c>
      <c r="H12" s="1938">
        <f>IF(SUM(H19,'Table1.A(a)s2'!H12,'Table1.A(a)s3'!H12,'Table1.A(a)s4'!H12,'Table1.A(a)s4'!H95)=0,"NO",SUM(H19,'Table1.A(a)s2'!H12,'Table1.A(a)s3'!H12,'Table1.A(a)s4'!H12,'Table1.A(a)s4'!H95))</f>
        <v>168054.00635386418</v>
      </c>
      <c r="I12" s="1938">
        <f>IF(SUM(I19,'Table1.A(a)s2'!I12,'Table1.A(a)s3'!I12,'Table1.A(a)s4'!I12,'Table1.A(a)s4'!I95)=0,"NO",SUM(I19,'Table1.A(a)s2'!I12,'Table1.A(a)s3'!I12,'Table1.A(a)s4'!I12,'Table1.A(a)s4'!I95))</f>
        <v>1.2746450501217224</v>
      </c>
      <c r="J12" s="1938">
        <f>IF(SUM(J19,'Table1.A(a)s2'!J12,'Table1.A(a)s3'!J12,'Table1.A(a)s4'!J12,'Table1.A(a)s4'!J95)=0,"NO",SUM(J19,'Table1.A(a)s2'!J12,'Table1.A(a)s3'!J12,'Table1.A(a)s4'!J12,'Table1.A(a)s4'!J95))</f>
        <v>2.7269583985664583</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1285723.9762385814</v>
      </c>
      <c r="D13" s="3056" t="s">
        <v>244</v>
      </c>
      <c r="E13" s="1938">
        <f t="shared" si="2"/>
        <v>51.18592662722682</v>
      </c>
      <c r="F13" s="1938">
        <f t="shared" si="1"/>
        <v>13.100680735803527</v>
      </c>
      <c r="G13" s="1938">
        <f t="shared" si="1"/>
        <v>0.98794524429237751</v>
      </c>
      <c r="H13" s="1938">
        <f>IF(SUM(H20,'Table1.A(a)s2'!H13,'Table1.A(a)s3'!H13,'Table1.A(a)s4'!H13,'Table1.A(a)s4'!H96)=0,"NO",SUM(H20,'Table1.A(a)s2'!H13,'Table1.A(a)s3'!H13,'Table1.A(a)s4'!H13,'Table1.A(a)s4'!H96))</f>
        <v>65810.973110614344</v>
      </c>
      <c r="I13" s="1938">
        <f>IF(SUM(I20,'Table1.A(a)s2'!I13,'Table1.A(a)s3'!I13,'Table1.A(a)s4'!I13,'Table1.A(a)s4'!I96)=0,"NO",SUM(I20,'Table1.A(a)s2'!I13,'Table1.A(a)s3'!I13,'Table1.A(a)s4'!I13,'Table1.A(a)s4'!I96))</f>
        <v>16.843859327069495</v>
      </c>
      <c r="J13" s="1938">
        <f>IF(SUM(J20,'Table1.A(a)s2'!J13,'Table1.A(a)s3'!J13,'Table1.A(a)s4'!J13,'Table1.A(a)s4'!J96)=0,"NO",SUM(J20,'Table1.A(a)s2'!J13,'Table1.A(a)s3'!J13,'Table1.A(a)s4'!J13,'Table1.A(a)s4'!J96))</f>
        <v>1.2702248877975921</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426.35302567253433</v>
      </c>
      <c r="D14" s="3056" t="s">
        <v>244</v>
      </c>
      <c r="E14" s="1938">
        <f t="shared" si="2"/>
        <v>5.1048967012572577</v>
      </c>
      <c r="F14" s="1938">
        <f t="shared" si="1"/>
        <v>0.98862017841271499</v>
      </c>
      <c r="G14" s="1938">
        <f t="shared" si="1"/>
        <v>0.4082975113497605</v>
      </c>
      <c r="H14" s="1938">
        <f>IF(SUM(H21,'Table1.A(a)s2'!H14,'Table1.A(a)s3'!H14,'Table1.A(a)s4'!H14,'Table1.A(a)s4'!H97)=0,"NO",SUM(H21,'Table1.A(a)s2'!H14,'Table1.A(a)s3'!H14,'Table1.A(a)s4'!H14,'Table1.A(a)s4'!H97))</f>
        <v>2.1764881543267718</v>
      </c>
      <c r="I14" s="1938">
        <f>IF(SUM(I21,'Table1.A(a)s2'!I14,'Table1.A(a)s3'!I14,'Table1.A(a)s4'!I14,'Table1.A(a)s4'!I97)=0,"NO",SUM(I21,'Table1.A(a)s2'!I14,'Table1.A(a)s3'!I14,'Table1.A(a)s4'!I14,'Table1.A(a)s4'!I97))</f>
        <v>4.2150120430718176E-4</v>
      </c>
      <c r="J14" s="1938">
        <f>IF(SUM(J21,'Table1.A(a)s2'!J14,'Table1.A(a)s3'!J14,'Table1.A(a)s4'!J14,'Table1.A(a)s4'!J97)=0,"NO",SUM(J21,'Table1.A(a)s2'!J14,'Table1.A(a)s3'!J14,'Table1.A(a)s4'!J14,'Table1.A(a)s4'!J97))</f>
        <v>1.7407887933853632E-4</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209449.74834857843</v>
      </c>
      <c r="D16" s="3058" t="s">
        <v>244</v>
      </c>
      <c r="E16" s="2891">
        <f t="shared" si="2"/>
        <v>86.129486714730476</v>
      </c>
      <c r="F16" s="1938">
        <f t="shared" si="1"/>
        <v>200.31861849186672</v>
      </c>
      <c r="G16" s="1938">
        <f t="shared" si="1"/>
        <v>4.5956280883697973</v>
      </c>
      <c r="H16" s="2891">
        <f>IF(SUM(H23,'Table1.A(a)s2'!H16,'Table1.A(a)s3'!H15,'Table1.A(a)s4'!H16,'Table1.A(a)s4'!H99)=0,"NO",SUM(H23,'Table1.A(a)s2'!H16,'Table1.A(a)s3'!H15,'Table1.A(a)s4'!H16,'Table1.A(a)s4'!H99))</f>
        <v>18039.799317792527</v>
      </c>
      <c r="I16" s="2891">
        <f>IF(SUM(I23,'Table1.A(a)s2'!I16,'Table1.A(a)s3'!I15,'Table1.A(a)s4'!I16,'Table1.A(a)s4'!I99)=0,"NO",SUM(I23,'Table1.A(a)s2'!I16,'Table1.A(a)s3'!I15,'Table1.A(a)s4'!I16,'Table1.A(a)s4'!I99))</f>
        <v>41.956684232656372</v>
      </c>
      <c r="J16" s="2891">
        <f>IF(SUM(J23,'Table1.A(a)s2'!J16,'Table1.A(a)s3'!J15,'Table1.A(a)s4'!J16,'Table1.A(a)s4'!J99)=0,"NO",SUM(J23,'Table1.A(a)s2'!J16,'Table1.A(a)s3'!J15,'Table1.A(a)s4'!J16,'Table1.A(a)s4'!J99))</f>
        <v>0.96255314661271263</v>
      </c>
      <c r="K16" s="3045" t="str">
        <f>IF(SUM(K23,'Table1.A(a)s2'!K16,'Table1.A(a)s3'!K15,'Table1.A(a)s4'!K16,'Table1.A(a)s4'!K99)=0,"NO",SUM(K23,'Table1.A(a)s2'!K16,'Table1.A(a)s3'!K15,'Table1.A(a)s4'!K16,'Table1.A(a)s4'!K99))</f>
        <v>NO</v>
      </c>
    </row>
    <row r="17" spans="2:12" ht="18" customHeight="1" x14ac:dyDescent="0.2">
      <c r="B17" s="2209" t="s">
        <v>175</v>
      </c>
      <c r="C17" s="3046">
        <f>IF(SUM(C18:C23)=0,"NO",SUM(C18:C23))</f>
        <v>2722865.0973947677</v>
      </c>
      <c r="D17" s="3059" t="s">
        <v>97</v>
      </c>
      <c r="E17" s="3060"/>
      <c r="F17" s="3060"/>
      <c r="G17" s="3060"/>
      <c r="H17" s="3046">
        <f>IF(SUM(H18:H22)=0,"NO",SUM(H18:H22))</f>
        <v>209738.86269675242</v>
      </c>
      <c r="I17" s="3046">
        <f t="shared" ref="I17" si="3">IF(SUM(I18:I23)=0,"NO",SUM(I18:I23))</f>
        <v>20.611341705573658</v>
      </c>
      <c r="J17" s="3046">
        <f t="shared" ref="J17" si="4">IF(SUM(J18:J23)=0,"NO",SUM(J18:J23))</f>
        <v>4.0909877996657462</v>
      </c>
      <c r="K17" s="3047" t="str">
        <f t="shared" ref="K17" si="5">IF(SUM(K18:K23)=0,"NO",SUM(K18:K23))</f>
        <v>NO</v>
      </c>
    </row>
    <row r="18" spans="2:12" ht="18" customHeight="1" x14ac:dyDescent="0.2">
      <c r="B18" s="282" t="s">
        <v>243</v>
      </c>
      <c r="C18" s="3065">
        <f>IF(SUM(C25,C54,C61)=0,"NO",SUM(C25,C54,C61))</f>
        <v>219166.89264573163</v>
      </c>
      <c r="D18" s="3056" t="s">
        <v>97</v>
      </c>
      <c r="E18" s="1938">
        <f>IFERROR(H18*1000/$C18,"NA")</f>
        <v>66.812924370186863</v>
      </c>
      <c r="F18" s="1938">
        <f t="shared" ref="F18:G23" si="6">IFERROR(I18*1000000/$C18,"NA")</f>
        <v>2.7021983959034808</v>
      </c>
      <c r="G18" s="1938">
        <f t="shared" si="6"/>
        <v>1.8581507923962823</v>
      </c>
      <c r="H18" s="3065">
        <f>IF(SUM(H25,H54,H61)=0,"NO",SUM(H25,H54,H61))</f>
        <v>14643.181022788131</v>
      </c>
      <c r="I18" s="3065">
        <f>IF(SUM(I25,I54,I61)=0,"NO",SUM(I25,I54,I61))</f>
        <v>0.59223242574244628</v>
      </c>
      <c r="J18" s="3065">
        <f>IF(SUM(J25,J54,J61)=0,"NO",SUM(J25,J54,J61))</f>
        <v>0.40724513523669714</v>
      </c>
      <c r="K18" s="3048" t="str">
        <f>IF(SUM(K25,K54,K61)=0,"NO",SUM(K25,K54,K61))</f>
        <v>NO</v>
      </c>
      <c r="L18" s="19"/>
    </row>
    <row r="19" spans="2:12" ht="18" customHeight="1" x14ac:dyDescent="0.2">
      <c r="B19" s="282" t="s">
        <v>245</v>
      </c>
      <c r="C19" s="3065">
        <f t="shared" ref="C19:C23" si="7">IF(SUM(C26,C55,C62)=0,"NO",SUM(C26,C55,C62))</f>
        <v>1754337.5749060439</v>
      </c>
      <c r="D19" s="3056" t="s">
        <v>97</v>
      </c>
      <c r="E19" s="1938">
        <f t="shared" ref="E19:E23" si="8">IFERROR(H19*1000/$C19,"NA")</f>
        <v>90.410139618106584</v>
      </c>
      <c r="F19" s="1938">
        <f t="shared" si="6"/>
        <v>0.66431769519917772</v>
      </c>
      <c r="G19" s="1938">
        <f t="shared" si="6"/>
        <v>1.5082974756501173</v>
      </c>
      <c r="H19" s="3065">
        <f t="shared" ref="H19:K23" si="9">IF(SUM(H26,H55,H62)=0,"NO",SUM(H26,H55,H62))</f>
        <v>158609.90508454593</v>
      </c>
      <c r="I19" s="3065">
        <f t="shared" si="9"/>
        <v>1.165437494362898</v>
      </c>
      <c r="J19" s="3065">
        <f t="shared" si="9"/>
        <v>2.6460629356689345</v>
      </c>
      <c r="K19" s="3048" t="str">
        <f t="shared" si="9"/>
        <v>NO</v>
      </c>
      <c r="L19" s="19"/>
    </row>
    <row r="20" spans="2:12" ht="18" customHeight="1" x14ac:dyDescent="0.2">
      <c r="B20" s="282" t="s">
        <v>246</v>
      </c>
      <c r="C20" s="3065">
        <f t="shared" si="7"/>
        <v>715326.8058120925</v>
      </c>
      <c r="D20" s="3056" t="s">
        <v>97</v>
      </c>
      <c r="E20" s="1938">
        <f t="shared" si="8"/>
        <v>51.004383289346421</v>
      </c>
      <c r="F20" s="1938">
        <f t="shared" si="6"/>
        <v>22.199986469520088</v>
      </c>
      <c r="G20" s="1938">
        <f t="shared" si="6"/>
        <v>1.2389245368421309</v>
      </c>
      <c r="H20" s="3065">
        <f t="shared" si="9"/>
        <v>36484.802580783842</v>
      </c>
      <c r="I20" s="3065">
        <f t="shared" si="9"/>
        <v>15.880245410313478</v>
      </c>
      <c r="J20" s="3065">
        <f t="shared" si="9"/>
        <v>0.8862359315815076</v>
      </c>
      <c r="K20" s="3048" t="str">
        <f t="shared" si="9"/>
        <v>NO</v>
      </c>
      <c r="L20" s="19"/>
    </row>
    <row r="21" spans="2:12" ht="18" customHeight="1" x14ac:dyDescent="0.2">
      <c r="B21" s="282" t="s">
        <v>247</v>
      </c>
      <c r="C21" s="3065">
        <f t="shared" si="7"/>
        <v>409.94812089999994</v>
      </c>
      <c r="D21" s="3056" t="s">
        <v>97</v>
      </c>
      <c r="E21" s="1938">
        <f t="shared" si="8"/>
        <v>2.3759314528913116</v>
      </c>
      <c r="F21" s="1938">
        <f t="shared" si="6"/>
        <v>1.0281818181818181</v>
      </c>
      <c r="G21" s="1938">
        <f t="shared" si="6"/>
        <v>0.42463636363636359</v>
      </c>
      <c r="H21" s="3065">
        <f t="shared" si="9"/>
        <v>0.97400863449999986</v>
      </c>
      <c r="I21" s="3065">
        <f t="shared" si="9"/>
        <v>4.2150120430718176E-4</v>
      </c>
      <c r="J21" s="3065">
        <f t="shared" si="9"/>
        <v>1.7407887933853632E-4</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33623.875910000002</v>
      </c>
      <c r="D23" s="3056" t="s">
        <v>97</v>
      </c>
      <c r="E23" s="1938">
        <f t="shared" si="8"/>
        <v>77.426707445954818</v>
      </c>
      <c r="F23" s="1938">
        <f t="shared" si="6"/>
        <v>88.419457706431047</v>
      </c>
      <c r="G23" s="1938">
        <f t="shared" si="6"/>
        <v>4.4988780800930712</v>
      </c>
      <c r="H23" s="3065">
        <f t="shared" si="9"/>
        <v>2603.3860032826578</v>
      </c>
      <c r="I23" s="3065">
        <f t="shared" si="9"/>
        <v>2.9730048739505306</v>
      </c>
      <c r="J23" s="3065">
        <f t="shared" si="9"/>
        <v>0.1512697182992685</v>
      </c>
      <c r="K23" s="3048" t="str">
        <f t="shared" si="9"/>
        <v>NO</v>
      </c>
      <c r="L23" s="19"/>
    </row>
    <row r="24" spans="2:12" ht="18" customHeight="1" x14ac:dyDescent="0.2">
      <c r="B24" s="1236" t="s">
        <v>250</v>
      </c>
      <c r="C24" s="3065">
        <f>IF(SUM(C25:C30)=0,"NO",SUM(C25:C30))</f>
        <v>2319318.0132342619</v>
      </c>
      <c r="D24" s="3056" t="s">
        <v>97</v>
      </c>
      <c r="E24" s="615"/>
      <c r="F24" s="615"/>
      <c r="G24" s="615"/>
      <c r="H24" s="3065">
        <f>IF(SUM(H25:H29)=0,"NO",SUM(H25:H29))</f>
        <v>185720.37339608718</v>
      </c>
      <c r="I24" s="3065">
        <f t="shared" ref="I24" si="10">IF(SUM(I25:I30)=0,"NO",SUM(I25:I30))</f>
        <v>11.346369582272931</v>
      </c>
      <c r="J24" s="3065">
        <f t="shared" ref="J24" si="11">IF(SUM(J25:J30)=0,"NO",SUM(J25:J30))</f>
        <v>3.5049616872086213</v>
      </c>
      <c r="K24" s="3048" t="str">
        <f t="shared" ref="K24" si="12">IF(SUM(K25:K30)=0,"NO",SUM(K25:K30))</f>
        <v>NO</v>
      </c>
      <c r="L24" s="19"/>
    </row>
    <row r="25" spans="2:12" ht="18" customHeight="1" x14ac:dyDescent="0.2">
      <c r="B25" s="160" t="s">
        <v>243</v>
      </c>
      <c r="C25" s="3053">
        <f>IF(SUM(C33,C40,C47)=0,"NO",SUM(C33,C40,C47))</f>
        <v>37990.756896134488</v>
      </c>
      <c r="D25" s="3061" t="s">
        <v>97</v>
      </c>
      <c r="E25" s="3065">
        <f>IFERROR(H25*1000/$C25,"NA")</f>
        <v>69.24501406771914</v>
      </c>
      <c r="F25" s="1938">
        <f t="shared" ref="F25:G30" si="13">IFERROR(I25*1000000/$C25,"NA")</f>
        <v>3.4923500056286856</v>
      </c>
      <c r="G25" s="1938">
        <f t="shared" si="13"/>
        <v>0.37468983303903602</v>
      </c>
      <c r="H25" s="3065">
        <f>IF(SUM(H33,H40,H47)=0,"NO",SUM(H33,H40,H47))</f>
        <v>2630.6704957161305</v>
      </c>
      <c r="I25" s="3065">
        <f>IF(SUM(I33,I40,I47)=0,"NO",SUM(I33,I40,I47))</f>
        <v>0.1326770200600533</v>
      </c>
      <c r="J25" s="3065">
        <f>IF(SUM(J33,J40,J47)=0,"NO",SUM(J33,J40,J47))</f>
        <v>1.4234750358439237E-2</v>
      </c>
      <c r="K25" s="3048" t="str">
        <f>IF(SUM(K33,K40,K47)=0,"NO",SUM(K33,K40,K47))</f>
        <v>NO</v>
      </c>
      <c r="L25" s="19"/>
    </row>
    <row r="26" spans="2:12" ht="18" customHeight="1" x14ac:dyDescent="0.2">
      <c r="B26" s="160" t="s">
        <v>245</v>
      </c>
      <c r="C26" s="3065">
        <f t="shared" ref="C26:C30" si="14">IF(SUM(C34,C41,C48)=0,"NO",SUM(C34,C41,C48))</f>
        <v>1732620.2720712463</v>
      </c>
      <c r="D26" s="3061" t="s">
        <v>97</v>
      </c>
      <c r="E26" s="3065">
        <f t="shared" ref="E26:E30" si="15">IFERROR(H26*1000/$C26,"NA")</f>
        <v>90.483742393220908</v>
      </c>
      <c r="F26" s="1938">
        <f t="shared" si="13"/>
        <v>0.66060458383892162</v>
      </c>
      <c r="G26" s="1938">
        <f t="shared" si="13"/>
        <v>1.5173431456179718</v>
      </c>
      <c r="H26" s="3065">
        <f t="shared" ref="H26:K30" si="16">IF(SUM(H34,H41,H48)=0,"NO",SUM(H34,H41,H48))</f>
        <v>156773.96636336696</v>
      </c>
      <c r="I26" s="3065">
        <f t="shared" si="16"/>
        <v>1.1445768937825049</v>
      </c>
      <c r="J26" s="3065">
        <f t="shared" si="16"/>
        <v>2.6289794937860509</v>
      </c>
      <c r="K26" s="3048" t="str">
        <f t="shared" si="16"/>
        <v>NO</v>
      </c>
      <c r="L26" s="19"/>
    </row>
    <row r="27" spans="2:12" ht="18" customHeight="1" x14ac:dyDescent="0.2">
      <c r="B27" s="160" t="s">
        <v>246</v>
      </c>
      <c r="C27" s="3065">
        <f t="shared" si="14"/>
        <v>516787.37235688104</v>
      </c>
      <c r="D27" s="3061" t="s">
        <v>97</v>
      </c>
      <c r="E27" s="3065">
        <f t="shared" si="15"/>
        <v>50.92178707267459</v>
      </c>
      <c r="F27" s="1938">
        <f t="shared" si="13"/>
        <v>13.743064101637424</v>
      </c>
      <c r="G27" s="1938">
        <f t="shared" si="13"/>
        <v>1.3866300677018373</v>
      </c>
      <c r="H27" s="3065">
        <f t="shared" si="16"/>
        <v>26315.736537004093</v>
      </c>
      <c r="I27" s="3065">
        <f t="shared" si="16"/>
        <v>7.1022419852173844</v>
      </c>
      <c r="J27" s="3065">
        <f t="shared" si="16"/>
        <v>0.71659290911867657</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31919.61191</v>
      </c>
      <c r="D30" s="3061" t="s">
        <v>97</v>
      </c>
      <c r="E30" s="3065">
        <f t="shared" si="15"/>
        <v>77.924166363120122</v>
      </c>
      <c r="F30" s="1938">
        <f t="shared" si="13"/>
        <v>92.948300611496606</v>
      </c>
      <c r="G30" s="1938">
        <f t="shared" si="13"/>
        <v>4.5475030947973245</v>
      </c>
      <c r="H30" s="3065">
        <f t="shared" si="16"/>
        <v>2487.3091487210704</v>
      </c>
      <c r="I30" s="3065">
        <f t="shared" si="16"/>
        <v>2.9668736832129872</v>
      </c>
      <c r="J30" s="3065">
        <f t="shared" si="16"/>
        <v>0.14515453394545455</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2319318.0132342619</v>
      </c>
      <c r="D32" s="3056" t="s">
        <v>97</v>
      </c>
      <c r="E32" s="1939"/>
      <c r="F32" s="1939"/>
      <c r="G32" s="1939"/>
      <c r="H32" s="3065">
        <f>IF(SUM(H33:H37)=0,"NO",SUM(H33:H37))</f>
        <v>185720.37339608718</v>
      </c>
      <c r="I32" s="3065">
        <f t="shared" ref="I32" si="17">IF(SUM(I33:I38)=0,"NO",SUM(I33:I38))</f>
        <v>11.346369582272931</v>
      </c>
      <c r="J32" s="3065">
        <f t="shared" ref="J32" si="18">IF(SUM(J33:J38)=0,"NO",SUM(J33:J38))</f>
        <v>3.5049616872086213</v>
      </c>
      <c r="K32" s="3048" t="str">
        <f t="shared" ref="K32" si="19">IF(SUM(K33:K38)=0,"NO",SUM(K33:K38))</f>
        <v>NO</v>
      </c>
      <c r="L32" s="19"/>
    </row>
    <row r="33" spans="2:12" ht="18" customHeight="1" x14ac:dyDescent="0.2">
      <c r="B33" s="160" t="s">
        <v>243</v>
      </c>
      <c r="C33" s="3014">
        <v>37990.756896134488</v>
      </c>
      <c r="D33" s="3056" t="s">
        <v>97</v>
      </c>
      <c r="E33" s="1938">
        <f>IFERROR(H33*1000/$C33,"NA")</f>
        <v>69.24501406771914</v>
      </c>
      <c r="F33" s="1938">
        <f t="shared" ref="F33:G38" si="20">IFERROR(I33*1000000/$C33,"NA")</f>
        <v>3.4923500056286856</v>
      </c>
      <c r="G33" s="1938">
        <f t="shared" si="20"/>
        <v>0.37468983303903602</v>
      </c>
      <c r="H33" s="3014">
        <v>2630.6704957161305</v>
      </c>
      <c r="I33" s="3014">
        <v>0.1326770200600533</v>
      </c>
      <c r="J33" s="3014">
        <v>1.4234750358439237E-2</v>
      </c>
      <c r="K33" s="3051" t="s">
        <v>199</v>
      </c>
      <c r="L33" s="19"/>
    </row>
    <row r="34" spans="2:12" ht="18" customHeight="1" x14ac:dyDescent="0.2">
      <c r="B34" s="160" t="s">
        <v>245</v>
      </c>
      <c r="C34" s="3014">
        <v>1732620.2720712463</v>
      </c>
      <c r="D34" s="3056" t="s">
        <v>97</v>
      </c>
      <c r="E34" s="1938">
        <f t="shared" ref="E34:E38" si="21">IFERROR(H34*1000/$C34,"NA")</f>
        <v>90.483742393220908</v>
      </c>
      <c r="F34" s="1938">
        <f t="shared" si="20"/>
        <v>0.66060458383892162</v>
      </c>
      <c r="G34" s="1938">
        <f t="shared" si="20"/>
        <v>1.5173431456179718</v>
      </c>
      <c r="H34" s="3014">
        <v>156773.96636336696</v>
      </c>
      <c r="I34" s="3014">
        <v>1.1445768937825049</v>
      </c>
      <c r="J34" s="3014">
        <v>2.6289794937860509</v>
      </c>
      <c r="K34" s="3051" t="s">
        <v>199</v>
      </c>
      <c r="L34" s="19"/>
    </row>
    <row r="35" spans="2:12" ht="18" customHeight="1" x14ac:dyDescent="0.2">
      <c r="B35" s="160" t="s">
        <v>246</v>
      </c>
      <c r="C35" s="3014">
        <v>516787.37235688104</v>
      </c>
      <c r="D35" s="3056" t="s">
        <v>97</v>
      </c>
      <c r="E35" s="1938">
        <f t="shared" si="21"/>
        <v>50.92178707267459</v>
      </c>
      <c r="F35" s="1938">
        <f t="shared" si="20"/>
        <v>13.743064101637424</v>
      </c>
      <c r="G35" s="1938">
        <f t="shared" si="20"/>
        <v>1.3866300677018373</v>
      </c>
      <c r="H35" s="3014">
        <v>26315.736537004093</v>
      </c>
      <c r="I35" s="3014">
        <v>7.1022419852173844</v>
      </c>
      <c r="J35" s="3014">
        <v>0.71659290911867657</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31919.61191</v>
      </c>
      <c r="D38" s="3056" t="s">
        <v>97</v>
      </c>
      <c r="E38" s="1938">
        <f t="shared" si="21"/>
        <v>77.924166363120122</v>
      </c>
      <c r="F38" s="1938">
        <f t="shared" si="20"/>
        <v>92.948300611496606</v>
      </c>
      <c r="G38" s="1938">
        <f t="shared" si="20"/>
        <v>4.5475030947973245</v>
      </c>
      <c r="H38" s="3014">
        <v>2487.3091487210704</v>
      </c>
      <c r="I38" s="3014">
        <v>2.9668736832129872</v>
      </c>
      <c r="J38" s="3014">
        <v>0.14515453394545455</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83587.362483645571</v>
      </c>
      <c r="D53" s="3056" t="s">
        <v>97</v>
      </c>
      <c r="E53" s="615"/>
      <c r="F53" s="615"/>
      <c r="G53" s="615"/>
      <c r="H53" s="3065">
        <f>IF(SUM(H54:H58)=0,"NO",SUM(H54:H58))</f>
        <v>4899.3949908550039</v>
      </c>
      <c r="I53" s="3065">
        <f t="shared" ref="I53:K53" si="28">IF(SUM(I54:I59)=0,"NO",SUM(I54:I59))</f>
        <v>8.0905061164125811E-2</v>
      </c>
      <c r="J53" s="3065">
        <f t="shared" si="28"/>
        <v>1.2931779777632593E-2</v>
      </c>
      <c r="K53" s="3048" t="str">
        <f t="shared" si="28"/>
        <v>NO</v>
      </c>
      <c r="L53" s="19"/>
    </row>
    <row r="54" spans="2:12" ht="18" customHeight="1" x14ac:dyDescent="0.2">
      <c r="B54" s="160" t="s">
        <v>243</v>
      </c>
      <c r="C54" s="3014">
        <v>69434.833093151043</v>
      </c>
      <c r="D54" s="3056" t="s">
        <v>97</v>
      </c>
      <c r="E54" s="1938">
        <f>IFERROR(H54*1000/$C54,"NA")</f>
        <v>60.922096646879844</v>
      </c>
      <c r="F54" s="1938">
        <f t="shared" ref="F54:G59" si="29">IFERROR(I54*1000000/$C54,"NA")</f>
        <v>0.95562536565066725</v>
      </c>
      <c r="G54" s="1938">
        <f t="shared" si="29"/>
        <v>9.9692054443478145E-2</v>
      </c>
      <c r="H54" s="3014">
        <v>4230.1156123609189</v>
      </c>
      <c r="I54" s="3014">
        <v>6.6353687763535521E-2</v>
      </c>
      <c r="J54" s="3014">
        <v>6.9221011609962319E-3</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13742.581269594533</v>
      </c>
      <c r="D56" s="3056" t="s">
        <v>97</v>
      </c>
      <c r="E56" s="1938">
        <f t="shared" si="30"/>
        <v>48.630265068048814</v>
      </c>
      <c r="F56" s="1938">
        <f t="shared" si="29"/>
        <v>1.0281818181818181</v>
      </c>
      <c r="G56" s="1938">
        <f t="shared" si="29"/>
        <v>0.42463636363636359</v>
      </c>
      <c r="H56" s="3014">
        <v>668.30536985958497</v>
      </c>
      <c r="I56" s="3014">
        <v>1.4129872196283106E-2</v>
      </c>
      <c r="J56" s="3014">
        <v>5.8355997372978238E-3</v>
      </c>
      <c r="K56" s="3051" t="s">
        <v>199</v>
      </c>
    </row>
    <row r="57" spans="2:12" ht="18" customHeight="1" x14ac:dyDescent="0.2">
      <c r="B57" s="282" t="s">
        <v>247</v>
      </c>
      <c r="C57" s="3014">
        <v>409.94812089999994</v>
      </c>
      <c r="D57" s="3056" t="s">
        <v>97</v>
      </c>
      <c r="E57" s="1938">
        <f t="shared" si="30"/>
        <v>2.3759314528913116</v>
      </c>
      <c r="F57" s="1938">
        <f t="shared" si="29"/>
        <v>1.0281818181818181</v>
      </c>
      <c r="G57" s="1938">
        <f t="shared" si="29"/>
        <v>0.42463636363636359</v>
      </c>
      <c r="H57" s="3014">
        <v>0.97400863449999986</v>
      </c>
      <c r="I57" s="3014">
        <v>4.2150120430718176E-4</v>
      </c>
      <c r="J57" s="3014">
        <v>1.7407887933853632E-4</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319959.7216768607</v>
      </c>
      <c r="D60" s="3056" t="s">
        <v>97</v>
      </c>
      <c r="E60" s="615"/>
      <c r="F60" s="615"/>
      <c r="G60" s="615"/>
      <c r="H60" s="3065">
        <f>IF(SUM(H61:H65)=0,"NO",SUM(H61:H65))</f>
        <v>19119.094309810222</v>
      </c>
      <c r="I60" s="3065">
        <f t="shared" ref="I60:K60" si="31">IF(SUM(I61:I66)=0,"NO",SUM(I61:I66))</f>
        <v>9.1840670621366041</v>
      </c>
      <c r="J60" s="3065">
        <f t="shared" si="31"/>
        <v>0.57309433267949228</v>
      </c>
      <c r="K60" s="3048" t="str">
        <f t="shared" si="31"/>
        <v>NO</v>
      </c>
      <c r="L60" s="19"/>
    </row>
    <row r="61" spans="2:12" ht="18" customHeight="1" x14ac:dyDescent="0.2">
      <c r="B61" s="160" t="s">
        <v>243</v>
      </c>
      <c r="C61" s="3053">
        <f>IF(SUM(C69,C76,C83)=0,"NO",SUM(C69,C76,C83))</f>
        <v>111741.30265644609</v>
      </c>
      <c r="D61" s="3056" t="s">
        <v>97</v>
      </c>
      <c r="E61" s="1938">
        <f>IFERROR(H61*1000/$C61,"NA")</f>
        <v>69.646538296035644</v>
      </c>
      <c r="F61" s="1938">
        <f t="shared" ref="F61:G66" si="32">IFERROR(I61*1000000/$C61,"NA")</f>
        <v>3.5188574732100149</v>
      </c>
      <c r="G61" s="1938">
        <f t="shared" si="32"/>
        <v>3.4551976264703872</v>
      </c>
      <c r="H61" s="3053">
        <f>IF(SUM(H69,H76,H83)=0,"NO",SUM(H69,H76,H83))</f>
        <v>7782.3949147110816</v>
      </c>
      <c r="I61" s="3053">
        <f>IF(SUM(I69,I76,I83)=0,"NO",SUM(I69,I76,I83))</f>
        <v>0.39320171791885739</v>
      </c>
      <c r="J61" s="3053">
        <f>IF(SUM(J69,J76,J83)=0,"NO",SUM(J69,J76,J83))</f>
        <v>0.38608828371726167</v>
      </c>
      <c r="K61" s="3067" t="str">
        <f>IF(SUM(K69,K76,K83)=0,"NO",SUM(K69,K76,K83))</f>
        <v>NO</v>
      </c>
    </row>
    <row r="62" spans="2:12" ht="18" customHeight="1" x14ac:dyDescent="0.2">
      <c r="B62" s="160" t="s">
        <v>245</v>
      </c>
      <c r="C62" s="3053">
        <f t="shared" ref="C62:C66" si="33">IF(SUM(C70,C77,C84)=0,"NO",SUM(C70,C77,C84))</f>
        <v>21717.302834797589</v>
      </c>
      <c r="D62" s="3056" t="s">
        <v>97</v>
      </c>
      <c r="E62" s="1938">
        <f t="shared" ref="E62:E66" si="34">IFERROR(H62*1000/$C62,"NA")</f>
        <v>84.53806327355052</v>
      </c>
      <c r="F62" s="1938">
        <f t="shared" si="32"/>
        <v>0.96055208784804291</v>
      </c>
      <c r="G62" s="1938">
        <f t="shared" si="32"/>
        <v>0.78662815603007097</v>
      </c>
      <c r="H62" s="3053">
        <f t="shared" ref="H62:K66" si="35">IF(SUM(H70,H77,H84)=0,"NO",SUM(H70,H77,H84))</f>
        <v>1835.9387211789765</v>
      </c>
      <c r="I62" s="3053">
        <f t="shared" si="35"/>
        <v>2.0860600580393046E-2</v>
      </c>
      <c r="J62" s="3053">
        <f t="shared" si="35"/>
        <v>1.7083441882883462E-2</v>
      </c>
      <c r="K62" s="3067" t="str">
        <f t="shared" si="35"/>
        <v>NO</v>
      </c>
    </row>
    <row r="63" spans="2:12" ht="18" customHeight="1" x14ac:dyDescent="0.2">
      <c r="B63" s="160" t="s">
        <v>246</v>
      </c>
      <c r="C63" s="3053">
        <f t="shared" si="33"/>
        <v>184796.852185617</v>
      </c>
      <c r="D63" s="3056" t="s">
        <v>97</v>
      </c>
      <c r="E63" s="1938">
        <f t="shared" si="34"/>
        <v>51.411918339265</v>
      </c>
      <c r="F63" s="1938">
        <f t="shared" si="32"/>
        <v>47.424365995677462</v>
      </c>
      <c r="G63" s="1938">
        <f t="shared" si="32"/>
        <v>0.88641890155682268</v>
      </c>
      <c r="H63" s="3053">
        <f t="shared" si="35"/>
        <v>9500.7606739201656</v>
      </c>
      <c r="I63" s="3053">
        <f t="shared" si="35"/>
        <v>8.7638735528998097</v>
      </c>
      <c r="J63" s="3053">
        <f t="shared" si="35"/>
        <v>0.16380742272553314</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1704.2639999999997</v>
      </c>
      <c r="D66" s="3056" t="s">
        <v>97</v>
      </c>
      <c r="E66" s="1938">
        <f t="shared" si="34"/>
        <v>68.109667611113821</v>
      </c>
      <c r="F66" s="1938">
        <f t="shared" si="32"/>
        <v>3.597559261677342</v>
      </c>
      <c r="G66" s="1938">
        <f t="shared" si="32"/>
        <v>3.5881672990886089</v>
      </c>
      <c r="H66" s="3053">
        <f t="shared" si="35"/>
        <v>116.07685456158727</v>
      </c>
      <c r="I66" s="3053">
        <f t="shared" si="35"/>
        <v>6.131190737543272E-3</v>
      </c>
      <c r="J66" s="3053">
        <f t="shared" si="35"/>
        <v>6.1151843538139478E-3</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21721.31083479759</v>
      </c>
      <c r="D68" s="3056" t="s">
        <v>97</v>
      </c>
      <c r="E68" s="615"/>
      <c r="F68" s="615"/>
      <c r="G68" s="615"/>
      <c r="H68" s="3065">
        <f>IF(SUM(H69:H73)=0,"NO",SUM(H69:H73))</f>
        <v>1836.2196936468517</v>
      </c>
      <c r="I68" s="3065">
        <f t="shared" ref="I68:K68" si="36">IF(SUM(I69:I74)=0,"NO",SUM(I69:I74))</f>
        <v>2.087428467090878E-2</v>
      </c>
      <c r="J68" s="3065">
        <f t="shared" si="36"/>
        <v>1.7096873021881308E-2</v>
      </c>
      <c r="K68" s="3048" t="str">
        <f t="shared" si="36"/>
        <v>NO</v>
      </c>
    </row>
    <row r="69" spans="2:11" ht="18" customHeight="1" x14ac:dyDescent="0.2">
      <c r="B69" s="282" t="s">
        <v>243</v>
      </c>
      <c r="C69" s="3014">
        <v>4.0040000000000004</v>
      </c>
      <c r="D69" s="3055" t="s">
        <v>97</v>
      </c>
      <c r="E69" s="1938">
        <f>IFERROR(H69*1000/$C69,"NA")</f>
        <v>70.121583467038008</v>
      </c>
      <c r="F69" s="1938">
        <f t="shared" ref="F69:G74" si="37">IFERROR(I69*1000000/$C69,"NA")</f>
        <v>3.4156315428447361</v>
      </c>
      <c r="G69" s="1938">
        <f t="shared" si="37"/>
        <v>3.353546384894917</v>
      </c>
      <c r="H69" s="3014">
        <v>0.28076682020202021</v>
      </c>
      <c r="I69" s="3014">
        <v>1.3676188697550325E-5</v>
      </c>
      <c r="J69" s="3014">
        <v>1.3427599725119248E-5</v>
      </c>
      <c r="K69" s="3051" t="s">
        <v>199</v>
      </c>
    </row>
    <row r="70" spans="2:11" ht="18" customHeight="1" x14ac:dyDescent="0.2">
      <c r="B70" s="282" t="s">
        <v>245</v>
      </c>
      <c r="C70" s="3014">
        <v>21717.302834797589</v>
      </c>
      <c r="D70" s="3055" t="s">
        <v>97</v>
      </c>
      <c r="E70" s="1938">
        <f t="shared" ref="E70:E74" si="38">IFERROR(H70*1000/$C70,"NA")</f>
        <v>84.53806327355052</v>
      </c>
      <c r="F70" s="1938">
        <f t="shared" si="37"/>
        <v>0.96055208784804291</v>
      </c>
      <c r="G70" s="1938">
        <f t="shared" si="37"/>
        <v>0.78662815603007097</v>
      </c>
      <c r="H70" s="3014">
        <v>1835.9387211789765</v>
      </c>
      <c r="I70" s="3014">
        <v>2.0860600580393046E-2</v>
      </c>
      <c r="J70" s="3014">
        <v>1.7083441882883462E-2</v>
      </c>
      <c r="K70" s="3051" t="s">
        <v>199</v>
      </c>
    </row>
    <row r="71" spans="2:11" ht="18" customHeight="1" x14ac:dyDescent="0.2">
      <c r="B71" s="160" t="s">
        <v>246</v>
      </c>
      <c r="C71" s="3014">
        <v>4.0000000000000001E-3</v>
      </c>
      <c r="D71" s="3055" t="s">
        <v>97</v>
      </c>
      <c r="E71" s="1938">
        <f t="shared" si="38"/>
        <v>51.411918339265</v>
      </c>
      <c r="F71" s="1938">
        <f t="shared" si="37"/>
        <v>1.9754545454545454</v>
      </c>
      <c r="G71" s="1938">
        <f t="shared" si="37"/>
        <v>0.88481818181818184</v>
      </c>
      <c r="H71" s="3014">
        <v>2.0564767335705999E-4</v>
      </c>
      <c r="I71" s="3014">
        <v>7.9018181818181815E-9</v>
      </c>
      <c r="J71" s="3014">
        <v>3.5392727272727271E-9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182885.64500000002</v>
      </c>
      <c r="D75" s="3056" t="s">
        <v>97</v>
      </c>
      <c r="E75" s="615"/>
      <c r="F75" s="615"/>
      <c r="G75" s="615"/>
      <c r="H75" s="3065">
        <f>IF(SUM(H76:H80)=0,"NO",SUM(H76:H80))</f>
        <v>9565.1129201470594</v>
      </c>
      <c r="I75" s="3065">
        <f t="shared" ref="I75:K75" si="39">IF(SUM(I76:I81)=0,"NO",SUM(I76:I81))</f>
        <v>8.7504471840318097</v>
      </c>
      <c r="J75" s="3065">
        <f t="shared" si="39"/>
        <v>0.175012236957168</v>
      </c>
      <c r="K75" s="3048" t="str">
        <f t="shared" si="39"/>
        <v>NO</v>
      </c>
    </row>
    <row r="76" spans="2:11" ht="18" customHeight="1" x14ac:dyDescent="0.2">
      <c r="B76" s="282" t="s">
        <v>243</v>
      </c>
      <c r="C76" s="3014">
        <v>10319.791999999999</v>
      </c>
      <c r="D76" s="3055" t="s">
        <v>97</v>
      </c>
      <c r="E76" s="1938">
        <f>IFERROR(H76*1000/$C76,"NA")</f>
        <v>67.169122940215232</v>
      </c>
      <c r="F76" s="1938">
        <f t="shared" ref="F76:G81" si="40">IFERROR(I76*1000000/$C76,"NA")</f>
        <v>2.7440192546902376</v>
      </c>
      <c r="G76" s="1938">
        <f t="shared" si="40"/>
        <v>2.1631087779486577</v>
      </c>
      <c r="H76" s="3014">
        <v>693.17137756544957</v>
      </c>
      <c r="I76" s="3014">
        <v>2.8317707952398276E-2</v>
      </c>
      <c r="J76" s="3014">
        <v>2.2322832661804331E-2</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172565.85300000003</v>
      </c>
      <c r="D78" s="3055" t="s">
        <v>97</v>
      </c>
      <c r="E78" s="1938">
        <f t="shared" si="41"/>
        <v>51.411918339265</v>
      </c>
      <c r="F78" s="1938">
        <f t="shared" si="40"/>
        <v>50.543774011185228</v>
      </c>
      <c r="G78" s="1938">
        <f t="shared" si="40"/>
        <v>0.88481818181818184</v>
      </c>
      <c r="H78" s="3014">
        <v>8871.9415425816096</v>
      </c>
      <c r="I78" s="3014">
        <v>8.7221294760794112</v>
      </c>
      <c r="J78" s="3014">
        <v>0.15268940429536368</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115352.76584206305</v>
      </c>
      <c r="D82" s="3056" t="s">
        <v>97</v>
      </c>
      <c r="E82" s="615"/>
      <c r="F82" s="615"/>
      <c r="G82" s="615"/>
      <c r="H82" s="3065">
        <f>IF(SUM(H83:H87)=0,"NO",SUM(H83:H87))</f>
        <v>7717.7616960163123</v>
      </c>
      <c r="I82" s="3065">
        <f t="shared" ref="I82:K82" si="42">IF(SUM(I83:I88)=0,"NO",SUM(I83:I88))</f>
        <v>0.41274559343388634</v>
      </c>
      <c r="J82" s="3065">
        <f t="shared" si="42"/>
        <v>0.38098522270044288</v>
      </c>
      <c r="K82" s="3048" t="str">
        <f t="shared" si="42"/>
        <v>NO</v>
      </c>
    </row>
    <row r="83" spans="2:11" ht="18" customHeight="1" x14ac:dyDescent="0.2">
      <c r="B83" s="282" t="s">
        <v>243</v>
      </c>
      <c r="C83" s="3014">
        <v>101417.50665644609</v>
      </c>
      <c r="D83" s="3055" t="s">
        <v>97</v>
      </c>
      <c r="E83" s="1938">
        <f>IFERROR(H83*1000/$C83,"NA")</f>
        <v>69.89861025019448</v>
      </c>
      <c r="F83" s="1938">
        <f t="shared" ref="F83:G88" si="43">IFERROR(I83*1000000/$C83,"NA")</f>
        <v>3.5977056211189198</v>
      </c>
      <c r="G83" s="1938">
        <f t="shared" si="43"/>
        <v>3.5866788234890232</v>
      </c>
      <c r="H83" s="3014">
        <v>7088.9427703254296</v>
      </c>
      <c r="I83" s="3014">
        <v>0.36487033377776157</v>
      </c>
      <c r="J83" s="3014">
        <v>0.36375202345573221</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12230.995185616968</v>
      </c>
      <c r="D85" s="3055" t="s">
        <v>97</v>
      </c>
      <c r="E85" s="1938">
        <f t="shared" si="44"/>
        <v>51.411918339265</v>
      </c>
      <c r="F85" s="1938">
        <f t="shared" si="43"/>
        <v>3.4129740291019348</v>
      </c>
      <c r="G85" s="1938">
        <f t="shared" si="43"/>
        <v>0.90900329222359166</v>
      </c>
      <c r="H85" s="3014">
        <v>628.81892569088291</v>
      </c>
      <c r="I85" s="3014">
        <v>4.1744068918581512E-2</v>
      </c>
      <c r="J85" s="3014">
        <v>1.1118014890896723E-2</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1704.2639999999997</v>
      </c>
      <c r="D88" s="3063" t="s">
        <v>97</v>
      </c>
      <c r="E88" s="2891">
        <f t="shared" si="44"/>
        <v>68.109667611113821</v>
      </c>
      <c r="F88" s="2891">
        <f t="shared" si="43"/>
        <v>3.597559261677342</v>
      </c>
      <c r="G88" s="2891">
        <f t="shared" si="43"/>
        <v>3.5881672990886089</v>
      </c>
      <c r="H88" s="3021">
        <v>116.07685456158727</v>
      </c>
      <c r="I88" s="3021">
        <v>6.131190737543272E-3</v>
      </c>
      <c r="J88" s="3021">
        <v>6.1151843538139478E-3</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79556208.785447598</v>
      </c>
      <c r="G10" s="4346" t="s">
        <v>205</v>
      </c>
      <c r="H10" s="4347">
        <f t="shared" ref="H10:H13" si="0">IF(SUM($F10)=0,"NA",K10*1000/$F10)</f>
        <v>7.8115689336016687E-3</v>
      </c>
      <c r="I10" s="4348">
        <f t="shared" ref="I10:I13" si="1">IF(SUM($F10)=0,"NA",L10*1000/$F10)</f>
        <v>1.809540484776214E-4</v>
      </c>
      <c r="J10" s="4349" t="str">
        <f>IF(SUM(J11,J25,J36,J48,J59,J70,J76)=0,"IE",SUM(J11,J25,J36,J48,J59,J70,J76))</f>
        <v>IE</v>
      </c>
      <c r="K10" s="4350">
        <f>IF(SUM(K11,K25,K36,K48,K59,K70,K76)=0,"NO",SUM(K11,K25,K36,K48,K59,K70,K76))</f>
        <v>621.45880902353053</v>
      </c>
      <c r="L10" s="4351">
        <f>IF(SUM(L11,L25,L36,L48,L59,L70,L76)=0,"NO",SUM(L11,L25,L36,L48,L59,L70,L76))</f>
        <v>14.396018061257655</v>
      </c>
    </row>
    <row r="11" spans="2:13" ht="18" customHeight="1" x14ac:dyDescent="0.2">
      <c r="B11" s="934" t="s">
        <v>1662</v>
      </c>
      <c r="C11" s="4352"/>
      <c r="D11" s="4353"/>
      <c r="E11" s="2866" t="s">
        <v>1661</v>
      </c>
      <c r="F11" s="4354">
        <f>IF(SUM(F12,F19)=0,"NO",SUM(F12,F19))</f>
        <v>10718205.96769199</v>
      </c>
      <c r="G11" s="4355" t="s">
        <v>205</v>
      </c>
      <c r="H11" s="4356">
        <f t="shared" si="0"/>
        <v>2.750683523577897E-2</v>
      </c>
      <c r="I11" s="4357">
        <f t="shared" si="1"/>
        <v>4.5064802476970641E-4</v>
      </c>
      <c r="J11" s="4358" t="str">
        <f>IF(SUM(J12,J19)=0,"IE",SUM(J12,J19))</f>
        <v>IE</v>
      </c>
      <c r="K11" s="4359">
        <f>IF(SUM(K12,K19)=0,"NO",SUM(K12,K19))</f>
        <v>294.82392557644647</v>
      </c>
      <c r="L11" s="4360">
        <f>IF(SUM(L12,L19)=0,"NO",SUM(L12,L19))</f>
        <v>4.8301383484152751</v>
      </c>
      <c r="M11" s="472"/>
    </row>
    <row r="12" spans="2:13" ht="18" customHeight="1" x14ac:dyDescent="0.2">
      <c r="B12" s="906" t="s">
        <v>1663</v>
      </c>
      <c r="C12" s="4361"/>
      <c r="D12" s="4362"/>
      <c r="E12" s="4363" t="s">
        <v>1661</v>
      </c>
      <c r="F12" s="4364">
        <f>IF(SUM(F13,F17)=0,"NO",SUM(F13,F17))</f>
        <v>10707279.066513613</v>
      </c>
      <c r="G12" s="4365" t="str">
        <f>IFERROR(IF(SUM($F12)=0,"NA",J12*1000/$F12),"NA")</f>
        <v>NA</v>
      </c>
      <c r="H12" s="4366">
        <f t="shared" si="0"/>
        <v>2.719271907660693E-2</v>
      </c>
      <c r="I12" s="4367">
        <f t="shared" si="1"/>
        <v>4.4609930618648034E-4</v>
      </c>
      <c r="J12" s="4170" t="str">
        <f>IF(SUM(J13,J17)=0,"IE",SUM(J13,J17))</f>
        <v>IE</v>
      </c>
      <c r="K12" s="3057">
        <f>IF(SUM(K13,K17)=0,"NO",SUM(K13,K17))</f>
        <v>291.16003173053878</v>
      </c>
      <c r="L12" s="3106">
        <f>IF(SUM(L13,L17)=0,"NO",SUM(L13,L17))</f>
        <v>4.7765097627167483</v>
      </c>
    </row>
    <row r="13" spans="2:13" ht="18" customHeight="1" x14ac:dyDescent="0.2">
      <c r="B13" s="926" t="s">
        <v>1664</v>
      </c>
      <c r="C13" s="4361"/>
      <c r="D13" s="4362"/>
      <c r="E13" s="4363" t="s">
        <v>1661</v>
      </c>
      <c r="F13" s="4368">
        <f>IF(SUM(F14:F16)=0,"NO",SUM(F14:F16))</f>
        <v>10007682.95399096</v>
      </c>
      <c r="G13" s="4369" t="str">
        <f t="shared" ref="G13:G76" si="2">IFERROR(IF(SUM($F13)=0,"NA",J13*1000/$F13),"NA")</f>
        <v>NA</v>
      </c>
      <c r="H13" s="4370">
        <f t="shared" si="0"/>
        <v>2.0675984641476984E-2</v>
      </c>
      <c r="I13" s="4371">
        <f t="shared" si="1"/>
        <v>3.9880168203931658E-4</v>
      </c>
      <c r="J13" s="4170" t="str">
        <f>IF(SUM(J14:J16)=0,"IE",SUM(J14:J16))</f>
        <v>IE</v>
      </c>
      <c r="K13" s="4170">
        <f>IF(SUM(K14:K16)=0,"NO",SUM(K14:K16))</f>
        <v>206.91869905348813</v>
      </c>
      <c r="L13" s="4372">
        <f>IF(SUM(L14:L16)=0,"NO",SUM(L14:L16))</f>
        <v>3.9910807953677914</v>
      </c>
      <c r="M13" s="472"/>
    </row>
    <row r="14" spans="2:13" ht="18" customHeight="1" x14ac:dyDescent="0.2">
      <c r="B14" s="926"/>
      <c r="C14" s="2864" t="s">
        <v>1665</v>
      </c>
      <c r="D14" s="4373" t="s">
        <v>1219</v>
      </c>
      <c r="E14" s="4374" t="s">
        <v>1661</v>
      </c>
      <c r="F14" s="4375">
        <v>328988.50712167297</v>
      </c>
      <c r="G14" s="4369" t="str">
        <f t="shared" si="2"/>
        <v>NA</v>
      </c>
      <c r="H14" s="4370">
        <f>IF(SUM($F14)=0,"NA",K14*1000/$F14)</f>
        <v>0.11295182132494212</v>
      </c>
      <c r="I14" s="4371">
        <f>IF(SUM($F14)=0,"NA",L14*1000/$F14)</f>
        <v>1.1516861255687471E-3</v>
      </c>
      <c r="J14" s="4376" t="s">
        <v>274</v>
      </c>
      <c r="K14" s="4377">
        <v>37.159851074366657</v>
      </c>
      <c r="L14" s="4378">
        <v>0.3788914991236057</v>
      </c>
      <c r="M14" s="472"/>
    </row>
    <row r="15" spans="2:13" ht="18" customHeight="1" x14ac:dyDescent="0.2">
      <c r="B15" s="926"/>
      <c r="C15" s="2864" t="s">
        <v>1666</v>
      </c>
      <c r="D15" s="4373" t="s">
        <v>1219</v>
      </c>
      <c r="E15" s="4379" t="s">
        <v>1661</v>
      </c>
      <c r="F15" s="4380">
        <v>4367.1311375950354</v>
      </c>
      <c r="G15" s="4369" t="str">
        <f t="shared" si="2"/>
        <v>NA</v>
      </c>
      <c r="H15" s="4370">
        <f t="shared" ref="H15:H77" si="3">IF(SUM($F15)=0,"NA",K15*1000/$F15)</f>
        <v>1.2584730274340776</v>
      </c>
      <c r="I15" s="4371">
        <f t="shared" ref="I15:I77" si="4">IF(SUM($F15)=0,"NA",L15*1000/$F15)</f>
        <v>2.3264272215482735E-2</v>
      </c>
      <c r="J15" s="4376" t="s">
        <v>274</v>
      </c>
      <c r="K15" s="4377">
        <v>5.4959167439308514</v>
      </c>
      <c r="L15" s="4381">
        <v>0.10159812758572169</v>
      </c>
      <c r="M15" s="472"/>
    </row>
    <row r="16" spans="2:13" ht="18" customHeight="1" x14ac:dyDescent="0.2">
      <c r="B16" s="926"/>
      <c r="C16" s="2864" t="s">
        <v>1342</v>
      </c>
      <c r="D16" s="4373" t="s">
        <v>1219</v>
      </c>
      <c r="E16" s="4379" t="s">
        <v>1661</v>
      </c>
      <c r="F16" s="4380">
        <v>9674327.3157316931</v>
      </c>
      <c r="G16" s="4369" t="str">
        <f t="shared" si="2"/>
        <v>NA</v>
      </c>
      <c r="H16" s="4370">
        <f t="shared" si="3"/>
        <v>1.6979261283425681E-2</v>
      </c>
      <c r="I16" s="4371">
        <f t="shared" si="4"/>
        <v>3.6287703052488145E-4</v>
      </c>
      <c r="J16" s="4376" t="s">
        <v>274</v>
      </c>
      <c r="K16" s="4377">
        <v>164.26293123519062</v>
      </c>
      <c r="L16" s="4381">
        <v>3.5105911686584639</v>
      </c>
      <c r="M16" s="472"/>
    </row>
    <row r="17" spans="2:13" ht="18" customHeight="1" x14ac:dyDescent="0.2">
      <c r="B17" s="926" t="s">
        <v>1667</v>
      </c>
      <c r="C17" s="4361"/>
      <c r="D17" s="4362"/>
      <c r="E17" s="4382" t="s">
        <v>1661</v>
      </c>
      <c r="F17" s="4368">
        <f>F18</f>
        <v>699596.11252265284</v>
      </c>
      <c r="G17" s="4369" t="str">
        <f t="shared" si="2"/>
        <v>NA</v>
      </c>
      <c r="H17" s="4370">
        <f t="shared" si="3"/>
        <v>0.12041423782829111</v>
      </c>
      <c r="I17" s="4371">
        <f t="shared" si="4"/>
        <v>1.12268915348429E-3</v>
      </c>
      <c r="J17" s="4170" t="str">
        <f>J18</f>
        <v>IE</v>
      </c>
      <c r="K17" s="4170">
        <f>K18</f>
        <v>84.241332677050622</v>
      </c>
      <c r="L17" s="4372">
        <f>L18</f>
        <v>0.78542896734895717</v>
      </c>
      <c r="M17" s="472"/>
    </row>
    <row r="18" spans="2:13" ht="18" customHeight="1" x14ac:dyDescent="0.2">
      <c r="B18" s="926"/>
      <c r="C18" s="2864" t="s">
        <v>1668</v>
      </c>
      <c r="D18" s="4373" t="s">
        <v>1219</v>
      </c>
      <c r="E18" s="4379" t="s">
        <v>1661</v>
      </c>
      <c r="F18" s="4375">
        <v>699596.11252265284</v>
      </c>
      <c r="G18" s="4369" t="str">
        <f t="shared" si="2"/>
        <v>NA</v>
      </c>
      <c r="H18" s="4370">
        <f t="shared" si="3"/>
        <v>0.12041423782829111</v>
      </c>
      <c r="I18" s="4371">
        <f t="shared" si="4"/>
        <v>1.12268915348429E-3</v>
      </c>
      <c r="J18" s="4376" t="s">
        <v>274</v>
      </c>
      <c r="K18" s="4377">
        <v>84.241332677050622</v>
      </c>
      <c r="L18" s="4378">
        <v>0.78542896734895717</v>
      </c>
      <c r="M18" s="472"/>
    </row>
    <row r="19" spans="2:13" ht="18" customHeight="1" x14ac:dyDescent="0.2">
      <c r="B19" s="906" t="s">
        <v>1669</v>
      </c>
      <c r="C19" s="4361"/>
      <c r="D19" s="4362"/>
      <c r="E19" s="4382" t="s">
        <v>1661</v>
      </c>
      <c r="F19" s="4383">
        <f>IF(SUM(F20,F23)=0,"NO",SUM(F20,F23))</f>
        <v>10926.901178376957</v>
      </c>
      <c r="G19" s="4365" t="s">
        <v>205</v>
      </c>
      <c r="H19" s="4366">
        <f t="shared" si="3"/>
        <v>0.33530950688545624</v>
      </c>
      <c r="I19" s="4367">
        <f t="shared" si="4"/>
        <v>4.9079409452930196E-3</v>
      </c>
      <c r="J19" s="4170" t="str">
        <f>IF(SUM(J20,J23)=0,"IE",SUM(J20,J23))</f>
        <v>IE</v>
      </c>
      <c r="K19" s="3057">
        <f>IF(SUM(K20,K23)=0,"NO",SUM(K20,K23))</f>
        <v>3.6638938459076882</v>
      </c>
      <c r="L19" s="3106">
        <f>IF(SUM(L20,L23)=0,"NO",SUM(L20,L23))</f>
        <v>5.3628585698526812E-2</v>
      </c>
    </row>
    <row r="20" spans="2:13" ht="18" customHeight="1" x14ac:dyDescent="0.2">
      <c r="B20" s="926" t="s">
        <v>1670</v>
      </c>
      <c r="C20" s="4361"/>
      <c r="D20" s="4362"/>
      <c r="E20" s="4382" t="s">
        <v>1661</v>
      </c>
      <c r="F20" s="4368">
        <f>IF(SUM(F21:F22)=0,"NO",SUM(F21:F22))</f>
        <v>3033.8377545245999</v>
      </c>
      <c r="G20" s="4369" t="str">
        <f t="shared" si="2"/>
        <v>NA</v>
      </c>
      <c r="H20" s="4370">
        <f t="shared" si="3"/>
        <v>0.68902871183767778</v>
      </c>
      <c r="I20" s="4371">
        <f t="shared" si="4"/>
        <v>1.2838887446108173E-2</v>
      </c>
      <c r="J20" s="4170" t="str">
        <f>IF(SUM(J21:J22)=0,"IE",SUM(J21:J22))</f>
        <v>IE</v>
      </c>
      <c r="K20" s="4170">
        <f>IF(SUM(K21:K22)=0,"NO",SUM(K21:K22))</f>
        <v>2.0904013199245979</v>
      </c>
      <c r="L20" s="4372">
        <f>IF(SUM(L21:L22)=0,"NO",SUM(L21:L22))</f>
        <v>3.8951101460094895E-2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2.0096368964938782</v>
      </c>
      <c r="L21" s="4378">
        <v>3.7150370961574336E-2</v>
      </c>
      <c r="M21" s="472"/>
    </row>
    <row r="22" spans="2:13" ht="18" customHeight="1" x14ac:dyDescent="0.2">
      <c r="B22" s="926"/>
      <c r="C22" s="2864" t="s">
        <v>1342</v>
      </c>
      <c r="D22" s="4373" t="s">
        <v>1219</v>
      </c>
      <c r="E22" s="4379" t="s">
        <v>1661</v>
      </c>
      <c r="F22" s="4380">
        <v>3033.8377545245999</v>
      </c>
      <c r="G22" s="4369" t="str">
        <f t="shared" si="2"/>
        <v>NA</v>
      </c>
      <c r="H22" s="4370">
        <f t="shared" si="3"/>
        <v>2.6621207185608113E-2</v>
      </c>
      <c r="I22" s="4371">
        <f t="shared" si="4"/>
        <v>5.9354871427616399E-4</v>
      </c>
      <c r="J22" s="4376" t="s">
        <v>274</v>
      </c>
      <c r="K22" s="4377">
        <v>8.0764423430719462E-2</v>
      </c>
      <c r="L22" s="4381">
        <v>1.8007304985205607E-3</v>
      </c>
      <c r="M22" s="472"/>
    </row>
    <row r="23" spans="2:13" ht="18" customHeight="1" x14ac:dyDescent="0.2">
      <c r="B23" s="926" t="s">
        <v>1671</v>
      </c>
      <c r="C23" s="4361"/>
      <c r="D23" s="4362"/>
      <c r="E23" s="4382" t="s">
        <v>1661</v>
      </c>
      <c r="F23" s="4368">
        <f>F24</f>
        <v>7893.0634238523562</v>
      </c>
      <c r="G23" s="4369" t="str">
        <f t="shared" si="2"/>
        <v>NA</v>
      </c>
      <c r="H23" s="4370">
        <f t="shared" si="3"/>
        <v>0.19935130905297072</v>
      </c>
      <c r="I23" s="4371">
        <f t="shared" si="4"/>
        <v>1.8595421638292495E-3</v>
      </c>
      <c r="J23" s="4170" t="str">
        <f>J24</f>
        <v>IE</v>
      </c>
      <c r="K23" s="4170">
        <f>K24</f>
        <v>1.5734925259830903</v>
      </c>
      <c r="L23" s="4372">
        <f>L24</f>
        <v>1.4677484238431916E-2</v>
      </c>
      <c r="M23" s="472"/>
    </row>
    <row r="24" spans="2:13" ht="18" customHeight="1" thickBot="1" x14ac:dyDescent="0.25">
      <c r="B24" s="936"/>
      <c r="C24" s="2865" t="s">
        <v>1672</v>
      </c>
      <c r="D24" s="4384" t="s">
        <v>1219</v>
      </c>
      <c r="E24" s="4385" t="s">
        <v>1661</v>
      </c>
      <c r="F24" s="4386">
        <v>7893.0634238523562</v>
      </c>
      <c r="G24" s="4387" t="str">
        <f t="shared" si="2"/>
        <v>NA</v>
      </c>
      <c r="H24" s="4388">
        <f t="shared" si="3"/>
        <v>0.19935130905297072</v>
      </c>
      <c r="I24" s="4389">
        <f t="shared" si="4"/>
        <v>1.8595421638292495E-3</v>
      </c>
      <c r="J24" s="4390" t="s">
        <v>274</v>
      </c>
      <c r="K24" s="4391">
        <v>1.5734925259830903</v>
      </c>
      <c r="L24" s="4392">
        <v>1.4677484238431916E-2</v>
      </c>
      <c r="M24" s="472"/>
    </row>
    <row r="25" spans="2:13" ht="18" customHeight="1" x14ac:dyDescent="0.2">
      <c r="B25" s="934" t="s">
        <v>1673</v>
      </c>
      <c r="C25" s="4352"/>
      <c r="D25" s="4353"/>
      <c r="E25" s="4393" t="s">
        <v>1661</v>
      </c>
      <c r="F25" s="4394">
        <f>IF(SUM(F26,F31)=0,"IE",SUM(F26,F31))</f>
        <v>19840.443966243616</v>
      </c>
      <c r="G25" s="4355" t="str">
        <f t="shared" si="2"/>
        <v>NA</v>
      </c>
      <c r="H25" s="4356">
        <f t="shared" si="3"/>
        <v>6.2587324673970171E-2</v>
      </c>
      <c r="I25" s="4357">
        <f t="shared" si="4"/>
        <v>1.1569962380701985E-3</v>
      </c>
      <c r="J25" s="4358" t="str">
        <f>IF(SUM(J26,J31)=0,"IE",SUM(J26,J31))</f>
        <v>IE</v>
      </c>
      <c r="K25" s="4359">
        <f>IF(SUM(K26,K31)=0,"IE",SUM(K26,K31))</f>
        <v>1.2417603081910018</v>
      </c>
      <c r="L25" s="4360">
        <f>IF(SUM(L26,L31)=0,"IE",SUM(L26,L31))</f>
        <v>2.2955319030586434E-2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19840.443966243616</v>
      </c>
      <c r="G31" s="4365" t="str">
        <f t="shared" si="2"/>
        <v>NA</v>
      </c>
      <c r="H31" s="4366">
        <f t="shared" si="3"/>
        <v>6.2587324673970171E-2</v>
      </c>
      <c r="I31" s="4367">
        <f t="shared" si="4"/>
        <v>1.1569962380701985E-3</v>
      </c>
      <c r="J31" s="4170" t="str">
        <f>IF(SUM(J32,J34)=0,"IE",SUM(J32,J34))</f>
        <v>IE</v>
      </c>
      <c r="K31" s="4170">
        <f t="shared" ref="K31:L31" si="6">IF(SUM(K32,K34)=0,"IE",SUM(K32,K34))</f>
        <v>1.2417603081910018</v>
      </c>
      <c r="L31" s="4372">
        <f t="shared" si="6"/>
        <v>2.2955319030586434E-2</v>
      </c>
    </row>
    <row r="32" spans="2:13" ht="18" customHeight="1" x14ac:dyDescent="0.2">
      <c r="B32" s="926" t="s">
        <v>1678</v>
      </c>
      <c r="C32" s="4361"/>
      <c r="D32" s="4362"/>
      <c r="E32" s="4382" t="s">
        <v>1661</v>
      </c>
      <c r="F32" s="4368">
        <f>F33</f>
        <v>19840.443966243616</v>
      </c>
      <c r="G32" s="4365" t="str">
        <f t="shared" si="2"/>
        <v>NA</v>
      </c>
      <c r="H32" s="4366">
        <f t="shared" si="3"/>
        <v>6.2587324673970171E-2</v>
      </c>
      <c r="I32" s="4367">
        <f t="shared" si="4"/>
        <v>1.1569962380701985E-3</v>
      </c>
      <c r="J32" s="4170" t="str">
        <f>J33</f>
        <v>IE</v>
      </c>
      <c r="K32" s="4170">
        <f>K33</f>
        <v>1.2417603081910018</v>
      </c>
      <c r="L32" s="4372">
        <f>L33</f>
        <v>2.2955319030586434E-2</v>
      </c>
      <c r="M32" s="472"/>
    </row>
    <row r="33" spans="2:13" ht="18" customHeight="1" x14ac:dyDescent="0.2">
      <c r="B33" s="926"/>
      <c r="C33" s="2864" t="s">
        <v>1679</v>
      </c>
      <c r="D33" s="4373" t="s">
        <v>1219</v>
      </c>
      <c r="E33" s="4379" t="s">
        <v>1661</v>
      </c>
      <c r="F33" s="4375">
        <v>19840.443966243616</v>
      </c>
      <c r="G33" s="4369" t="str">
        <f t="shared" si="2"/>
        <v>NA</v>
      </c>
      <c r="H33" s="4370">
        <f t="shared" si="3"/>
        <v>6.2587324673970171E-2</v>
      </c>
      <c r="I33" s="4371">
        <f t="shared" si="4"/>
        <v>1.1569962380701985E-3</v>
      </c>
      <c r="J33" s="4376" t="s">
        <v>274</v>
      </c>
      <c r="K33" s="4377">
        <v>1.2417603081910018</v>
      </c>
      <c r="L33" s="4378">
        <v>2.2955319030586434E-2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67738404.095402151</v>
      </c>
      <c r="G36" s="4355" t="str">
        <f t="shared" si="2"/>
        <v>NA</v>
      </c>
      <c r="H36" s="4356">
        <f t="shared" ref="H36" si="7">IF(SUM($F36)=0,"NA",K36*1000/$F36)</f>
        <v>4.4658236199660315E-3</v>
      </c>
      <c r="I36" s="4357">
        <f t="shared" ref="I36" si="8">IF(SUM($F36)=0,"NA",L36*1000/$F36)</f>
        <v>1.3393137113670416E-4</v>
      </c>
      <c r="J36" s="4358" t="str">
        <f>IF(SUM(J37,J42)=0,"IE",SUM(J37,J42))</f>
        <v>IE</v>
      </c>
      <c r="K36" s="4359">
        <f>IF(SUM(K37,K42)=0,"NO",SUM(K37,K42))</f>
        <v>302.50776498805067</v>
      </c>
      <c r="L36" s="4360">
        <f>IF(SUM(L37,L42)=0,"NO",SUM(L37,L42))</f>
        <v>9.0722973391093475</v>
      </c>
      <c r="M36" s="472"/>
    </row>
    <row r="37" spans="2:13" ht="18" customHeight="1" x14ac:dyDescent="0.2">
      <c r="B37" s="906" t="s">
        <v>1682</v>
      </c>
      <c r="C37" s="4361"/>
      <c r="D37" s="4362"/>
      <c r="E37" s="4382" t="s">
        <v>1661</v>
      </c>
      <c r="F37" s="4364">
        <f>IF(SUM(F38,F40)=0,"NO",SUM(F38,F40))</f>
        <v>67169723.606983334</v>
      </c>
      <c r="G37" s="4369" t="str">
        <f t="shared" si="2"/>
        <v>NA</v>
      </c>
      <c r="H37" s="4366">
        <f t="shared" si="3"/>
        <v>3.893325071131686E-3</v>
      </c>
      <c r="I37" s="4367">
        <f t="shared" si="4"/>
        <v>1.2367976033423244E-4</v>
      </c>
      <c r="J37" s="4170" t="str">
        <f>IF(SUM(J38,J40)=0,"IE",SUM(J38,J40))</f>
        <v>IE</v>
      </c>
      <c r="K37" s="3057">
        <f>IF(SUM(K38,K40)=0,"NO",SUM(K38,K40))</f>
        <v>261.51356894005409</v>
      </c>
      <c r="L37" s="3106">
        <f>IF(SUM(L38,L40)=0,"NO",SUM(L38,L40))</f>
        <v>8.307535317428334</v>
      </c>
    </row>
    <row r="38" spans="2:13" ht="18" customHeight="1" x14ac:dyDescent="0.2">
      <c r="B38" s="926" t="s">
        <v>1683</v>
      </c>
      <c r="C38" s="4361"/>
      <c r="D38" s="4362"/>
      <c r="E38" s="4382" t="s">
        <v>1661</v>
      </c>
      <c r="F38" s="4368">
        <f>F39</f>
        <v>67169723.606983334</v>
      </c>
      <c r="G38" s="4369" t="str">
        <f t="shared" si="2"/>
        <v>NA</v>
      </c>
      <c r="H38" s="4370">
        <f t="shared" si="3"/>
        <v>3.893325071131686E-3</v>
      </c>
      <c r="I38" s="4371">
        <f t="shared" si="4"/>
        <v>1.2367976033423244E-4</v>
      </c>
      <c r="J38" s="4170" t="str">
        <f>J39</f>
        <v>IE</v>
      </c>
      <c r="K38" s="4170">
        <f>K39</f>
        <v>261.51356894005409</v>
      </c>
      <c r="L38" s="4372">
        <f>L39</f>
        <v>8.307535317428334</v>
      </c>
      <c r="M38" s="472"/>
    </row>
    <row r="39" spans="2:13" ht="18" customHeight="1" x14ac:dyDescent="0.2">
      <c r="B39" s="926"/>
      <c r="C39" s="2864" t="s">
        <v>1342</v>
      </c>
      <c r="D39" s="4373" t="s">
        <v>1219</v>
      </c>
      <c r="E39" s="4379" t="s">
        <v>1661</v>
      </c>
      <c r="F39" s="4380">
        <v>67169723.606983334</v>
      </c>
      <c r="G39" s="4369" t="str">
        <f t="shared" si="2"/>
        <v>NA</v>
      </c>
      <c r="H39" s="4370">
        <f t="shared" ref="H39:H40" si="9">IF(SUM($F39)=0,"NA",K39*1000/$F39)</f>
        <v>3.893325071131686E-3</v>
      </c>
      <c r="I39" s="4371">
        <f t="shared" ref="I39:I40" si="10">IF(SUM($F39)=0,"NA",L39*1000/$F39)</f>
        <v>1.2367976033423244E-4</v>
      </c>
      <c r="J39" s="4376" t="s">
        <v>274</v>
      </c>
      <c r="K39" s="4377">
        <v>261.51356894005409</v>
      </c>
      <c r="L39" s="4381">
        <v>8.307535317428334</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568680.48841881822</v>
      </c>
      <c r="G42" s="4365" t="str">
        <f t="shared" si="2"/>
        <v>NA</v>
      </c>
      <c r="H42" s="4366">
        <f t="shared" si="11"/>
        <v>7.2086517619020976E-2</v>
      </c>
      <c r="I42" s="4367">
        <f t="shared" si="12"/>
        <v>1.3448008807324971E-3</v>
      </c>
      <c r="J42" s="4170" t="str">
        <f>IF(SUM(J43,J46)=0,"IE",SUM(J43,J46))</f>
        <v>IE</v>
      </c>
      <c r="K42" s="3057">
        <f>IF(SUM(K43,K46)=0,"NO",SUM(K43,K46))</f>
        <v>40.994196047996596</v>
      </c>
      <c r="L42" s="3106">
        <f>IF(SUM(L43,L46)=0,"NO",SUM(L43,L46))</f>
        <v>0.76476202168101337</v>
      </c>
    </row>
    <row r="43" spans="2:13" ht="18" customHeight="1" x14ac:dyDescent="0.2">
      <c r="B43" s="926" t="s">
        <v>1686</v>
      </c>
      <c r="C43" s="4361"/>
      <c r="D43" s="4362"/>
      <c r="E43" s="4382" t="s">
        <v>1661</v>
      </c>
      <c r="F43" s="4368">
        <f>IF(SUM(F44:F45)=0,"NO",SUM(F44:F45))</f>
        <v>568680.48841881822</v>
      </c>
      <c r="G43" s="4369" t="str">
        <f t="shared" si="2"/>
        <v>NA</v>
      </c>
      <c r="H43" s="4370">
        <f t="shared" ref="H43" si="13">IF(SUM($F43)=0,"NA",K43*1000/$F43)</f>
        <v>7.2086517619020976E-2</v>
      </c>
      <c r="I43" s="4371">
        <f t="shared" ref="I43" si="14">IF(SUM($F43)=0,"NA",L43*1000/$F43)</f>
        <v>1.3448008807324971E-3</v>
      </c>
      <c r="J43" s="4170" t="str">
        <f>IF(SUM(J44:J45)=0,"IE",SUM(J44:J45))</f>
        <v>IE</v>
      </c>
      <c r="K43" s="4170">
        <f>IF(SUM(K44:K45)=0,"NO",SUM(K44:K45))</f>
        <v>40.994196047996596</v>
      </c>
      <c r="L43" s="4372">
        <f>IF(SUM(L44:L45)=0,"NO",SUM(L44:L45))</f>
        <v>0.76476202168101337</v>
      </c>
      <c r="M43" s="472"/>
    </row>
    <row r="44" spans="2:13" ht="18" customHeight="1" x14ac:dyDescent="0.2">
      <c r="B44" s="926"/>
      <c r="C44" s="2864" t="s">
        <v>1679</v>
      </c>
      <c r="D44" s="4373" t="s">
        <v>1219</v>
      </c>
      <c r="E44" s="4379" t="s">
        <v>1661</v>
      </c>
      <c r="F44" s="4380">
        <v>458194.69329413108</v>
      </c>
      <c r="G44" s="4369" t="str">
        <f t="shared" si="2"/>
        <v>NA</v>
      </c>
      <c r="H44" s="4370">
        <f t="shared" ref="H44:H46" si="15">IF(SUM($F44)=0,"NA",K44*1000/$F44)</f>
        <v>8.6691133444371613E-2</v>
      </c>
      <c r="I44" s="4371">
        <f t="shared" ref="I44:I46" si="16">IF(SUM($F44)=0,"NA",L44*1000/$F44)</f>
        <v>1.6025819252008142E-3</v>
      </c>
      <c r="J44" s="4376" t="s">
        <v>274</v>
      </c>
      <c r="K44" s="4377">
        <v>39.721417299864441</v>
      </c>
      <c r="L44" s="4381">
        <v>0.7342945336961052</v>
      </c>
      <c r="M44" s="472"/>
    </row>
    <row r="45" spans="2:13" ht="18" customHeight="1" x14ac:dyDescent="0.2">
      <c r="B45" s="926"/>
      <c r="C45" s="2864" t="s">
        <v>1342</v>
      </c>
      <c r="D45" s="4373" t="s">
        <v>1219</v>
      </c>
      <c r="E45" s="4379" t="s">
        <v>1661</v>
      </c>
      <c r="F45" s="4380">
        <v>110485.79512468715</v>
      </c>
      <c r="G45" s="4369" t="str">
        <f t="shared" si="2"/>
        <v>NA</v>
      </c>
      <c r="H45" s="4370">
        <f t="shared" si="15"/>
        <v>1.1519840597569853E-2</v>
      </c>
      <c r="I45" s="4371">
        <f t="shared" si="16"/>
        <v>2.7575932227780545E-4</v>
      </c>
      <c r="J45" s="4376" t="s">
        <v>274</v>
      </c>
      <c r="K45" s="4377">
        <v>1.2727787481321564</v>
      </c>
      <c r="L45" s="4381">
        <v>3.0467487984908191E-2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1066444.9228773387</v>
      </c>
      <c r="G48" s="4355" t="str">
        <f t="shared" si="2"/>
        <v>NA</v>
      </c>
      <c r="H48" s="4356">
        <f t="shared" si="17"/>
        <v>1.9619422359339344E-2</v>
      </c>
      <c r="I48" s="4357">
        <f t="shared" si="18"/>
        <v>4.0728901357754715E-4</v>
      </c>
      <c r="J48" s="4358" t="str">
        <f>IF(SUM(J49,J54)=0,"IE",SUM(J49,J54))</f>
        <v>IE</v>
      </c>
      <c r="K48" s="4359">
        <f>IF(SUM(K49,K54)=0,"NO",SUM(K49,K54))</f>
        <v>20.923033364903581</v>
      </c>
      <c r="L48" s="4360">
        <f>IF(SUM(L49,L54)=0,"NO",SUM(L49,L54))</f>
        <v>0.43435130067349464</v>
      </c>
      <c r="M48" s="472"/>
    </row>
    <row r="49" spans="2:13" ht="18" customHeight="1" x14ac:dyDescent="0.2">
      <c r="B49" s="906" t="s">
        <v>1689</v>
      </c>
      <c r="C49" s="4361"/>
      <c r="D49" s="4362"/>
      <c r="E49" s="4382" t="s">
        <v>1661</v>
      </c>
      <c r="F49" s="4364">
        <f>IF(SUM(F50,F52)=0,"NO",SUM(F50,F52))</f>
        <v>1066444.9228773387</v>
      </c>
      <c r="G49" s="4365" t="str">
        <f t="shared" si="2"/>
        <v>NA</v>
      </c>
      <c r="H49" s="4366">
        <f t="shared" si="17"/>
        <v>1.9619422359339344E-2</v>
      </c>
      <c r="I49" s="4367">
        <f t="shared" si="18"/>
        <v>4.0728901357754715E-4</v>
      </c>
      <c r="J49" s="4170" t="str">
        <f>IF(SUM(J50,J52)=0,"IE",SUM(J50,J52))</f>
        <v>IE</v>
      </c>
      <c r="K49" s="3057">
        <f>IF(SUM(K50,K52)=0,"NO",SUM(K50,K52))</f>
        <v>20.923033364903581</v>
      </c>
      <c r="L49" s="3106">
        <f>IF(SUM(L50,L52)=0,"NO",SUM(L50,L52))</f>
        <v>0.43435130067349464</v>
      </c>
    </row>
    <row r="50" spans="2:13" ht="18" customHeight="1" x14ac:dyDescent="0.2">
      <c r="B50" s="926" t="s">
        <v>1690</v>
      </c>
      <c r="C50" s="4361"/>
      <c r="D50" s="4362"/>
      <c r="E50" s="4382" t="s">
        <v>1661</v>
      </c>
      <c r="F50" s="4368">
        <f>F51</f>
        <v>1066444.9228773387</v>
      </c>
      <c r="G50" s="4369" t="str">
        <f t="shared" si="2"/>
        <v>NA</v>
      </c>
      <c r="H50" s="4370">
        <f t="shared" si="17"/>
        <v>1.9619422359339344E-2</v>
      </c>
      <c r="I50" s="4371">
        <f t="shared" si="18"/>
        <v>4.0728901357754715E-4</v>
      </c>
      <c r="J50" s="4170" t="str">
        <f>J51</f>
        <v>IE</v>
      </c>
      <c r="K50" s="4170">
        <f>K51</f>
        <v>20.923033364903581</v>
      </c>
      <c r="L50" s="4372">
        <f>L51</f>
        <v>0.43435130067349464</v>
      </c>
      <c r="M50" s="472"/>
    </row>
    <row r="51" spans="2:13" ht="18" customHeight="1" x14ac:dyDescent="0.2">
      <c r="B51" s="926"/>
      <c r="C51" s="2864" t="s">
        <v>1342</v>
      </c>
      <c r="D51" s="4373" t="s">
        <v>1219</v>
      </c>
      <c r="E51" s="4379" t="s">
        <v>1661</v>
      </c>
      <c r="F51" s="4380">
        <v>1066444.9228773387</v>
      </c>
      <c r="G51" s="4369" t="str">
        <f t="shared" si="2"/>
        <v>NA</v>
      </c>
      <c r="H51" s="4370">
        <f t="shared" si="17"/>
        <v>1.9619422359339344E-2</v>
      </c>
      <c r="I51" s="4371">
        <f t="shared" si="18"/>
        <v>4.0728901357754715E-4</v>
      </c>
      <c r="J51" s="4376" t="s">
        <v>274</v>
      </c>
      <c r="K51" s="4377">
        <v>20.923033364903581</v>
      </c>
      <c r="L51" s="4381">
        <v>0.43435130067349464</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13313.355509875773</v>
      </c>
      <c r="G59" s="4355" t="str">
        <f t="shared" si="2"/>
        <v>NA</v>
      </c>
      <c r="H59" s="4356">
        <f t="shared" si="3"/>
        <v>0.14739520660160493</v>
      </c>
      <c r="I59" s="4357">
        <f t="shared" si="4"/>
        <v>2.7247641664824469E-3</v>
      </c>
      <c r="J59" s="4358" t="str">
        <f>IF(SUM(J60,J65)=0,"IE",SUM(J60,J65))</f>
        <v>IE</v>
      </c>
      <c r="K59" s="4359">
        <f>IF(SUM(K60,K65)=0,"NO",SUM(K60,K65))</f>
        <v>1.9623247859387549</v>
      </c>
      <c r="L59" s="4360">
        <f>IF(SUM(L60,L65)=0,"NO",SUM(L60,L65))</f>
        <v>3.6275754028951154E-2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13313.355509875773</v>
      </c>
      <c r="G65" s="4365" t="str">
        <f t="shared" si="2"/>
        <v>NA</v>
      </c>
      <c r="H65" s="4366">
        <f t="shared" si="3"/>
        <v>0.14739520660160493</v>
      </c>
      <c r="I65" s="4367">
        <f t="shared" si="4"/>
        <v>2.7247641664824469E-3</v>
      </c>
      <c r="J65" s="4170" t="str">
        <f>IF(SUM(J66,J68)=0,"IE",SUM(J66,J68))</f>
        <v>IE</v>
      </c>
      <c r="K65" s="3057">
        <f>IF(SUM(K66,K68)=0,"NO",SUM(K66,K68))</f>
        <v>1.9623247859387549</v>
      </c>
      <c r="L65" s="3106">
        <f>IF(SUM(L66,L68)=0,"NO",SUM(L66,L68))</f>
        <v>3.6275754028951154E-2</v>
      </c>
    </row>
    <row r="66" spans="2:13" ht="18" customHeight="1" x14ac:dyDescent="0.2">
      <c r="B66" s="926" t="s">
        <v>1700</v>
      </c>
      <c r="C66" s="4361"/>
      <c r="D66" s="4362"/>
      <c r="E66" s="4382" t="s">
        <v>1661</v>
      </c>
      <c r="F66" s="4368">
        <f>F67</f>
        <v>13313.355509875773</v>
      </c>
      <c r="G66" s="4369" t="str">
        <f t="shared" si="2"/>
        <v>NA</v>
      </c>
      <c r="H66" s="4370">
        <f t="shared" si="3"/>
        <v>0.14739520660160493</v>
      </c>
      <c r="I66" s="4371">
        <f t="shared" si="4"/>
        <v>2.7247641664824469E-3</v>
      </c>
      <c r="J66" s="4170" t="str">
        <f>J67</f>
        <v>IE</v>
      </c>
      <c r="K66" s="4170">
        <f>K67</f>
        <v>1.9623247859387549</v>
      </c>
      <c r="L66" s="4372">
        <f>L67</f>
        <v>3.6275754028951154E-2</v>
      </c>
      <c r="M66" s="472"/>
    </row>
    <row r="67" spans="2:13" ht="18" customHeight="1" x14ac:dyDescent="0.2">
      <c r="B67" s="926"/>
      <c r="C67" s="2864" t="s">
        <v>1679</v>
      </c>
      <c r="D67" s="4373" t="s">
        <v>1219</v>
      </c>
      <c r="E67" s="4379" t="s">
        <v>1661</v>
      </c>
      <c r="F67" s="4380">
        <v>13313.355509875773</v>
      </c>
      <c r="G67" s="4369" t="str">
        <f t="shared" si="2"/>
        <v>NA</v>
      </c>
      <c r="H67" s="4370">
        <f t="shared" ref="H67:H68" si="23">IF(SUM($F67)=0,"NA",K67*1000/$F67)</f>
        <v>0.14739520660160493</v>
      </c>
      <c r="I67" s="4371">
        <f t="shared" ref="I67:I68" si="24">IF(SUM($F67)=0,"NA",L67*1000/$F67)</f>
        <v>2.7247641664824469E-3</v>
      </c>
      <c r="J67" s="4376" t="s">
        <v>274</v>
      </c>
      <c r="K67" s="4377">
        <v>1.9623247859387549</v>
      </c>
      <c r="L67" s="4381">
        <v>3.6275754028951154E-2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4195.119300680939</v>
      </c>
      <c r="D10" s="3463">
        <f>IF(SUM(D11,D16:D17)=0,"NO",SUM(D11,D16:D17))</f>
        <v>-3107.8493096797788</v>
      </c>
      <c r="E10" s="3464"/>
      <c r="F10" s="3465">
        <f>IF(SUM(F11,F16:F17)=0,"NO",SUM(F11,F16:F17))</f>
        <v>1087.26999100116</v>
      </c>
      <c r="G10" s="3466">
        <f>IF(SUM(G11,G16:G17)=0,"NO",SUM(G11,G16:G17))</f>
        <v>-3986.6566336709197</v>
      </c>
      <c r="H10" s="226"/>
      <c r="I10" s="2"/>
      <c r="J10" s="2"/>
    </row>
    <row r="11" spans="1:10" ht="18" customHeight="1" x14ac:dyDescent="0.2">
      <c r="B11" s="592" t="s">
        <v>1722</v>
      </c>
      <c r="C11" s="3467">
        <f>IF(SUM(C13:C15)=0,"NO",SUM(C13:C15))</f>
        <v>1495.5039575017063</v>
      </c>
      <c r="D11" s="3468">
        <f>IF(SUM(D13:D15)=0,"NO",SUM(D13:D15))</f>
        <v>-710.61254382557024</v>
      </c>
      <c r="E11" s="3469"/>
      <c r="F11" s="3470">
        <f>IF(SUM(F13:F15)=0,"NO",SUM(F13:F15))</f>
        <v>784.89141367613593</v>
      </c>
      <c r="G11" s="3471">
        <f>IF(SUM(G13:G15)=0,"NO",SUM(G13:G15))</f>
        <v>-2877.9351834791651</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1018.9378684363714</v>
      </c>
      <c r="D13" s="3476">
        <f>F13-C13</f>
        <v>-433.1083569368443</v>
      </c>
      <c r="E13" s="3477" t="s">
        <v>205</v>
      </c>
      <c r="F13" s="3478">
        <f>G13/(-44/12)</f>
        <v>585.82951149952714</v>
      </c>
      <c r="G13" s="3479">
        <v>-2148.0415421649327</v>
      </c>
      <c r="H13" s="226"/>
      <c r="I13" s="2"/>
      <c r="J13" s="2"/>
    </row>
    <row r="14" spans="1:10" ht="18" customHeight="1" x14ac:dyDescent="0.2">
      <c r="B14" s="1192" t="s">
        <v>1724</v>
      </c>
      <c r="C14" s="3480">
        <v>476.56608906533472</v>
      </c>
      <c r="D14" s="3481">
        <f>F14-C14</f>
        <v>-277.50418688872594</v>
      </c>
      <c r="E14" s="3202" t="s">
        <v>205</v>
      </c>
      <c r="F14" s="3482">
        <f>G14/(-44/12)</f>
        <v>199.06190217660878</v>
      </c>
      <c r="G14" s="3479">
        <v>-729.89364131423213</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1840.4640103474662</v>
      </c>
      <c r="D16" s="3481">
        <f>F16-C16</f>
        <v>-1878.7245419561498</v>
      </c>
      <c r="E16" s="3202" t="s">
        <v>205</v>
      </c>
      <c r="F16" s="3482">
        <f>G16/(-44/12)</f>
        <v>-38.26053160868355</v>
      </c>
      <c r="G16" s="3479">
        <v>140.28861589850635</v>
      </c>
      <c r="H16" s="226"/>
      <c r="I16" s="2"/>
      <c r="J16" s="2"/>
    </row>
    <row r="17" spans="2:10" ht="18" customHeight="1" x14ac:dyDescent="0.2">
      <c r="B17" s="1196" t="s">
        <v>1727</v>
      </c>
      <c r="C17" s="3484">
        <f>C18</f>
        <v>859.15133283176647</v>
      </c>
      <c r="D17" s="3485">
        <f t="shared" ref="D17:F17" si="0">D18</f>
        <v>-518.51222389805889</v>
      </c>
      <c r="E17" s="3486"/>
      <c r="F17" s="3193">
        <f t="shared" si="0"/>
        <v>340.63910893370763</v>
      </c>
      <c r="G17" s="3479">
        <f>-F17*44/12</f>
        <v>-1249.0100660902613</v>
      </c>
      <c r="H17" s="226"/>
      <c r="I17" s="2"/>
      <c r="J17" s="2"/>
    </row>
    <row r="18" spans="2:10" ht="18" customHeight="1" thickBot="1" x14ac:dyDescent="0.25">
      <c r="B18" s="547" t="s">
        <v>1728</v>
      </c>
      <c r="C18" s="3487">
        <v>859.15133283176647</v>
      </c>
      <c r="D18" s="3488">
        <f>F18-C18</f>
        <v>-518.51222389805889</v>
      </c>
      <c r="E18" s="3205" t="s">
        <v>205</v>
      </c>
      <c r="F18" s="3489">
        <f>G18/(-44/12)</f>
        <v>340.63910893370763</v>
      </c>
      <c r="G18" s="3490">
        <v>-1249.0100660902613</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31.081119583060698</v>
      </c>
      <c r="D10" s="1882">
        <f t="shared" ref="D10:I10" si="0">IF(SUM(D11,D15,D18,D21)=0,"NO",SUM(D11,D15,D18,D21))</f>
        <v>461.78368269881287</v>
      </c>
      <c r="E10" s="1882">
        <f t="shared" si="0"/>
        <v>1.1808759878538788</v>
      </c>
      <c r="F10" s="1882" t="str">
        <f t="shared" si="0"/>
        <v>NO</v>
      </c>
      <c r="G10" s="1882" t="str">
        <f t="shared" si="0"/>
        <v>NO</v>
      </c>
      <c r="H10" s="1882">
        <f t="shared" si="0"/>
        <v>242.5917865567074</v>
      </c>
      <c r="I10" s="1883" t="str">
        <f t="shared" si="0"/>
        <v>NO</v>
      </c>
      <c r="J10" s="4487">
        <f>IF(SUM(C10:E10)=0,"NO",SUM(C10,IFERROR(28*D10,0),IFERROR(265*E10,0)))</f>
        <v>13273.956371931099</v>
      </c>
    </row>
    <row r="11" spans="1:10" ht="18" customHeight="1" x14ac:dyDescent="0.2">
      <c r="B11" s="1503" t="s">
        <v>1800</v>
      </c>
      <c r="C11" s="2893"/>
      <c r="D11" s="2894">
        <f>IF(SUM(D12:D14)=0,"NO",SUM(D12:D14))</f>
        <v>367.25185656914789</v>
      </c>
      <c r="E11" s="2893"/>
      <c r="F11" s="1886" t="str">
        <f>IF(SUM(F12:F14)=0,"NO",SUM(F12:F14))</f>
        <v>NO</v>
      </c>
      <c r="G11" s="1886" t="str">
        <f t="shared" ref="G11:H11" si="1">IF(SUM(G12:G14)=0,"NO",SUM(G12:G14))</f>
        <v>NO</v>
      </c>
      <c r="H11" s="1886">
        <f t="shared" si="1"/>
        <v>2.9880767159147954</v>
      </c>
      <c r="I11" s="2994"/>
      <c r="J11" s="1886">
        <f t="shared" ref="J11:J18" si="2">IF(SUM(C11:E11)=0,"NO",SUM(C11,IFERROR(28*D11,0),IFERROR(265*E11,0)))</f>
        <v>10283.05198393614</v>
      </c>
    </row>
    <row r="12" spans="1:10" ht="18" customHeight="1" x14ac:dyDescent="0.2">
      <c r="B12" s="1269" t="s">
        <v>1801</v>
      </c>
      <c r="C12" s="1885"/>
      <c r="D12" s="1884">
        <f>IF(SUM(Table5.A!F10:H10)=0,"NO",SUM(Table5.A!F10))</f>
        <v>367.25185656914789</v>
      </c>
      <c r="E12" s="1885"/>
      <c r="F12" s="2916" t="s">
        <v>205</v>
      </c>
      <c r="G12" s="2916" t="s">
        <v>205</v>
      </c>
      <c r="H12" s="2916">
        <v>2.9880767159147954</v>
      </c>
      <c r="I12" s="2940"/>
      <c r="J12" s="1887">
        <f t="shared" si="2"/>
        <v>10283.05198393614</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4.0902412799999999</v>
      </c>
      <c r="E15" s="2892">
        <f t="shared" ref="E15" si="3">IF(SUM(E16:E17)=0,"NO",SUM(E16:E17))</f>
        <v>0.52355088384000004</v>
      </c>
      <c r="F15" s="2892" t="s">
        <v>1805</v>
      </c>
      <c r="G15" s="2892" t="s">
        <v>1805</v>
      </c>
      <c r="H15" s="2892" t="s">
        <v>1805</v>
      </c>
      <c r="I15" s="2997"/>
      <c r="J15" s="2884">
        <f t="shared" si="2"/>
        <v>253.26774005760001</v>
      </c>
    </row>
    <row r="16" spans="1:10" ht="18" customHeight="1" x14ac:dyDescent="0.2">
      <c r="B16" s="1891" t="s">
        <v>1806</v>
      </c>
      <c r="C16" s="2998"/>
      <c r="D16" s="1884">
        <f>Table5.B!F10</f>
        <v>4.0902412799999999</v>
      </c>
      <c r="E16" s="1884">
        <f>Table5.B!G10</f>
        <v>0.52355088384000004</v>
      </c>
      <c r="F16" s="699" t="s">
        <v>205</v>
      </c>
      <c r="G16" s="699" t="s">
        <v>205</v>
      </c>
      <c r="H16" s="699" t="s">
        <v>205</v>
      </c>
      <c r="I16" s="2940"/>
      <c r="J16" s="1887">
        <f t="shared" si="2"/>
        <v>253.26774005760001</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31.081119583060698</v>
      </c>
      <c r="D18" s="2883" t="str">
        <f>IF(SUM(D19:D20)=0,"NO,NE",SUM(D19:D20))</f>
        <v>NO,NE</v>
      </c>
      <c r="E18" s="2883" t="str">
        <f>IF(SUM(E19:E20)=0,"NO,NE",SUM(E19:E20))</f>
        <v>NO,NE</v>
      </c>
      <c r="F18" s="2883" t="s">
        <v>205</v>
      </c>
      <c r="G18" s="2883" t="s">
        <v>205</v>
      </c>
      <c r="H18" s="2883" t="s">
        <v>205</v>
      </c>
      <c r="I18" s="2883" t="s">
        <v>205</v>
      </c>
      <c r="J18" s="2885">
        <f t="shared" si="2"/>
        <v>31.081119583060698</v>
      </c>
    </row>
    <row r="19" spans="2:12" ht="18" customHeight="1" x14ac:dyDescent="0.2">
      <c r="B19" s="1269" t="s">
        <v>1809</v>
      </c>
      <c r="C19" s="1884">
        <f>Table5.C!G10</f>
        <v>31.081119583060698</v>
      </c>
      <c r="D19" s="1884" t="str">
        <f>Table5.C!H10</f>
        <v>NO,NE</v>
      </c>
      <c r="E19" s="1884" t="str">
        <f>Table5.C!I10</f>
        <v>NO,NE</v>
      </c>
      <c r="F19" s="700" t="s">
        <v>205</v>
      </c>
      <c r="G19" s="700" t="s">
        <v>205</v>
      </c>
      <c r="H19" s="700" t="s">
        <v>205</v>
      </c>
      <c r="I19" s="700" t="s">
        <v>205</v>
      </c>
      <c r="J19" s="1887">
        <f>IF(SUM(C19:E19)=0,"NO",SUM(C19,IFERROR(28*D19,0),IFERROR(265*E19,0)))</f>
        <v>31.081119583060698</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90.441584849665006</v>
      </c>
      <c r="E21" s="2883">
        <f t="shared" ref="E21:H21" si="5">IF(SUM(E22:E24)=0,"NO",SUM(E22:E24))</f>
        <v>0.65732510401387878</v>
      </c>
      <c r="F21" s="2883" t="str">
        <f t="shared" si="5"/>
        <v>NO</v>
      </c>
      <c r="G21" s="2883" t="str">
        <f t="shared" si="5"/>
        <v>NO</v>
      </c>
      <c r="H21" s="2883">
        <f t="shared" si="5"/>
        <v>239.60370984079262</v>
      </c>
      <c r="I21" s="3000"/>
      <c r="J21" s="2885">
        <f t="shared" si="4"/>
        <v>2706.5555283542981</v>
      </c>
    </row>
    <row r="22" spans="2:12" ht="18" customHeight="1" x14ac:dyDescent="0.2">
      <c r="B22" s="1269" t="s">
        <v>1812</v>
      </c>
      <c r="C22" s="1894"/>
      <c r="D22" s="1884">
        <f>IF(SUM(Table5.D!H10)=0,"NO",SUM(Table5.D!H10))</f>
        <v>42.453440349016233</v>
      </c>
      <c r="E22" s="1884">
        <f>IF(SUM(Table5.D!I10:J10)=0,"NO",SUM(Table5.D!I10:J10))</f>
        <v>0.65732510401387878</v>
      </c>
      <c r="F22" s="2916" t="s">
        <v>205</v>
      </c>
      <c r="G22" s="2916" t="s">
        <v>205</v>
      </c>
      <c r="H22" s="2916">
        <v>7.6219567974060354</v>
      </c>
      <c r="I22" s="2940"/>
      <c r="J22" s="1887">
        <f t="shared" si="4"/>
        <v>1362.8874823361325</v>
      </c>
    </row>
    <row r="23" spans="2:12" ht="18" customHeight="1" x14ac:dyDescent="0.2">
      <c r="B23" s="1269" t="s">
        <v>1813</v>
      </c>
      <c r="C23" s="1894"/>
      <c r="D23" s="1884">
        <f>IF(SUM(Table5.D!H11)=0,"NO",SUM(Table5.D!H11))</f>
        <v>47.988144500648772</v>
      </c>
      <c r="E23" s="1884" t="str">
        <f>IF(SUM(Table5.D!I11:J11)=0,"IE",SUM(Table5.D!I11:J11))</f>
        <v>IE</v>
      </c>
      <c r="F23" s="2916" t="s">
        <v>205</v>
      </c>
      <c r="G23" s="2916" t="s">
        <v>205</v>
      </c>
      <c r="H23" s="2916">
        <v>231.98175304338659</v>
      </c>
      <c r="I23" s="2940"/>
      <c r="J23" s="1887">
        <f t="shared" si="4"/>
        <v>1343.6680460181656</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291485.50700511056</v>
      </c>
      <c r="D28" s="1903"/>
      <c r="E28" s="1903"/>
      <c r="F28" s="1903"/>
      <c r="G28" s="1903"/>
      <c r="H28" s="1903"/>
      <c r="I28" s="1904"/>
      <c r="J28" s="1907"/>
      <c r="K28"/>
      <c r="L28"/>
    </row>
    <row r="29" spans="2:12" ht="18" customHeight="1" x14ac:dyDescent="0.2">
      <c r="B29" s="4215" t="s">
        <v>1819</v>
      </c>
      <c r="C29" s="1905">
        <v>3747.4598425369718</v>
      </c>
      <c r="D29" s="1906"/>
      <c r="E29" s="1906"/>
      <c r="F29" s="1906"/>
      <c r="G29" s="1906"/>
      <c r="H29" s="1906"/>
      <c r="I29" s="1907"/>
      <c r="J29" s="1907"/>
      <c r="K29"/>
      <c r="L29"/>
    </row>
    <row r="30" spans="2:12" ht="18" customHeight="1" thickBot="1" x14ac:dyDescent="0.25">
      <c r="B30" s="4216" t="s">
        <v>1820</v>
      </c>
      <c r="C30" s="1899">
        <v>1880.2642345630181</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K14" sqref="K14"/>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18496.947365855944</v>
      </c>
      <c r="D10" s="3678"/>
      <c r="E10" s="4121">
        <f>IF(SUM(C10)=0,"NA",(F10-G10-H10)/C10)</f>
        <v>3.634747116823607E-2</v>
      </c>
      <c r="F10" s="3679">
        <f>F11</f>
        <v>367.25185656914789</v>
      </c>
      <c r="G10" s="3679">
        <f>G11</f>
        <v>-15.747245647803357</v>
      </c>
      <c r="H10" s="3680">
        <f>H11</f>
        <v>-289.31815886387784</v>
      </c>
      <c r="I10" s="44"/>
    </row>
    <row r="11" spans="1:13" ht="18" customHeight="1" x14ac:dyDescent="0.2">
      <c r="B11" s="1753" t="s">
        <v>1834</v>
      </c>
      <c r="C11" s="3681">
        <f>IF(SUM(C13:C16)=0,"NO",SUM(C13:C16))</f>
        <v>18496.947365855944</v>
      </c>
      <c r="D11" s="3681">
        <v>1</v>
      </c>
      <c r="E11" s="4121">
        <f>IF(SUM(C11)=0,"NA",(F11-G11-H11)/C11)</f>
        <v>3.634747116823607E-2</v>
      </c>
      <c r="F11" s="4227">
        <f>IF(SUM(F13:F16)=0,"NO",SUM(F13:F16))</f>
        <v>367.25185656914789</v>
      </c>
      <c r="G11" s="3682">
        <v>-15.747245647803357</v>
      </c>
      <c r="H11" s="3683">
        <v>-289.31815886387784</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11147.94521025599</v>
      </c>
      <c r="D13" s="3688">
        <v>1</v>
      </c>
      <c r="E13" s="4218" t="s">
        <v>274</v>
      </c>
      <c r="F13" s="3688">
        <v>14.342865083641376</v>
      </c>
      <c r="G13" s="3689"/>
      <c r="H13" s="3690"/>
      <c r="I13" s="44"/>
    </row>
    <row r="14" spans="1:13" ht="18" customHeight="1" x14ac:dyDescent="0.2">
      <c r="B14" s="1754" t="s">
        <v>1837</v>
      </c>
      <c r="C14" s="3688">
        <v>1835.090108064006</v>
      </c>
      <c r="D14" s="3688">
        <v>1</v>
      </c>
      <c r="E14" s="3681" t="s">
        <v>274</v>
      </c>
      <c r="F14" s="3688">
        <v>148.94445269859582</v>
      </c>
      <c r="G14" s="3689"/>
      <c r="H14" s="3690"/>
      <c r="I14" s="44"/>
    </row>
    <row r="15" spans="1:13" ht="18" customHeight="1" x14ac:dyDescent="0.2">
      <c r="B15" s="1754" t="s">
        <v>1838</v>
      </c>
      <c r="C15" s="3688">
        <v>5513.9120475359468</v>
      </c>
      <c r="D15" s="3688">
        <v>1</v>
      </c>
      <c r="E15" s="4121" t="s">
        <v>274</v>
      </c>
      <c r="F15" s="3688">
        <v>203.96453878691071</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5453.6550392569852</v>
      </c>
      <c r="D10" s="1938">
        <f>IF(SUM($C10)=0,"NA",F10*1000/$C10)</f>
        <v>0.75000000010218115</v>
      </c>
      <c r="E10" s="1938">
        <f>IF(SUM($C10)=0,"NA",G10*1000/$C10)</f>
        <v>9.6000000013079193E-2</v>
      </c>
      <c r="F10" s="1934">
        <f>IF(SUM(F11:F12)=0,"NO",SUM(F11:F12))</f>
        <v>4.0902412799999999</v>
      </c>
      <c r="G10" s="1934">
        <f>IF(SUM(G11:G12)=0,"NO",SUM(G11:G12))</f>
        <v>0.52355088384000004</v>
      </c>
      <c r="H10" s="1935"/>
      <c r="I10" s="1936"/>
    </row>
    <row r="11" spans="1:9" ht="18" customHeight="1" x14ac:dyDescent="0.2">
      <c r="B11" s="1525" t="s">
        <v>1851</v>
      </c>
      <c r="C11" s="1937">
        <v>5453.6550392569852</v>
      </c>
      <c r="D11" s="1938">
        <f>IF(SUM($C11)=0,"NA",F11*1000/$C11)</f>
        <v>0.75000000010218115</v>
      </c>
      <c r="E11" s="1938">
        <f>IF(SUM($C11)=0,"NA",G11*1000/$C11)</f>
        <v>9.6000000013079193E-2</v>
      </c>
      <c r="F11" s="1937">
        <v>4.0902412799999999</v>
      </c>
      <c r="G11" s="1937">
        <v>0.52355088384000004</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21.367867416587288</v>
      </c>
      <c r="D10" s="2898">
        <f t="shared" ref="D10:D20" si="0">IF(SUM(G10)=0,"NA",G10*1000/$C10)</f>
        <v>1454.5728395400508</v>
      </c>
      <c r="E10" s="2898" t="str">
        <f t="shared" ref="E10:E20" si="1">IF(SUM(H10)=0,"NA",H10*1000/$C10)</f>
        <v>NA</v>
      </c>
      <c r="F10" s="2898" t="str">
        <f t="shared" ref="F10:F20" si="2">IF(SUM(I10)=0,"NA",I10*1000/$C10)</f>
        <v>NA</v>
      </c>
      <c r="G10" s="2898">
        <f>IF(SUM(G11,G21)=0,"NO",SUM(G11,G21))</f>
        <v>31.081119583060698</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21.367867416587288</v>
      </c>
      <c r="D21" s="116">
        <f>IF(SUM(G21)=0,"NA",G21*1000/$C21)</f>
        <v>1454.5728395400508</v>
      </c>
      <c r="E21" s="116" t="str">
        <f t="shared" ref="E21:F21" si="3">IF(SUM(H21)=0,"NA",H21*1000/$C21)</f>
        <v>NA</v>
      </c>
      <c r="F21" s="116" t="str">
        <f t="shared" si="3"/>
        <v>NA</v>
      </c>
      <c r="G21" s="2900">
        <f>IF(SUM(G22:G23)=0,"NO",SUM(G22:G23))</f>
        <v>31.081119583060698</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21.367867416587288</v>
      </c>
      <c r="D23" s="116">
        <f t="shared" si="4"/>
        <v>1454.5728395400508</v>
      </c>
      <c r="E23" s="151" t="str">
        <f t="shared" si="5"/>
        <v>NA</v>
      </c>
      <c r="F23" s="151" t="str">
        <f t="shared" si="6"/>
        <v>NA</v>
      </c>
      <c r="G23" s="151">
        <f>IF(SUM(G25:G30)=0,"NO",SUM(G25:G30))</f>
        <v>31.081119583060698</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15.75354683074514</v>
      </c>
      <c r="D27" s="116">
        <f t="shared" si="4"/>
        <v>879.99999995837618</v>
      </c>
      <c r="E27" s="116" t="str">
        <f t="shared" si="5"/>
        <v>NA</v>
      </c>
      <c r="F27" s="116" t="str">
        <f t="shared" si="6"/>
        <v>NA</v>
      </c>
      <c r="G27" s="2908">
        <v>13.863121210400001</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K10" sqref="K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23128.356</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32.736266181385062</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2066.5827330662082</v>
      </c>
      <c r="D10" s="3399">
        <v>1659.7968457986167</v>
      </c>
      <c r="E10" s="3399">
        <v>122.3789141616995</v>
      </c>
      <c r="F10" s="3400">
        <f>(SUM(H10)-SUM(K10:L10))/C10</f>
        <v>4.4584471317594111E-2</v>
      </c>
      <c r="G10" s="3400">
        <f>SUM(I10:J10)/E10/(44/28)</f>
        <v>3.4180544608418384E-3</v>
      </c>
      <c r="H10" s="3398">
        <v>42.453440349016233</v>
      </c>
      <c r="I10" s="3190">
        <v>0.65732510401387878</v>
      </c>
      <c r="J10" s="3190" t="s">
        <v>274</v>
      </c>
      <c r="K10" s="3401">
        <v>-8.8809658666666671</v>
      </c>
      <c r="L10" s="2921">
        <v>-40.803092372142707</v>
      </c>
      <c r="M10"/>
      <c r="N10" s="1773" t="s">
        <v>1910</v>
      </c>
      <c r="O10" s="3403">
        <v>1</v>
      </c>
    </row>
    <row r="11" spans="1:15" ht="18" customHeight="1" x14ac:dyDescent="0.2">
      <c r="A11"/>
      <c r="B11" s="1752" t="s">
        <v>1813</v>
      </c>
      <c r="C11" s="3399">
        <v>773.27251014462229</v>
      </c>
      <c r="D11" s="3399">
        <v>135.63140965644007</v>
      </c>
      <c r="E11" s="699" t="s">
        <v>274</v>
      </c>
      <c r="F11" s="3134">
        <f>(SUM(H11)-SUM(K11:L11))/C11</f>
        <v>7.0565946092090812E-2</v>
      </c>
      <c r="G11" s="3134" t="s">
        <v>205</v>
      </c>
      <c r="H11" s="699">
        <v>47.988144500648772</v>
      </c>
      <c r="I11" s="699" t="s">
        <v>274</v>
      </c>
      <c r="J11" s="699" t="s">
        <v>274</v>
      </c>
      <c r="K11" s="3125" t="s">
        <v>274</v>
      </c>
      <c r="L11" s="2921">
        <v>-6.5785617647123864</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389541.74059074587</v>
      </c>
      <c r="D10" s="3798">
        <f t="shared" si="0"/>
        <v>4953.1042223718496</v>
      </c>
      <c r="E10" s="3798">
        <f t="shared" si="0"/>
        <v>76.992078892942075</v>
      </c>
      <c r="F10" s="3798">
        <f t="shared" si="0"/>
        <v>8187.2588327414196</v>
      </c>
      <c r="G10" s="3798">
        <f t="shared" si="0"/>
        <v>172.62441408027018</v>
      </c>
      <c r="H10" s="3798" t="str">
        <f>IF(SUM(H11,H22,H31,H42,H51)=0,"NO",SUM(H11,H22,H31,H42,H51))</f>
        <v>NO</v>
      </c>
      <c r="I10" s="3798">
        <f t="shared" ref="I10:N10" si="1">IF(SUM(I11,I22,I31,I42,I51)=0,"NO",SUM(I11,I22,I31,I42,I51))</f>
        <v>4.581432148281132E-3</v>
      </c>
      <c r="J10" s="3826" t="str">
        <f t="shared" si="1"/>
        <v>NO</v>
      </c>
      <c r="K10" s="3798">
        <f t="shared" si="1"/>
        <v>3445.0660983919788</v>
      </c>
      <c r="L10" s="3798">
        <f t="shared" si="1"/>
        <v>27194.851844122059</v>
      </c>
      <c r="M10" s="3798">
        <f t="shared" si="1"/>
        <v>1826.4047518273808</v>
      </c>
      <c r="N10" s="3799">
        <f t="shared" si="1"/>
        <v>2414.1866058416099</v>
      </c>
      <c r="O10" s="3800">
        <f>IF(SUM(C10:J10)=0,"NO",SUM(C10,F10:H10)+28*SUM(D10)+265*SUM(E10)+23500*SUM(I10)+16100*SUM(J10))</f>
        <v>557099.10662609362</v>
      </c>
    </row>
    <row r="11" spans="1:15" ht="18" customHeight="1" x14ac:dyDescent="0.25">
      <c r="B11" s="1116" t="s">
        <v>1921</v>
      </c>
      <c r="C11" s="2572">
        <f>Table1!C10</f>
        <v>377178.33140094014</v>
      </c>
      <c r="D11" s="3766">
        <f>Table1!D10</f>
        <v>1383.3213826335241</v>
      </c>
      <c r="E11" s="3766">
        <f>Table1!E10</f>
        <v>12.259990979875685</v>
      </c>
      <c r="F11" s="1553"/>
      <c r="G11" s="1553"/>
      <c r="H11" s="3714"/>
      <c r="I11" s="1553"/>
      <c r="J11" s="98"/>
      <c r="K11" s="3766">
        <f>Table1!F10</f>
        <v>2481.1909829534402</v>
      </c>
      <c r="L11" s="3713">
        <f>Table1!G10</f>
        <v>2493.4876885252702</v>
      </c>
      <c r="M11" s="3713">
        <f>Table1!H10</f>
        <v>731.44574800654777</v>
      </c>
      <c r="N11" s="960">
        <f>Table1!I10</f>
        <v>700.68723017820935</v>
      </c>
      <c r="O11" s="3715">
        <f t="shared" ref="O11:O58" si="2">IF(SUM(C11:J11)=0,"NO",SUM(C11,F11:H11)+28*SUM(D11)+265*SUM(E11)+23500*SUM(I11)+16100*SUM(J11))</f>
        <v>419160.22772434587</v>
      </c>
    </row>
    <row r="12" spans="1:15" ht="18" customHeight="1" x14ac:dyDescent="0.25">
      <c r="B12" s="1369" t="s">
        <v>1922</v>
      </c>
      <c r="C12" s="3794">
        <f>Table1!C11</f>
        <v>368323.72147592145</v>
      </c>
      <c r="D12" s="617">
        <f>Table1!D11</f>
        <v>78.343958829686557</v>
      </c>
      <c r="E12" s="617">
        <f>Table1!E11</f>
        <v>12.139203091385387</v>
      </c>
      <c r="F12" s="69"/>
      <c r="G12" s="69"/>
      <c r="H12" s="69"/>
      <c r="I12" s="69"/>
      <c r="J12" s="69"/>
      <c r="K12" s="617">
        <f>Table1!F11</f>
        <v>2479.3408889494654</v>
      </c>
      <c r="L12" s="617">
        <f>Table1!G11</f>
        <v>2482.9303218722357</v>
      </c>
      <c r="M12" s="617">
        <f>Table1!H11</f>
        <v>523.55723467446512</v>
      </c>
      <c r="N12" s="619">
        <f>Table1!I11</f>
        <v>700.68723017820935</v>
      </c>
      <c r="O12" s="3716">
        <f t="shared" si="2"/>
        <v>373734.24114236981</v>
      </c>
    </row>
    <row r="13" spans="1:15" ht="18" customHeight="1" x14ac:dyDescent="0.25">
      <c r="B13" s="1370" t="s">
        <v>1923</v>
      </c>
      <c r="C13" s="3794">
        <f>Table1!C12</f>
        <v>209738.86269675242</v>
      </c>
      <c r="D13" s="617">
        <f>Table1!D12</f>
        <v>20.611341705573661</v>
      </c>
      <c r="E13" s="617">
        <f>Table1!E12</f>
        <v>4.0909877996657462</v>
      </c>
      <c r="F13" s="69"/>
      <c r="G13" s="69"/>
      <c r="H13" s="69"/>
      <c r="I13" s="69"/>
      <c r="J13" s="69"/>
      <c r="K13" s="617">
        <f>Table1!F12</f>
        <v>1040.63938634586</v>
      </c>
      <c r="L13" s="617">
        <f>Table1!G12</f>
        <v>220.23802216369967</v>
      </c>
      <c r="M13" s="617">
        <f>Table1!H12</f>
        <v>63.694779442223933</v>
      </c>
      <c r="N13" s="619">
        <f>Table1!I12</f>
        <v>577.00426459407208</v>
      </c>
      <c r="O13" s="3717">
        <f t="shared" si="2"/>
        <v>211400.09203141992</v>
      </c>
    </row>
    <row r="14" spans="1:15" ht="18" customHeight="1" x14ac:dyDescent="0.25">
      <c r="B14" s="1370" t="s">
        <v>1924</v>
      </c>
      <c r="C14" s="3794">
        <f>Table1!C16</f>
        <v>45496.846030480068</v>
      </c>
      <c r="D14" s="3718">
        <f>Table1!D16</f>
        <v>2.5643379299736306</v>
      </c>
      <c r="E14" s="3718">
        <f>Table1!E16</f>
        <v>1.5116382527261478</v>
      </c>
      <c r="F14" s="3719"/>
      <c r="G14" s="3719"/>
      <c r="H14" s="3719"/>
      <c r="I14" s="3719"/>
      <c r="J14" s="69"/>
      <c r="K14" s="3718">
        <f>Table1!F16</f>
        <v>768.10031559407435</v>
      </c>
      <c r="L14" s="3718">
        <f>Table1!G16</f>
        <v>247.31832839302444</v>
      </c>
      <c r="M14" s="3718">
        <f>Table1!H16</f>
        <v>103.60798060261314</v>
      </c>
      <c r="N14" s="3720">
        <f>Table1!I16</f>
        <v>92.784817239867181</v>
      </c>
      <c r="O14" s="3721">
        <f t="shared" si="2"/>
        <v>45969.231629491762</v>
      </c>
    </row>
    <row r="15" spans="1:15" ht="18" customHeight="1" x14ac:dyDescent="0.25">
      <c r="B15" s="1370" t="s">
        <v>1925</v>
      </c>
      <c r="C15" s="3794">
        <f>Table1!C24</f>
        <v>91143.808302532998</v>
      </c>
      <c r="D15" s="617">
        <f>Table1!D24</f>
        <v>15.864149704567856</v>
      </c>
      <c r="E15" s="617">
        <f>Table1!E24</f>
        <v>5.8347641882832999</v>
      </c>
      <c r="F15" s="69"/>
      <c r="G15" s="69"/>
      <c r="H15" s="69"/>
      <c r="I15" s="69"/>
      <c r="J15" s="69"/>
      <c r="K15" s="617">
        <f>Table1!F24</f>
        <v>300.45211392489927</v>
      </c>
      <c r="L15" s="617">
        <f>Table1!G24</f>
        <v>1333.965381401121</v>
      </c>
      <c r="M15" s="617">
        <f>Table1!H24</f>
        <v>239.44214090645653</v>
      </c>
      <c r="N15" s="619">
        <f>Table1!I24</f>
        <v>22.735298770013781</v>
      </c>
      <c r="O15" s="3717">
        <f t="shared" si="2"/>
        <v>93134.217004155973</v>
      </c>
    </row>
    <row r="16" spans="1:15" ht="18" customHeight="1" x14ac:dyDescent="0.25">
      <c r="B16" s="1370" t="s">
        <v>1926</v>
      </c>
      <c r="C16" s="3794">
        <f>Table1!C30</f>
        <v>21040.688190571178</v>
      </c>
      <c r="D16" s="617">
        <f>Table1!D30</f>
        <v>39.276417338321792</v>
      </c>
      <c r="E16" s="617">
        <f>Table1!E30</f>
        <v>0.67625281011968363</v>
      </c>
      <c r="F16" s="69"/>
      <c r="G16" s="69"/>
      <c r="H16" s="69"/>
      <c r="I16" s="69"/>
      <c r="J16" s="69"/>
      <c r="K16" s="617">
        <f>Table1!F30</f>
        <v>362.82305347309244</v>
      </c>
      <c r="L16" s="617">
        <f>Table1!G30</f>
        <v>678.66835154339617</v>
      </c>
      <c r="M16" s="617">
        <f>Table1!H30</f>
        <v>116.39753851726853</v>
      </c>
      <c r="N16" s="619">
        <f>Table1!I30</f>
        <v>7.8842945952085923</v>
      </c>
      <c r="O16" s="3717">
        <f t="shared" si="2"/>
        <v>22319.634870725906</v>
      </c>
    </row>
    <row r="17" spans="2:15" ht="18" customHeight="1" x14ac:dyDescent="0.25">
      <c r="B17" s="1370" t="s">
        <v>1927</v>
      </c>
      <c r="C17" s="3794">
        <f>Table1!C34</f>
        <v>903.51625558477349</v>
      </c>
      <c r="D17" s="617">
        <f>Table1!D34</f>
        <v>2.7712151249619763E-2</v>
      </c>
      <c r="E17" s="617">
        <f>Table1!E34</f>
        <v>2.5560040590508946E-2</v>
      </c>
      <c r="F17" s="69"/>
      <c r="G17" s="69"/>
      <c r="H17" s="69"/>
      <c r="I17" s="69"/>
      <c r="J17" s="69"/>
      <c r="K17" s="617">
        <f>Table1!F34</f>
        <v>7.3260196115394729</v>
      </c>
      <c r="L17" s="617">
        <f>Table1!G34</f>
        <v>2.7402383709944216</v>
      </c>
      <c r="M17" s="617">
        <f>Table1!H34</f>
        <v>0.414795205902869</v>
      </c>
      <c r="N17" s="619">
        <f>Table1!I34</f>
        <v>0.27855497904768034</v>
      </c>
      <c r="O17" s="3717">
        <f t="shared" si="2"/>
        <v>911.06560657624766</v>
      </c>
    </row>
    <row r="18" spans="2:15" ht="18" customHeight="1" x14ac:dyDescent="0.25">
      <c r="B18" s="1369" t="s">
        <v>201</v>
      </c>
      <c r="C18" s="3711">
        <f>Table1!C37</f>
        <v>8854.6099250187071</v>
      </c>
      <c r="D18" s="3795">
        <f>Table1!D37</f>
        <v>1304.9774238038376</v>
      </c>
      <c r="E18" s="3795">
        <f>Table1!E37</f>
        <v>0.12078788849029787</v>
      </c>
      <c r="F18" s="69"/>
      <c r="G18" s="69"/>
      <c r="H18" s="69"/>
      <c r="I18" s="69"/>
      <c r="J18" s="69"/>
      <c r="K18" s="3795">
        <f>Table1!F37</f>
        <v>1.8500940039748812</v>
      </c>
      <c r="L18" s="617">
        <f>Table1!G37</f>
        <v>10.557366653034308</v>
      </c>
      <c r="M18" s="617">
        <f>Table1!H37</f>
        <v>207.8885133320826</v>
      </c>
      <c r="N18" s="619" t="str">
        <f>Table1!I37</f>
        <v>NO</v>
      </c>
      <c r="O18" s="3717">
        <f t="shared" si="2"/>
        <v>45425.986581976096</v>
      </c>
    </row>
    <row r="19" spans="2:15" ht="18" customHeight="1" x14ac:dyDescent="0.25">
      <c r="B19" s="1370" t="s">
        <v>1928</v>
      </c>
      <c r="C19" s="3712">
        <f>Table1!C38</f>
        <v>1887.6981156232673</v>
      </c>
      <c r="D19" s="3722">
        <f>Table1!D38</f>
        <v>1065.6667339707169</v>
      </c>
      <c r="E19" s="3795">
        <f>Table1!E38</f>
        <v>1.085977925640887E-3</v>
      </c>
      <c r="F19" s="69"/>
      <c r="G19" s="69"/>
      <c r="H19" s="69"/>
      <c r="I19" s="69"/>
      <c r="J19" s="69"/>
      <c r="K19" s="3795" t="str">
        <f>Table1!F38</f>
        <v>NO</v>
      </c>
      <c r="L19" s="617" t="str">
        <f>Table1!G38</f>
        <v>NO</v>
      </c>
      <c r="M19" s="617" t="str">
        <f>Table1!H38</f>
        <v>NO</v>
      </c>
      <c r="N19" s="619" t="str">
        <f>Table1!I38</f>
        <v>NO</v>
      </c>
      <c r="O19" s="3717">
        <f t="shared" si="2"/>
        <v>31726.65445095364</v>
      </c>
    </row>
    <row r="20" spans="2:15" ht="18" customHeight="1" x14ac:dyDescent="0.25">
      <c r="B20" s="1371" t="s">
        <v>1929</v>
      </c>
      <c r="C20" s="3712">
        <f>Table1!C42</f>
        <v>6966.9118093954394</v>
      </c>
      <c r="D20" s="3796">
        <f>Table1!D42</f>
        <v>239.31068983312076</v>
      </c>
      <c r="E20" s="3795">
        <f>Table1!E42</f>
        <v>0.11970191056465698</v>
      </c>
      <c r="F20" s="3719"/>
      <c r="G20" s="3719"/>
      <c r="H20" s="3719"/>
      <c r="I20" s="3719"/>
      <c r="J20" s="69"/>
      <c r="K20" s="3795">
        <f>Table1!F42</f>
        <v>1.8500940039748812</v>
      </c>
      <c r="L20" s="3718">
        <f>Table1!G42</f>
        <v>10.557366653034308</v>
      </c>
      <c r="M20" s="3718">
        <f>Table1!H42</f>
        <v>207.8885133320826</v>
      </c>
      <c r="N20" s="3720" t="str">
        <f>Table1!I42</f>
        <v>NO</v>
      </c>
      <c r="O20" s="3721">
        <f t="shared" si="2"/>
        <v>13699.332131022456</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19819.986049090236</v>
      </c>
      <c r="D22" s="3727">
        <f>'Table2(I)'!D10</f>
        <v>2.7391028704162332</v>
      </c>
      <c r="E22" s="3728">
        <f>'Table2(I)'!E10</f>
        <v>4.9850658574730646</v>
      </c>
      <c r="F22" s="3713">
        <f>'Table2(I)'!F10</f>
        <v>8187.2588327414196</v>
      </c>
      <c r="G22" s="3713">
        <f>'Table2(I)'!G10</f>
        <v>172.62441408027018</v>
      </c>
      <c r="H22" s="3713" t="str">
        <f>'Table2(I)'!H10</f>
        <v>NO</v>
      </c>
      <c r="I22" s="3713">
        <f>'Table2(I)'!I10</f>
        <v>4.581432148281132E-3</v>
      </c>
      <c r="J22" s="3713" t="str">
        <f>'Table2(I)'!J10</f>
        <v>NO</v>
      </c>
      <c r="K22" s="3713">
        <f>'Table2(I)'!K10</f>
        <v>6.5913176527148671</v>
      </c>
      <c r="L22" s="3713">
        <f>'Table2(I)'!L10</f>
        <v>16.057180943614814</v>
      </c>
      <c r="M22" s="3713">
        <f>'Table2(I)'!M10</f>
        <v>237.58257763270387</v>
      </c>
      <c r="N22" s="960">
        <f>'Table2(I)'!N10</f>
        <v>1713.4993756634003</v>
      </c>
      <c r="O22" s="3715">
        <f t="shared" si="2"/>
        <v>29685.27028399855</v>
      </c>
    </row>
    <row r="23" spans="2:15" ht="18" customHeight="1" x14ac:dyDescent="0.25">
      <c r="B23" s="1129" t="s">
        <v>1932</v>
      </c>
      <c r="C23" s="3729">
        <f>'Table2(I)'!C11</f>
        <v>6105.2887144225642</v>
      </c>
      <c r="D23" s="3730"/>
      <c r="E23" s="98"/>
      <c r="F23" s="98"/>
      <c r="G23" s="98"/>
      <c r="H23" s="98"/>
      <c r="I23" s="98"/>
      <c r="J23" s="69"/>
      <c r="K23" s="620" t="str">
        <f>'Table2(I)'!K11</f>
        <v>NO</v>
      </c>
      <c r="L23" s="620" t="str">
        <f>'Table2(I)'!L11</f>
        <v>NO</v>
      </c>
      <c r="M23" s="620" t="str">
        <f>'Table2(I)'!M11</f>
        <v>NO</v>
      </c>
      <c r="N23" s="622" t="str">
        <f>'Table2(I)'!N11</f>
        <v>NO</v>
      </c>
      <c r="O23" s="3716">
        <f t="shared" si="2"/>
        <v>6105.2887144225642</v>
      </c>
    </row>
    <row r="24" spans="2:15" ht="18" customHeight="1" x14ac:dyDescent="0.25">
      <c r="B24" s="1129" t="s">
        <v>846</v>
      </c>
      <c r="C24" s="3729">
        <f>'Table2(I)'!C16</f>
        <v>3139.8890230772722</v>
      </c>
      <c r="D24" s="3731">
        <f>'Table2(I)'!D16</f>
        <v>0.57776359999999993</v>
      </c>
      <c r="E24" s="3732">
        <f>'Table2(I)'!E16</f>
        <v>4.9338356261489773</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4463.5328448067512</v>
      </c>
    </row>
    <row r="25" spans="2:15" ht="18" customHeight="1" x14ac:dyDescent="0.25">
      <c r="B25" s="1129" t="s">
        <v>637</v>
      </c>
      <c r="C25" s="3729">
        <f>'Table2(I)'!C27</f>
        <v>10125.110621348897</v>
      </c>
      <c r="D25" s="3731">
        <f>'Table2(I)'!D27</f>
        <v>2.1613392704162333</v>
      </c>
      <c r="E25" s="3732">
        <f>'Table2(I)'!E27</f>
        <v>5.1230231324087425E-2</v>
      </c>
      <c r="F25" s="617" t="str">
        <f>'Table2(I)'!F27</f>
        <v>NO</v>
      </c>
      <c r="G25" s="617">
        <f>'Table2(I)'!G27</f>
        <v>172.62441408027018</v>
      </c>
      <c r="H25" s="617" t="str">
        <f>'Table2(I)'!H27</f>
        <v>NO</v>
      </c>
      <c r="I25" s="617" t="str">
        <f>'Table2(I)'!I27</f>
        <v>NO</v>
      </c>
      <c r="J25" s="617" t="str">
        <f>'Table2(I)'!J27</f>
        <v>NO</v>
      </c>
      <c r="K25" s="617">
        <f>'Table2(I)'!K27</f>
        <v>6.5913176527148671</v>
      </c>
      <c r="L25" s="617">
        <f>'Table2(I)'!L27</f>
        <v>16.057180943614814</v>
      </c>
      <c r="M25" s="617">
        <f>'Table2(I)'!M27</f>
        <v>6.3006841587844295E-2</v>
      </c>
      <c r="N25" s="619">
        <f>'Table2(I)'!N27</f>
        <v>1713.4993756634003</v>
      </c>
      <c r="O25" s="3717">
        <f t="shared" si="2"/>
        <v>10371.828546301706</v>
      </c>
    </row>
    <row r="26" spans="2:15" ht="18" customHeight="1" x14ac:dyDescent="0.25">
      <c r="B26" s="1129" t="s">
        <v>1933</v>
      </c>
      <c r="C26" s="3729">
        <f>'Table2(I)'!C35</f>
        <v>209.32935569</v>
      </c>
      <c r="D26" s="3733" t="str">
        <f>'Table2(I)'!D35</f>
        <v>NO</v>
      </c>
      <c r="E26" s="602" t="str">
        <f>'Table2(I)'!E35</f>
        <v>NO</v>
      </c>
      <c r="F26" s="69"/>
      <c r="G26" s="69"/>
      <c r="H26" s="69"/>
      <c r="I26" s="69"/>
      <c r="J26" s="69"/>
      <c r="K26" s="602" t="str">
        <f>'Table2(I)'!K35</f>
        <v>NO</v>
      </c>
      <c r="L26" s="3732" t="str">
        <f>'Table2(I)'!L35</f>
        <v>NO</v>
      </c>
      <c r="M26" s="3732">
        <f>'Table2(I)'!M35</f>
        <v>187.19151247921931</v>
      </c>
      <c r="N26" s="3734" t="str">
        <f>'Table2(I)'!N35</f>
        <v>NO</v>
      </c>
      <c r="O26" s="3717">
        <f t="shared" si="2"/>
        <v>209.32935569</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8187.2588327414196</v>
      </c>
      <c r="G28" s="3718" t="str">
        <f>'Table2(I)'!G45</f>
        <v>NO</v>
      </c>
      <c r="H28" s="3718" t="str">
        <f>'Table2(I)'!H45</f>
        <v>NO</v>
      </c>
      <c r="I28" s="3718" t="str">
        <f>'Table2(I)'!I45</f>
        <v>NO</v>
      </c>
      <c r="J28" s="3718" t="str">
        <f>'Table2(I)'!J45</f>
        <v>NO</v>
      </c>
      <c r="K28" s="3719"/>
      <c r="L28" s="3719"/>
      <c r="M28" s="3719"/>
      <c r="N28" s="3738"/>
      <c r="O28" s="3721">
        <f t="shared" si="2"/>
        <v>8187.2588327414196</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4.581432148281132E-3</v>
      </c>
      <c r="J29" s="602" t="str">
        <f>'Table2(I)'!J52</f>
        <v>NO</v>
      </c>
      <c r="K29" s="3741" t="str">
        <f>'Table2(I)'!K52</f>
        <v>NO</v>
      </c>
      <c r="L29" s="3741" t="str">
        <f>'Table2(I)'!L52</f>
        <v>NO</v>
      </c>
      <c r="M29" s="3741" t="str">
        <f>'Table2(I)'!M52</f>
        <v>NO</v>
      </c>
      <c r="N29" s="3742" t="str">
        <f>'Table2(I)'!N52</f>
        <v>NO</v>
      </c>
      <c r="O29" s="3721">
        <f t="shared" si="2"/>
        <v>107.66365548460661</v>
      </c>
    </row>
    <row r="30" spans="2:15" ht="18" customHeight="1" thickBot="1" x14ac:dyDescent="0.3">
      <c r="B30" s="1374" t="s">
        <v>1936</v>
      </c>
      <c r="C30" s="3743">
        <f>'Table2(I)'!C57</f>
        <v>240.36833455150557</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47.485497631196722</v>
      </c>
      <c r="N30" s="3746" t="str">
        <f>'Table2(I)'!N57</f>
        <v>NA</v>
      </c>
      <c r="O30" s="3747">
        <f t="shared" si="2"/>
        <v>240.36833455150557</v>
      </c>
    </row>
    <row r="31" spans="2:15" ht="18" customHeight="1" x14ac:dyDescent="0.25">
      <c r="B31" s="1130" t="s">
        <v>1937</v>
      </c>
      <c r="C31" s="3789">
        <f>Table3!C10</f>
        <v>2038.1123900765215</v>
      </c>
      <c r="D31" s="3748">
        <f>Table3!D10</f>
        <v>2413.3047906240672</v>
      </c>
      <c r="E31" s="3749">
        <f>Table3!E10</f>
        <v>40.712124607374015</v>
      </c>
      <c r="F31" s="3750"/>
      <c r="G31" s="3750"/>
      <c r="H31" s="3750"/>
      <c r="I31" s="3750"/>
      <c r="J31" s="3750"/>
      <c r="K31" s="3751">
        <f>Table3!F10</f>
        <v>23.451409339934074</v>
      </c>
      <c r="L31" s="3751">
        <f>Table3!G10</f>
        <v>370.72642008033051</v>
      </c>
      <c r="M31" s="3751">
        <f>Table3!H10</f>
        <v>21.625707838019281</v>
      </c>
      <c r="N31" s="3752" t="str">
        <f>Table3!I10</f>
        <v>NO</v>
      </c>
      <c r="O31" s="3716">
        <f t="shared" si="2"/>
        <v>80399.359548504523</v>
      </c>
    </row>
    <row r="32" spans="2:15" ht="18" customHeight="1" x14ac:dyDescent="0.25">
      <c r="B32" s="1131" t="s">
        <v>1938</v>
      </c>
      <c r="C32" s="3735"/>
      <c r="D32" s="3753">
        <f>Table3!D11</f>
        <v>2139.5329622033564</v>
      </c>
      <c r="E32" s="98"/>
      <c r="F32" s="3754"/>
      <c r="G32" s="3754"/>
      <c r="H32" s="3730"/>
      <c r="I32" s="3754"/>
      <c r="J32" s="3730"/>
      <c r="K32" s="98"/>
      <c r="L32" s="98"/>
      <c r="M32" s="98"/>
      <c r="N32" s="3755"/>
      <c r="O32" s="3716">
        <f t="shared" si="2"/>
        <v>59906.922941693978</v>
      </c>
    </row>
    <row r="33" spans="2:15" ht="18" customHeight="1" x14ac:dyDescent="0.25">
      <c r="B33" s="1131" t="s">
        <v>1939</v>
      </c>
      <c r="C33" s="3735"/>
      <c r="D33" s="3722">
        <f>Table3!D21</f>
        <v>246.20890485262561</v>
      </c>
      <c r="E33" s="3722">
        <f>Table3!E21</f>
        <v>1.8689614980946547</v>
      </c>
      <c r="F33" s="3754"/>
      <c r="G33" s="3754"/>
      <c r="H33" s="3754"/>
      <c r="I33" s="3754"/>
      <c r="J33" s="3754"/>
      <c r="K33" s="69"/>
      <c r="L33" s="69"/>
      <c r="M33" s="3756" t="str">
        <f>Table3!H21</f>
        <v>NE</v>
      </c>
      <c r="N33" s="3757"/>
      <c r="O33" s="3717">
        <f t="shared" si="2"/>
        <v>7389.1241328686001</v>
      </c>
    </row>
    <row r="34" spans="2:15" ht="18" customHeight="1" x14ac:dyDescent="0.25">
      <c r="B34" s="1131" t="s">
        <v>1940</v>
      </c>
      <c r="C34" s="3735"/>
      <c r="D34" s="3722">
        <f>Table3!D32</f>
        <v>18.057117925000004</v>
      </c>
      <c r="E34" s="69"/>
      <c r="F34" s="3754"/>
      <c r="G34" s="3754"/>
      <c r="H34" s="3754"/>
      <c r="I34" s="3754"/>
      <c r="J34" s="3754"/>
      <c r="K34" s="69"/>
      <c r="L34" s="69"/>
      <c r="M34" s="3756" t="str">
        <f>Table3!H32</f>
        <v>NE</v>
      </c>
      <c r="N34" s="3757"/>
      <c r="O34" s="3717">
        <f t="shared" si="2"/>
        <v>505.59930190000011</v>
      </c>
    </row>
    <row r="35" spans="2:15" ht="18" customHeight="1" x14ac:dyDescent="0.25">
      <c r="B35" s="1131" t="s">
        <v>1941</v>
      </c>
      <c r="C35" s="3758"/>
      <c r="D35" s="3722" t="str">
        <f>Table3!D33</f>
        <v>NE</v>
      </c>
      <c r="E35" s="3722">
        <f>Table3!E33</f>
        <v>38.437254657764143</v>
      </c>
      <c r="F35" s="3754"/>
      <c r="G35" s="3754"/>
      <c r="H35" s="3754"/>
      <c r="I35" s="3754"/>
      <c r="J35" s="3754"/>
      <c r="K35" s="3756" t="str">
        <f>Table3!F33</f>
        <v>NO</v>
      </c>
      <c r="L35" s="3756" t="str">
        <f>Table3!G33</f>
        <v>NO</v>
      </c>
      <c r="M35" s="3756" t="str">
        <f>Table3!H33</f>
        <v>NO</v>
      </c>
      <c r="N35" s="3757"/>
      <c r="O35" s="3717">
        <f t="shared" si="2"/>
        <v>10185.872484307498</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9.505805643085397</v>
      </c>
      <c r="E37" s="3722">
        <f>Table3!E44</f>
        <v>0.40590845151521493</v>
      </c>
      <c r="F37" s="3754"/>
      <c r="G37" s="3754"/>
      <c r="H37" s="3754"/>
      <c r="I37" s="3754"/>
      <c r="J37" s="3754"/>
      <c r="K37" s="3756">
        <f>Table3!F44</f>
        <v>23.451409339934074</v>
      </c>
      <c r="L37" s="3756">
        <f>Table3!G44</f>
        <v>370.72642008033051</v>
      </c>
      <c r="M37" s="3756">
        <f>Table3!H44</f>
        <v>21.625707838019281</v>
      </c>
      <c r="N37" s="3756" t="str">
        <f>Table3!I44</f>
        <v>NO</v>
      </c>
      <c r="O37" s="3717">
        <f t="shared" si="2"/>
        <v>373.72829765792306</v>
      </c>
    </row>
    <row r="38" spans="2:15" ht="18" customHeight="1" x14ac:dyDescent="0.25">
      <c r="B38" s="1132" t="s">
        <v>955</v>
      </c>
      <c r="C38" s="3739">
        <f>Table3!C45</f>
        <v>760.31554032500014</v>
      </c>
      <c r="D38" s="3759"/>
      <c r="E38" s="3759"/>
      <c r="F38" s="3736"/>
      <c r="G38" s="3736"/>
      <c r="H38" s="3736"/>
      <c r="I38" s="3736"/>
      <c r="J38" s="3736"/>
      <c r="K38" s="3760"/>
      <c r="L38" s="3760"/>
      <c r="M38" s="3760"/>
      <c r="N38" s="3738"/>
      <c r="O38" s="3721">
        <f t="shared" si="2"/>
        <v>760.31554032500014</v>
      </c>
    </row>
    <row r="39" spans="2:15" ht="18" customHeight="1" x14ac:dyDescent="0.25">
      <c r="B39" s="1132" t="s">
        <v>956</v>
      </c>
      <c r="C39" s="3761">
        <f>Table3!C46</f>
        <v>1277.7968497515212</v>
      </c>
      <c r="D39" s="3759"/>
      <c r="E39" s="3759"/>
      <c r="F39" s="3736"/>
      <c r="G39" s="3736"/>
      <c r="H39" s="3736"/>
      <c r="I39" s="3736"/>
      <c r="J39" s="3736"/>
      <c r="K39" s="3760"/>
      <c r="L39" s="3760"/>
      <c r="M39" s="3760"/>
      <c r="N39" s="3738"/>
      <c r="O39" s="3721">
        <f t="shared" si="2"/>
        <v>1277.7968497515212</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-9525.7703689440314</v>
      </c>
      <c r="D42" s="3765">
        <f>Table4!D10</f>
        <v>691.95526354502908</v>
      </c>
      <c r="E42" s="3766">
        <f>Table4!E10</f>
        <v>17.854021460365434</v>
      </c>
      <c r="F42" s="3750"/>
      <c r="G42" s="3750"/>
      <c r="H42" s="3750"/>
      <c r="I42" s="3750"/>
      <c r="J42" s="3750"/>
      <c r="K42" s="3767">
        <f>Table4!F10</f>
        <v>933.83238844588993</v>
      </c>
      <c r="L42" s="3767">
        <f>Table4!G10</f>
        <v>24314.580554572844</v>
      </c>
      <c r="M42" s="3767">
        <f>Table4!H10</f>
        <v>593.15893179340242</v>
      </c>
      <c r="N42" s="3768" t="str">
        <f>N50</f>
        <v>NO</v>
      </c>
      <c r="O42" s="3715">
        <f t="shared" si="2"/>
        <v>14580.292697313624</v>
      </c>
    </row>
    <row r="43" spans="2:15" ht="18" customHeight="1" x14ac:dyDescent="0.25">
      <c r="B43" s="1131" t="s">
        <v>1947</v>
      </c>
      <c r="C43" s="3769">
        <f>Table4!C11</f>
        <v>-44100.962638974408</v>
      </c>
      <c r="D43" s="3770">
        <f>Table4!D11</f>
        <v>294.82392557644647</v>
      </c>
      <c r="E43" s="3771">
        <f>Table4!E11</f>
        <v>6.9775331888656371</v>
      </c>
      <c r="F43" s="3736"/>
      <c r="G43" s="3736"/>
      <c r="H43" s="3736"/>
      <c r="I43" s="3736"/>
      <c r="J43" s="3736"/>
      <c r="K43" s="3756">
        <f>Table4!F11</f>
        <v>309.21397196236984</v>
      </c>
      <c r="L43" s="3756">
        <f>Table4!G11</f>
        <v>8232.557655745075</v>
      </c>
      <c r="M43" s="3756">
        <f>Table4!H11</f>
        <v>258.91456352178858</v>
      </c>
      <c r="N43" s="3772"/>
      <c r="O43" s="3773">
        <f t="shared" si="2"/>
        <v>-33996.846427784512</v>
      </c>
    </row>
    <row r="44" spans="2:15" ht="18" customHeight="1" x14ac:dyDescent="0.25">
      <c r="B44" s="1131" t="s">
        <v>1948</v>
      </c>
      <c r="C44" s="3769">
        <f>Table4!C14</f>
        <v>2930.291421366112</v>
      </c>
      <c r="D44" s="3774">
        <f>Table4!D14</f>
        <v>1.2417603081910018</v>
      </c>
      <c r="E44" s="3774">
        <f>Table4!E14</f>
        <v>0.13737922232763755</v>
      </c>
      <c r="F44" s="3754"/>
      <c r="G44" s="3754"/>
      <c r="H44" s="3754"/>
      <c r="I44" s="3754"/>
      <c r="J44" s="3754"/>
      <c r="K44" s="3756">
        <f>Table4!F14</f>
        <v>0.93501594634620067</v>
      </c>
      <c r="L44" s="3756">
        <f>Table4!G14</f>
        <v>36.620431311003152</v>
      </c>
      <c r="M44" s="3756">
        <f>Table4!H14</f>
        <v>4.4266455430882932</v>
      </c>
      <c r="N44" s="3775"/>
      <c r="O44" s="3717">
        <f t="shared" si="2"/>
        <v>3001.4662039122841</v>
      </c>
    </row>
    <row r="45" spans="2:15" ht="18" customHeight="1" x14ac:dyDescent="0.25">
      <c r="B45" s="1131" t="s">
        <v>1949</v>
      </c>
      <c r="C45" s="3769">
        <f>Table4!C17</f>
        <v>30336.399738192373</v>
      </c>
      <c r="D45" s="3774">
        <f>Table4!D17</f>
        <v>302.50776498805067</v>
      </c>
      <c r="E45" s="3774">
        <f>Table4!E17</f>
        <v>10.09233625564346</v>
      </c>
      <c r="F45" s="3754"/>
      <c r="G45" s="3754"/>
      <c r="H45" s="3754"/>
      <c r="I45" s="3754"/>
      <c r="J45" s="3754"/>
      <c r="K45" s="3756">
        <f>Table4!F17</f>
        <v>590.45696724643983</v>
      </c>
      <c r="L45" s="3756">
        <f>Table4!G17</f>
        <v>15226.228946689676</v>
      </c>
      <c r="M45" s="3756">
        <f>Table4!H17</f>
        <v>322.33389543165515</v>
      </c>
      <c r="N45" s="3775"/>
      <c r="O45" s="3717">
        <f t="shared" si="2"/>
        <v>41481.086265603306</v>
      </c>
    </row>
    <row r="46" spans="2:15" ht="18" customHeight="1" x14ac:dyDescent="0.25">
      <c r="B46" s="1131" t="s">
        <v>1950</v>
      </c>
      <c r="C46" s="3769">
        <f>Table4!C20</f>
        <v>323.31055740395101</v>
      </c>
      <c r="D46" s="3774">
        <f>Table4!D20</f>
        <v>91.419487886402237</v>
      </c>
      <c r="E46" s="3774">
        <f>Table4!E20</f>
        <v>0.43435130067349464</v>
      </c>
      <c r="F46" s="3754"/>
      <c r="G46" s="3754"/>
      <c r="H46" s="3754"/>
      <c r="I46" s="3754"/>
      <c r="J46" s="3754"/>
      <c r="K46" s="3756">
        <f>Table4!F20</f>
        <v>31.748849448940881</v>
      </c>
      <c r="L46" s="3756">
        <f>Table4!G20</f>
        <v>761.30310931584222</v>
      </c>
      <c r="M46" s="3756">
        <f>Table4!H20</f>
        <v>0.48850282847766546</v>
      </c>
      <c r="N46" s="3775"/>
      <c r="O46" s="3717">
        <f t="shared" si="2"/>
        <v>2998.1593129016896</v>
      </c>
    </row>
    <row r="47" spans="2:15" ht="18" customHeight="1" x14ac:dyDescent="0.25">
      <c r="B47" s="1131" t="s">
        <v>1951</v>
      </c>
      <c r="C47" s="3769">
        <f>Table4!C23</f>
        <v>4970.1151038047637</v>
      </c>
      <c r="D47" s="3774">
        <f>Table4!D23</f>
        <v>1.9623247859387549</v>
      </c>
      <c r="E47" s="3776">
        <f>Table4!E23</f>
        <v>5.9012748443833647E-2</v>
      </c>
      <c r="F47" s="3754"/>
      <c r="G47" s="3754"/>
      <c r="H47" s="3754"/>
      <c r="I47" s="3754"/>
      <c r="J47" s="3754"/>
      <c r="K47" s="3756">
        <f>Table4!F23</f>
        <v>1.4775838417931695</v>
      </c>
      <c r="L47" s="3756">
        <f>Table4!G23</f>
        <v>57.870411511249394</v>
      </c>
      <c r="M47" s="3756">
        <f>Table4!H23</f>
        <v>6.9953244683927842</v>
      </c>
      <c r="N47" s="1842"/>
      <c r="O47" s="3717">
        <f t="shared" si="2"/>
        <v>5040.6985761486649</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-3986.6566336709197</v>
      </c>
      <c r="D49" s="3736"/>
      <c r="E49" s="3736"/>
      <c r="F49" s="3736"/>
      <c r="G49" s="3736"/>
      <c r="H49" s="3736"/>
      <c r="I49" s="3736"/>
      <c r="J49" s="3736"/>
      <c r="K49" s="3736"/>
      <c r="L49" s="3736"/>
      <c r="M49" s="3736"/>
      <c r="N49" s="3781"/>
      <c r="O49" s="3721">
        <f t="shared" si="2"/>
        <v>-3986.6566336709197</v>
      </c>
    </row>
    <row r="50" spans="2:15" ht="18" customHeight="1" thickBot="1" x14ac:dyDescent="0.3">
      <c r="B50" s="1375" t="s">
        <v>1954</v>
      </c>
      <c r="C50" s="3782">
        <f>Table4!C30</f>
        <v>1.7320829340955557</v>
      </c>
      <c r="D50" s="3783" t="str">
        <f>Table4!D30</f>
        <v>NO</v>
      </c>
      <c r="E50" s="3783">
        <f>Table4!E30</f>
        <v>0.15340874441137142</v>
      </c>
      <c r="F50" s="3762"/>
      <c r="G50" s="3762"/>
      <c r="H50" s="3762"/>
      <c r="I50" s="3762"/>
      <c r="J50" s="3762"/>
      <c r="K50" s="3784" t="str">
        <f>Table4!F30</f>
        <v>NO</v>
      </c>
      <c r="L50" s="3784" t="str">
        <f>Table4!G30</f>
        <v>NO</v>
      </c>
      <c r="M50" s="3784" t="str">
        <f>Table4!H30</f>
        <v>NO</v>
      </c>
      <c r="N50" s="3785" t="s">
        <v>199</v>
      </c>
      <c r="O50" s="3747">
        <f t="shared" si="2"/>
        <v>42.385400203108986</v>
      </c>
    </row>
    <row r="51" spans="2:15" ht="18" customHeight="1" x14ac:dyDescent="0.25">
      <c r="B51" s="1376" t="s">
        <v>1955</v>
      </c>
      <c r="C51" s="3786">
        <f>Table5!C10</f>
        <v>31.081119583060698</v>
      </c>
      <c r="D51" s="3748">
        <f>Table5!D10</f>
        <v>461.78368269881287</v>
      </c>
      <c r="E51" s="3749">
        <f>Table5!E10</f>
        <v>1.1808759878538788</v>
      </c>
      <c r="F51" s="3750"/>
      <c r="G51" s="3750"/>
      <c r="H51" s="3750"/>
      <c r="I51" s="3750"/>
      <c r="J51" s="3750"/>
      <c r="K51" s="3751" t="str">
        <f>Table5!F10</f>
        <v>NO</v>
      </c>
      <c r="L51" s="3751" t="str">
        <f>Table5!G10</f>
        <v>NO</v>
      </c>
      <c r="M51" s="3751">
        <f>Table5!H10</f>
        <v>242.5917865567074</v>
      </c>
      <c r="N51" s="3752" t="str">
        <f>Table5!I10</f>
        <v>NO</v>
      </c>
      <c r="O51" s="3787">
        <f t="shared" si="2"/>
        <v>13273.956371931099</v>
      </c>
    </row>
    <row r="52" spans="2:15" ht="18" customHeight="1" x14ac:dyDescent="0.25">
      <c r="B52" s="1131" t="s">
        <v>1956</v>
      </c>
      <c r="C52" s="3758"/>
      <c r="D52" s="3753">
        <f>Table5!D11</f>
        <v>367.25185656914789</v>
      </c>
      <c r="E52" s="3788"/>
      <c r="F52" s="3750"/>
      <c r="G52" s="3750"/>
      <c r="H52" s="3750"/>
      <c r="I52" s="3750"/>
      <c r="J52" s="3750"/>
      <c r="K52" s="3756" t="str">
        <f>Table5!F11</f>
        <v>NO</v>
      </c>
      <c r="L52" s="3756" t="str">
        <f>Table5!G11</f>
        <v>NO</v>
      </c>
      <c r="M52" s="3756">
        <f>Table5!H11</f>
        <v>2.9880767159147954</v>
      </c>
      <c r="N52" s="3755"/>
      <c r="O52" s="3787">
        <f t="shared" si="2"/>
        <v>10283.05198393614</v>
      </c>
    </row>
    <row r="53" spans="2:15" ht="18" customHeight="1" x14ac:dyDescent="0.25">
      <c r="B53" s="1131" t="s">
        <v>1957</v>
      </c>
      <c r="C53" s="3758"/>
      <c r="D53" s="3753">
        <f>Table5!D15</f>
        <v>4.0902412799999999</v>
      </c>
      <c r="E53" s="3753">
        <f>Table5!E15</f>
        <v>0.52355088384000004</v>
      </c>
      <c r="F53" s="3754"/>
      <c r="G53" s="3754"/>
      <c r="H53" s="3754"/>
      <c r="I53" s="3754"/>
      <c r="J53" s="3754"/>
      <c r="K53" s="3756" t="str">
        <f>Table5!F15</f>
        <v>NA,NE</v>
      </c>
      <c r="L53" s="3756" t="str">
        <f>Table5!G15</f>
        <v>NA,NE</v>
      </c>
      <c r="M53" s="3756" t="str">
        <f>Table5!H15</f>
        <v>NA,NE</v>
      </c>
      <c r="N53" s="3755"/>
      <c r="O53" s="3716">
        <f t="shared" si="2"/>
        <v>253.26774005760001</v>
      </c>
    </row>
    <row r="54" spans="2:15" ht="18" customHeight="1" x14ac:dyDescent="0.25">
      <c r="B54" s="1131" t="s">
        <v>1958</v>
      </c>
      <c r="C54" s="3817">
        <f>Table5!C18</f>
        <v>31.081119583060698</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31.081119583060698</v>
      </c>
    </row>
    <row r="55" spans="2:15" ht="18" customHeight="1" x14ac:dyDescent="0.25">
      <c r="B55" s="1131" t="s">
        <v>1959</v>
      </c>
      <c r="C55" s="3735"/>
      <c r="D55" s="3722">
        <f>Table5!D21</f>
        <v>90.441584849665006</v>
      </c>
      <c r="E55" s="3722">
        <f>Table5!E21</f>
        <v>0.65732510401387878</v>
      </c>
      <c r="F55" s="3754"/>
      <c r="G55" s="3754"/>
      <c r="H55" s="3754"/>
      <c r="I55" s="3754"/>
      <c r="J55" s="3754"/>
      <c r="K55" s="3756" t="str">
        <f>Table5!F21</f>
        <v>NO</v>
      </c>
      <c r="L55" s="3756" t="str">
        <f>Table5!G21</f>
        <v>NO</v>
      </c>
      <c r="M55" s="3756">
        <f>Table5!H21</f>
        <v>239.60370984079262</v>
      </c>
      <c r="N55" s="3755"/>
      <c r="O55" s="3791">
        <f t="shared" si="2"/>
        <v>2706.5555283542981</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12970.425499999999</v>
      </c>
      <c r="D61" s="3802">
        <f>Table1!D52</f>
        <v>0.20687184488372093</v>
      </c>
      <c r="E61" s="3802">
        <f>Table1!E52</f>
        <v>0.10893505670364748</v>
      </c>
      <c r="F61" s="615"/>
      <c r="G61" s="615"/>
      <c r="H61" s="615"/>
      <c r="I61" s="615"/>
      <c r="J61" s="615"/>
      <c r="K61" s="3802">
        <f>Table1!F52</f>
        <v>108.59278810201468</v>
      </c>
      <c r="L61" s="3802">
        <f>Table1!G52</f>
        <v>18.733719581591185</v>
      </c>
      <c r="M61" s="3802">
        <f>Table1!H52</f>
        <v>10.03240658649645</v>
      </c>
      <c r="N61" s="3803">
        <f>Table1!I52</f>
        <v>33.631002502024302</v>
      </c>
      <c r="O61" s="3787">
        <f t="shared" ref="O61:O67" si="4">IF(SUM(C61:J61)=0,"NO",SUM(C61,F61:H61)+28*SUM(D61)+265*SUM(E61)+23500*SUM(I61)+16100*SUM(J61))</f>
        <v>13005.085701683211</v>
      </c>
    </row>
    <row r="62" spans="2:15" ht="18" customHeight="1" x14ac:dyDescent="0.25">
      <c r="B62" s="1370" t="s">
        <v>218</v>
      </c>
      <c r="C62" s="3804">
        <f>Table1!C53</f>
        <v>11026.031999999999</v>
      </c>
      <c r="D62" s="620">
        <f>Table1!D53</f>
        <v>2.1476844883720935E-2</v>
      </c>
      <c r="E62" s="620">
        <f>Table1!E53</f>
        <v>5.5965056703647487E-2</v>
      </c>
      <c r="F62" s="615"/>
      <c r="G62" s="615"/>
      <c r="H62" s="615"/>
      <c r="I62" s="615"/>
      <c r="J62" s="2161"/>
      <c r="K62" s="620">
        <f>Table1!F53</f>
        <v>56.179288102014674</v>
      </c>
      <c r="L62" s="620">
        <f>Table1!G53</f>
        <v>17.410704581591183</v>
      </c>
      <c r="M62" s="620">
        <f>Table1!H53</f>
        <v>8.3863765864964499</v>
      </c>
      <c r="N62" s="622">
        <f>Table1!I53</f>
        <v>1.2990439999999999</v>
      </c>
      <c r="O62" s="3716">
        <f t="shared" si="4"/>
        <v>11041.464091683209</v>
      </c>
    </row>
    <row r="63" spans="2:15" ht="18" customHeight="1" x14ac:dyDescent="0.25">
      <c r="B63" s="1379" t="s">
        <v>1963</v>
      </c>
      <c r="C63" s="3804">
        <f>Table1!C54</f>
        <v>1944.3934999999999</v>
      </c>
      <c r="D63" s="617">
        <f>Table1!D54</f>
        <v>0.185395</v>
      </c>
      <c r="E63" s="617">
        <f>Table1!E54</f>
        <v>5.2969999999999996E-2</v>
      </c>
      <c r="F63" s="615"/>
      <c r="G63" s="615"/>
      <c r="H63" s="615"/>
      <c r="I63" s="615"/>
      <c r="J63" s="615"/>
      <c r="K63" s="617">
        <f>Table1!F54</f>
        <v>52.413499999999999</v>
      </c>
      <c r="L63" s="617">
        <f>Table1!G54</f>
        <v>1.3230150000000001</v>
      </c>
      <c r="M63" s="617">
        <f>Table1!H54</f>
        <v>1.6460299999999999</v>
      </c>
      <c r="N63" s="619">
        <f>Table1!I54</f>
        <v>32.3319585020243</v>
      </c>
      <c r="O63" s="3717">
        <f t="shared" si="4"/>
        <v>1963.6216099999999</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18039.799317792527</v>
      </c>
      <c r="D65" s="3806"/>
      <c r="E65" s="3806"/>
      <c r="F65" s="3807"/>
      <c r="G65" s="3807"/>
      <c r="H65" s="3807"/>
      <c r="I65" s="3807"/>
      <c r="J65" s="3806"/>
      <c r="K65" s="3806"/>
      <c r="L65" s="3806"/>
      <c r="M65" s="3806"/>
      <c r="N65" s="3808"/>
      <c r="O65" s="3773">
        <f t="shared" si="4"/>
        <v>18039.799317792527</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291485.50700511056</v>
      </c>
      <c r="D67" s="3807"/>
      <c r="E67" s="3807"/>
      <c r="F67" s="3811"/>
      <c r="G67" s="3807"/>
      <c r="H67" s="3807"/>
      <c r="I67" s="3807"/>
      <c r="J67" s="3807"/>
      <c r="K67" s="3807"/>
      <c r="L67" s="3807"/>
      <c r="M67" s="3807"/>
      <c r="N67" s="3812"/>
      <c r="O67" s="3721">
        <f t="shared" si="4"/>
        <v>291485.50700511056</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389541.74059074587</v>
      </c>
      <c r="D10" s="3798">
        <f>IFERROR(Summary1!D10*28,Summary1!D10)</f>
        <v>138686.9182264118</v>
      </c>
      <c r="E10" s="3798">
        <f>IFERROR(Summary1!E10*265,Summary1!E10)</f>
        <v>20402.900906629649</v>
      </c>
      <c r="F10" s="3798">
        <f>Summary1!F10</f>
        <v>8187.2588327414196</v>
      </c>
      <c r="G10" s="3798">
        <f>Summary1!G10</f>
        <v>172.62441408027018</v>
      </c>
      <c r="H10" s="3798" t="str">
        <f>Summary1!H10</f>
        <v>NO</v>
      </c>
      <c r="I10" s="3827">
        <f>IFERROR(Summary1!I10*23500,Summary1!I10)</f>
        <v>107.66365548460661</v>
      </c>
      <c r="J10" s="4181" t="str">
        <f>IFERROR(Summary1!J10*16100,Summary1!J10)</f>
        <v>NO</v>
      </c>
      <c r="K10" s="3799">
        <f>IF(SUM(C10:J10)=0,"NO",SUM(C10:J10))</f>
        <v>557099.1066260935</v>
      </c>
    </row>
    <row r="11" spans="2:12" ht="18" customHeight="1" x14ac:dyDescent="0.2">
      <c r="B11" s="1549" t="s">
        <v>1921</v>
      </c>
      <c r="C11" s="3767">
        <f>Summary1!C11</f>
        <v>377178.33140094014</v>
      </c>
      <c r="D11" s="3767">
        <f>IFERROR(Summary1!D11*28,Summary1!D11)</f>
        <v>38732.998713738678</v>
      </c>
      <c r="E11" s="3767">
        <f>IFERROR(Summary1!E11*265,Summary1!E11)</f>
        <v>3248.8976096670563</v>
      </c>
      <c r="F11" s="1550"/>
      <c r="G11" s="1550"/>
      <c r="H11" s="1551"/>
      <c r="I11" s="1551"/>
      <c r="J11" s="613"/>
      <c r="K11" s="3828">
        <f t="shared" ref="K11:K55" si="0">IF(SUM(C11:J11)=0,"NO",SUM(C11:J11))</f>
        <v>419160.22772434587</v>
      </c>
      <c r="L11" s="19"/>
    </row>
    <row r="12" spans="2:12" ht="18" customHeight="1" x14ac:dyDescent="0.2">
      <c r="B12" s="606" t="s">
        <v>242</v>
      </c>
      <c r="C12" s="3756">
        <f>Summary1!C12</f>
        <v>368323.72147592145</v>
      </c>
      <c r="D12" s="3756">
        <f>IFERROR(Summary1!D12*28,Summary1!D12)</f>
        <v>2193.6308472312235</v>
      </c>
      <c r="E12" s="3756">
        <f>IFERROR(Summary1!E12*265,Summary1!E12)</f>
        <v>3216.8888192171275</v>
      </c>
      <c r="F12" s="615"/>
      <c r="G12" s="615"/>
      <c r="H12" s="615"/>
      <c r="I12" s="69"/>
      <c r="J12" s="69"/>
      <c r="K12" s="3829">
        <f t="shared" si="0"/>
        <v>373734.24114236981</v>
      </c>
      <c r="L12" s="19"/>
    </row>
    <row r="13" spans="2:12" ht="18" customHeight="1" x14ac:dyDescent="0.2">
      <c r="B13" s="1391" t="s">
        <v>1923</v>
      </c>
      <c r="C13" s="3756">
        <f>Summary1!C13</f>
        <v>209738.86269675242</v>
      </c>
      <c r="D13" s="3756">
        <f>IFERROR(Summary1!D13*28,Summary1!D13)</f>
        <v>577.1175677560625</v>
      </c>
      <c r="E13" s="3756">
        <f>IFERROR(Summary1!E13*265,Summary1!E13)</f>
        <v>1084.1117669114228</v>
      </c>
      <c r="F13" s="615"/>
      <c r="G13" s="615"/>
      <c r="H13" s="615"/>
      <c r="I13" s="69"/>
      <c r="J13" s="69"/>
      <c r="K13" s="3829">
        <f t="shared" si="0"/>
        <v>211400.09203141992</v>
      </c>
      <c r="L13" s="19"/>
    </row>
    <row r="14" spans="2:12" ht="18" customHeight="1" x14ac:dyDescent="0.2">
      <c r="B14" s="1391" t="s">
        <v>1976</v>
      </c>
      <c r="C14" s="3756">
        <f>Summary1!C14</f>
        <v>45496.846030480068</v>
      </c>
      <c r="D14" s="3756">
        <f>IFERROR(Summary1!D14*28,Summary1!D14)</f>
        <v>71.801462039261651</v>
      </c>
      <c r="E14" s="3756">
        <f>IFERROR(Summary1!E14*265,Summary1!E14)</f>
        <v>400.58413697242918</v>
      </c>
      <c r="F14" s="615"/>
      <c r="G14" s="615"/>
      <c r="H14" s="615"/>
      <c r="I14" s="69"/>
      <c r="J14" s="69"/>
      <c r="K14" s="3829">
        <f t="shared" si="0"/>
        <v>45969.231629491762</v>
      </c>
      <c r="L14" s="19"/>
    </row>
    <row r="15" spans="2:12" ht="18" customHeight="1" x14ac:dyDescent="0.2">
      <c r="B15" s="1391" t="s">
        <v>1925</v>
      </c>
      <c r="C15" s="3756">
        <f>Summary1!C15</f>
        <v>91143.808302532998</v>
      </c>
      <c r="D15" s="3756">
        <f>IFERROR(Summary1!D15*28,Summary1!D15)</f>
        <v>444.19619172789999</v>
      </c>
      <c r="E15" s="3756">
        <f>IFERROR(Summary1!E15*265,Summary1!E15)</f>
        <v>1546.2125098950744</v>
      </c>
      <c r="F15" s="615"/>
      <c r="G15" s="615"/>
      <c r="H15" s="615"/>
      <c r="I15" s="69"/>
      <c r="J15" s="69"/>
      <c r="K15" s="3829">
        <f t="shared" si="0"/>
        <v>93134.217004155973</v>
      </c>
      <c r="L15" s="19"/>
    </row>
    <row r="16" spans="2:12" ht="18" customHeight="1" x14ac:dyDescent="0.2">
      <c r="B16" s="1391" t="s">
        <v>1926</v>
      </c>
      <c r="C16" s="3756">
        <f>Summary1!C16</f>
        <v>21040.688190571178</v>
      </c>
      <c r="D16" s="3756">
        <f>IFERROR(Summary1!D16*28,Summary1!D16)</f>
        <v>1099.7396854730102</v>
      </c>
      <c r="E16" s="3756">
        <f>IFERROR(Summary1!E16*265,Summary1!E16)</f>
        <v>179.20699468171617</v>
      </c>
      <c r="F16" s="615"/>
      <c r="G16" s="615"/>
      <c r="H16" s="615"/>
      <c r="I16" s="69"/>
      <c r="J16" s="69"/>
      <c r="K16" s="3829">
        <f t="shared" si="0"/>
        <v>22319.634870725906</v>
      </c>
      <c r="L16" s="19"/>
    </row>
    <row r="17" spans="2:12" ht="18" customHeight="1" x14ac:dyDescent="0.2">
      <c r="B17" s="1391" t="s">
        <v>1927</v>
      </c>
      <c r="C17" s="3756">
        <f>Summary1!C17</f>
        <v>903.51625558477349</v>
      </c>
      <c r="D17" s="3756">
        <f>IFERROR(Summary1!D17*28,Summary1!D17)</f>
        <v>0.77594023498935338</v>
      </c>
      <c r="E17" s="3756">
        <f>IFERROR(Summary1!E17*265,Summary1!E17)</f>
        <v>6.7734107564848705</v>
      </c>
      <c r="F17" s="615"/>
      <c r="G17" s="615"/>
      <c r="H17" s="615"/>
      <c r="I17" s="69"/>
      <c r="J17" s="69"/>
      <c r="K17" s="3829">
        <f t="shared" si="0"/>
        <v>911.06560657624766</v>
      </c>
      <c r="L17" s="19"/>
    </row>
    <row r="18" spans="2:12" ht="18" customHeight="1" x14ac:dyDescent="0.2">
      <c r="B18" s="606" t="s">
        <v>201</v>
      </c>
      <c r="C18" s="3756">
        <f>Summary1!C18</f>
        <v>8854.6099250187071</v>
      </c>
      <c r="D18" s="3756">
        <f>IFERROR(Summary1!D18*28,Summary1!D18)</f>
        <v>36539.367866507455</v>
      </c>
      <c r="E18" s="3756">
        <f>IFERROR(Summary1!E18*265,Summary1!E18)</f>
        <v>32.008790449928938</v>
      </c>
      <c r="F18" s="615"/>
      <c r="G18" s="615"/>
      <c r="H18" s="615"/>
      <c r="I18" s="69"/>
      <c r="J18" s="69"/>
      <c r="K18" s="3829">
        <f t="shared" si="0"/>
        <v>45425.986581976096</v>
      </c>
      <c r="L18" s="19"/>
    </row>
    <row r="19" spans="2:12" ht="18" customHeight="1" x14ac:dyDescent="0.2">
      <c r="B19" s="1391" t="s">
        <v>1928</v>
      </c>
      <c r="C19" s="3756">
        <f>Summary1!C19</f>
        <v>1887.6981156232673</v>
      </c>
      <c r="D19" s="3756">
        <f>IFERROR(Summary1!D19*28,Summary1!D19)</f>
        <v>29838.668551180075</v>
      </c>
      <c r="E19" s="3756">
        <f>IFERROR(Summary1!E19*265,Summary1!E19)</f>
        <v>0.28778415029483506</v>
      </c>
      <c r="F19" s="615"/>
      <c r="G19" s="615"/>
      <c r="H19" s="615"/>
      <c r="I19" s="69"/>
      <c r="J19" s="69"/>
      <c r="K19" s="3829">
        <f t="shared" si="0"/>
        <v>31726.65445095364</v>
      </c>
      <c r="L19" s="19"/>
    </row>
    <row r="20" spans="2:12" ht="18" customHeight="1" x14ac:dyDescent="0.2">
      <c r="B20" s="1392" t="s">
        <v>1929</v>
      </c>
      <c r="C20" s="3756">
        <f>Summary1!C20</f>
        <v>6966.9118093954394</v>
      </c>
      <c r="D20" s="3756">
        <f>IFERROR(Summary1!D20*28,Summary1!D20)</f>
        <v>6700.6993153273816</v>
      </c>
      <c r="E20" s="3756">
        <f>IFERROR(Summary1!E20*265,Summary1!E20)</f>
        <v>31.721006299634102</v>
      </c>
      <c r="F20" s="615"/>
      <c r="G20" s="615"/>
      <c r="H20" s="615"/>
      <c r="I20" s="69"/>
      <c r="J20" s="69"/>
      <c r="K20" s="3829">
        <f t="shared" si="0"/>
        <v>13699.332131022456</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19819.986049090236</v>
      </c>
      <c r="D22" s="3767">
        <f>IFERROR(Summary1!D22*28,Summary1!D22)</f>
        <v>76.694880371654534</v>
      </c>
      <c r="E22" s="3767">
        <f>IFERROR(Summary1!E22*265,Summary1!E22)</f>
        <v>1321.0424522303622</v>
      </c>
      <c r="F22" s="3767">
        <f>Summary1!F22</f>
        <v>8187.2588327414196</v>
      </c>
      <c r="G22" s="3767">
        <f>Summary1!G22</f>
        <v>172.62441408027018</v>
      </c>
      <c r="H22" s="3767" t="str">
        <f>Summary1!H22</f>
        <v>NO</v>
      </c>
      <c r="I22" s="3767">
        <f>IFERROR(Summary1!I22*23500,Summary1!I22)</f>
        <v>107.66365548460661</v>
      </c>
      <c r="J22" s="3831" t="str">
        <f>IFERROR(Summary1!J22*16100,Summary1!J22)</f>
        <v>NO</v>
      </c>
      <c r="K22" s="3828">
        <f t="shared" si="0"/>
        <v>29685.27028399855</v>
      </c>
      <c r="L22" s="19"/>
    </row>
    <row r="23" spans="2:12" ht="18" customHeight="1" x14ac:dyDescent="0.2">
      <c r="B23" s="1393" t="s">
        <v>1932</v>
      </c>
      <c r="C23" s="3756">
        <f>Summary1!C23</f>
        <v>6105.2887144225642</v>
      </c>
      <c r="D23" s="615"/>
      <c r="E23" s="615"/>
      <c r="F23" s="615"/>
      <c r="G23" s="615"/>
      <c r="H23" s="615"/>
      <c r="I23" s="69"/>
      <c r="J23" s="69"/>
      <c r="K23" s="3829">
        <f t="shared" si="0"/>
        <v>6105.2887144225642</v>
      </c>
      <c r="L23" s="19"/>
    </row>
    <row r="24" spans="2:12" ht="18" customHeight="1" x14ac:dyDescent="0.2">
      <c r="B24" s="1393" t="s">
        <v>846</v>
      </c>
      <c r="C24" s="3756">
        <f>Summary1!C24</f>
        <v>3139.8890230772722</v>
      </c>
      <c r="D24" s="3756">
        <f>IFERROR(Summary1!D24*28,Summary1!D24)</f>
        <v>16.177380799999998</v>
      </c>
      <c r="E24" s="3756">
        <f>IFERROR(Summary1!E24*265,Summary1!E24)</f>
        <v>1307.4664409294789</v>
      </c>
      <c r="F24" s="1949" t="str">
        <f>Summary1!F24</f>
        <v>NO</v>
      </c>
      <c r="G24" s="1949" t="str">
        <f>Summary1!G24</f>
        <v>NO</v>
      </c>
      <c r="H24" s="1949" t="str">
        <f>Summary1!H24</f>
        <v>NO</v>
      </c>
      <c r="I24" s="602" t="str">
        <f>IFERROR(Summary1!I24*23500,Summary1!I24)</f>
        <v>NO</v>
      </c>
      <c r="J24" s="602" t="str">
        <f>IFERROR(Summary1!J24*16100,Summary1!J24)</f>
        <v>NO</v>
      </c>
      <c r="K24" s="3829">
        <f t="shared" si="0"/>
        <v>4463.5328448067512</v>
      </c>
      <c r="L24" s="19"/>
    </row>
    <row r="25" spans="2:12" ht="18" customHeight="1" x14ac:dyDescent="0.2">
      <c r="B25" s="1393" t="s">
        <v>637</v>
      </c>
      <c r="C25" s="3756">
        <f>Summary1!C25</f>
        <v>10125.110621348897</v>
      </c>
      <c r="D25" s="3756">
        <f>IFERROR(Summary1!D25*28,Summary1!D25)</f>
        <v>60.517499571654533</v>
      </c>
      <c r="E25" s="3756">
        <f>IFERROR(Summary1!E25*265,Summary1!E25)</f>
        <v>13.576011300883167</v>
      </c>
      <c r="F25" s="1949" t="str">
        <f>Summary1!F25</f>
        <v>NO</v>
      </c>
      <c r="G25" s="3756">
        <f>Summary1!G25</f>
        <v>172.62441408027018</v>
      </c>
      <c r="H25" s="3756" t="str">
        <f>Summary1!H25</f>
        <v>NO</v>
      </c>
      <c r="I25" s="3756" t="str">
        <f>IFERROR(Summary1!I25*23500,Summary1!I25)</f>
        <v>NO</v>
      </c>
      <c r="J25" s="3756" t="str">
        <f>IFERROR(Summary1!J25*16100,Summary1!J25)</f>
        <v>NO</v>
      </c>
      <c r="K25" s="3829">
        <f t="shared" si="0"/>
        <v>10371.828546301706</v>
      </c>
      <c r="L25" s="19"/>
    </row>
    <row r="26" spans="2:12" ht="18" customHeight="1" x14ac:dyDescent="0.2">
      <c r="B26" s="1394" t="s">
        <v>1978</v>
      </c>
      <c r="C26" s="3756">
        <f>Summary1!C26</f>
        <v>209.32935569</v>
      </c>
      <c r="D26" s="3756" t="str">
        <f>IFERROR(Summary1!D26*28,Summary1!D26)</f>
        <v>NO</v>
      </c>
      <c r="E26" s="3756" t="str">
        <f>IFERROR(Summary1!E26*265,Summary1!E26)</f>
        <v>NO</v>
      </c>
      <c r="F26" s="615"/>
      <c r="G26" s="615"/>
      <c r="H26" s="615"/>
      <c r="I26" s="69"/>
      <c r="J26" s="69"/>
      <c r="K26" s="3829">
        <f t="shared" si="0"/>
        <v>209.32935569</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8187.2588327414196</v>
      </c>
      <c r="G28" s="3756" t="str">
        <f>Summary1!G28</f>
        <v>NO</v>
      </c>
      <c r="H28" s="3756" t="str">
        <f>Summary1!H28</f>
        <v>NO</v>
      </c>
      <c r="I28" s="3756" t="str">
        <f>IFERROR(Summary1!I28*23500,Summary1!I28)</f>
        <v>NO</v>
      </c>
      <c r="J28" s="3756" t="str">
        <f>IFERROR(Summary1!J28*16100,Summary1!J28)</f>
        <v>NO</v>
      </c>
      <c r="K28" s="3829">
        <f t="shared" si="0"/>
        <v>8187.2588327414196</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107.66365548460661</v>
      </c>
      <c r="J29" s="3756" t="str">
        <f>IFERROR(Summary1!J29*16100,Summary1!J29)</f>
        <v>NO</v>
      </c>
      <c r="K29" s="3829">
        <f t="shared" si="0"/>
        <v>107.66365548460661</v>
      </c>
      <c r="L29" s="19"/>
    </row>
    <row r="30" spans="2:12" ht="18" customHeight="1" thickBot="1" x14ac:dyDescent="0.25">
      <c r="B30" s="1406" t="s">
        <v>1982</v>
      </c>
      <c r="C30" s="3784">
        <f>Summary1!C30</f>
        <v>240.36833455150557</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240.36833455150557</v>
      </c>
      <c r="L30" s="19"/>
    </row>
    <row r="31" spans="2:12" ht="18" customHeight="1" x14ac:dyDescent="0.2">
      <c r="B31" s="780" t="s">
        <v>1937</v>
      </c>
      <c r="C31" s="3767">
        <f>Summary1!C31</f>
        <v>2038.1123900765215</v>
      </c>
      <c r="D31" s="3767">
        <f>IFERROR(Summary1!D31*28,Summary1!D31)</f>
        <v>67572.534137473878</v>
      </c>
      <c r="E31" s="3767">
        <f>IFERROR(Summary1!E31*265,Summary1!E31)</f>
        <v>10788.713020954114</v>
      </c>
      <c r="F31" s="1550"/>
      <c r="G31" s="1550"/>
      <c r="H31" s="1550"/>
      <c r="I31" s="1553"/>
      <c r="J31" s="613"/>
      <c r="K31" s="3828">
        <f t="shared" si="0"/>
        <v>80399.359548504523</v>
      </c>
      <c r="L31" s="19"/>
    </row>
    <row r="32" spans="2:12" ht="18" customHeight="1" x14ac:dyDescent="0.2">
      <c r="B32" s="606" t="s">
        <v>1938</v>
      </c>
      <c r="C32" s="615"/>
      <c r="D32" s="3756">
        <f>IFERROR(Summary1!D32*28,Summary1!D32)</f>
        <v>59906.922941693978</v>
      </c>
      <c r="E32" s="615"/>
      <c r="F32" s="615"/>
      <c r="G32" s="615"/>
      <c r="H32" s="615"/>
      <c r="I32" s="69"/>
      <c r="J32" s="69"/>
      <c r="K32" s="3829">
        <f t="shared" si="0"/>
        <v>59906.922941693978</v>
      </c>
      <c r="L32" s="19"/>
    </row>
    <row r="33" spans="2:12" ht="18" customHeight="1" x14ac:dyDescent="0.2">
      <c r="B33" s="606" t="s">
        <v>1939</v>
      </c>
      <c r="C33" s="615"/>
      <c r="D33" s="3756">
        <f>IFERROR(Summary1!D33*28,Summary1!D33)</f>
        <v>6893.8493358735168</v>
      </c>
      <c r="E33" s="3756">
        <f>IFERROR(Summary1!E33*265,Summary1!E33)</f>
        <v>495.27479699508348</v>
      </c>
      <c r="F33" s="615"/>
      <c r="G33" s="615"/>
      <c r="H33" s="615"/>
      <c r="I33" s="69"/>
      <c r="J33" s="69"/>
      <c r="K33" s="3829">
        <f t="shared" si="0"/>
        <v>7389.1241328686001</v>
      </c>
      <c r="L33" s="19"/>
    </row>
    <row r="34" spans="2:12" ht="18" customHeight="1" x14ac:dyDescent="0.2">
      <c r="B34" s="606" t="s">
        <v>1940</v>
      </c>
      <c r="C34" s="615"/>
      <c r="D34" s="3756">
        <f>IFERROR(Summary1!D34*28,Summary1!D34)</f>
        <v>505.59930190000011</v>
      </c>
      <c r="E34" s="615"/>
      <c r="F34" s="615"/>
      <c r="G34" s="615"/>
      <c r="H34" s="615"/>
      <c r="I34" s="69"/>
      <c r="J34" s="69"/>
      <c r="K34" s="3829">
        <f t="shared" si="0"/>
        <v>505.59930190000011</v>
      </c>
      <c r="L34" s="19"/>
    </row>
    <row r="35" spans="2:12" ht="18" customHeight="1" x14ac:dyDescent="0.2">
      <c r="B35" s="606" t="s">
        <v>1941</v>
      </c>
      <c r="C35" s="1950"/>
      <c r="D35" s="3756" t="str">
        <f>IFERROR(Summary1!D35*28,Summary1!D35)</f>
        <v>NE</v>
      </c>
      <c r="E35" s="3756">
        <f>IFERROR(Summary1!E35*265,Summary1!E35)</f>
        <v>10185.872484307498</v>
      </c>
      <c r="F35" s="615"/>
      <c r="G35" s="615"/>
      <c r="H35" s="615"/>
      <c r="I35" s="69"/>
      <c r="J35" s="69"/>
      <c r="K35" s="3829">
        <f t="shared" si="0"/>
        <v>10185.872484307498</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266.16255800639112</v>
      </c>
      <c r="E37" s="3756">
        <f>IFERROR(Summary1!E37*265,Summary1!E37)</f>
        <v>107.56573965153196</v>
      </c>
      <c r="F37" s="615"/>
      <c r="G37" s="615"/>
      <c r="H37" s="615"/>
      <c r="I37" s="69"/>
      <c r="J37" s="69"/>
      <c r="K37" s="3829">
        <f t="shared" si="0"/>
        <v>373.72829765792306</v>
      </c>
      <c r="L37" s="19"/>
    </row>
    <row r="38" spans="2:12" ht="18" customHeight="1" x14ac:dyDescent="0.2">
      <c r="B38" s="606" t="s">
        <v>955</v>
      </c>
      <c r="C38" s="1949">
        <f>Summary1!C38</f>
        <v>760.31554032500014</v>
      </c>
      <c r="D38" s="3832"/>
      <c r="E38" s="3832"/>
      <c r="F38" s="615"/>
      <c r="G38" s="615"/>
      <c r="H38" s="615"/>
      <c r="I38" s="69"/>
      <c r="J38" s="69"/>
      <c r="K38" s="3829">
        <f t="shared" si="0"/>
        <v>760.31554032500014</v>
      </c>
      <c r="L38" s="19"/>
    </row>
    <row r="39" spans="2:12" ht="18" customHeight="1" x14ac:dyDescent="0.2">
      <c r="B39" s="606" t="s">
        <v>956</v>
      </c>
      <c r="C39" s="1949">
        <f>Summary1!C39</f>
        <v>1277.7968497515212</v>
      </c>
      <c r="D39" s="3832"/>
      <c r="E39" s="3832"/>
      <c r="F39" s="615"/>
      <c r="G39" s="615"/>
      <c r="H39" s="615"/>
      <c r="I39" s="69"/>
      <c r="J39" s="69"/>
      <c r="K39" s="3829">
        <f t="shared" si="0"/>
        <v>1277.7968497515212</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-9525.7703689440314</v>
      </c>
      <c r="D42" s="1952">
        <f>IFERROR(Summary1!D42*28,Summary1!D42)</f>
        <v>19374.747379260814</v>
      </c>
      <c r="E42" s="1952">
        <f>IFERROR(Summary1!E42*265,Summary1!E42)</f>
        <v>4731.3156869968398</v>
      </c>
      <c r="F42" s="1550"/>
      <c r="G42" s="1550"/>
      <c r="H42" s="1550"/>
      <c r="I42" s="1553"/>
      <c r="J42" s="613"/>
      <c r="K42" s="3828">
        <f t="shared" si="0"/>
        <v>14580.292697313624</v>
      </c>
      <c r="L42" s="19"/>
    </row>
    <row r="43" spans="2:12" ht="18" customHeight="1" x14ac:dyDescent="0.2">
      <c r="B43" s="606" t="s">
        <v>1252</v>
      </c>
      <c r="C43" s="1949">
        <f>Summary1!C43</f>
        <v>-44100.962638974408</v>
      </c>
      <c r="D43" s="1949">
        <f>IFERROR(Summary1!D43*28,Summary1!D43)</f>
        <v>8255.0699161405009</v>
      </c>
      <c r="E43" s="1949">
        <f>IFERROR(Summary1!E43*265,Summary1!E43)</f>
        <v>1849.0462950493938</v>
      </c>
      <c r="F43" s="627"/>
      <c r="G43" s="627"/>
      <c r="H43" s="627"/>
      <c r="I43" s="614"/>
      <c r="J43" s="69"/>
      <c r="K43" s="3829">
        <f t="shared" si="0"/>
        <v>-33996.846427784512</v>
      </c>
      <c r="L43" s="19"/>
    </row>
    <row r="44" spans="2:12" ht="18" customHeight="1" x14ac:dyDescent="0.2">
      <c r="B44" s="606" t="s">
        <v>1255</v>
      </c>
      <c r="C44" s="1949">
        <f>Summary1!C44</f>
        <v>2930.291421366112</v>
      </c>
      <c r="D44" s="1949">
        <f>IFERROR(Summary1!D44*28,Summary1!D44)</f>
        <v>34.769288629348054</v>
      </c>
      <c r="E44" s="1949">
        <f>IFERROR(Summary1!E44*265,Summary1!E44)</f>
        <v>36.40549391682395</v>
      </c>
      <c r="F44" s="627"/>
      <c r="G44" s="627"/>
      <c r="H44" s="627"/>
      <c r="I44" s="614"/>
      <c r="J44" s="69"/>
      <c r="K44" s="3829">
        <f t="shared" si="0"/>
        <v>3001.4662039122841</v>
      </c>
      <c r="L44" s="19"/>
    </row>
    <row r="45" spans="2:12" ht="18" customHeight="1" x14ac:dyDescent="0.2">
      <c r="B45" s="606" t="s">
        <v>1258</v>
      </c>
      <c r="C45" s="1949">
        <f>Summary1!C45</f>
        <v>30336.399738192373</v>
      </c>
      <c r="D45" s="1949">
        <f>IFERROR(Summary1!D45*28,Summary1!D45)</f>
        <v>8470.2174196654196</v>
      </c>
      <c r="E45" s="1949">
        <f>IFERROR(Summary1!E45*265,Summary1!E45)</f>
        <v>2674.4691077455168</v>
      </c>
      <c r="F45" s="627"/>
      <c r="G45" s="627"/>
      <c r="H45" s="627"/>
      <c r="I45" s="614"/>
      <c r="J45" s="69"/>
      <c r="K45" s="3829">
        <f t="shared" si="0"/>
        <v>41481.086265603306</v>
      </c>
      <c r="L45" s="19"/>
    </row>
    <row r="46" spans="2:12" ht="18" customHeight="1" x14ac:dyDescent="0.2">
      <c r="B46" s="606" t="s">
        <v>1984</v>
      </c>
      <c r="C46" s="1949">
        <f>Summary1!C46</f>
        <v>323.31055740395101</v>
      </c>
      <c r="D46" s="1949">
        <f>IFERROR(Summary1!D46*28,Summary1!D46)</f>
        <v>2559.7456608192624</v>
      </c>
      <c r="E46" s="1949">
        <f>IFERROR(Summary1!E46*265,Summary1!E46)</f>
        <v>115.10309467847608</v>
      </c>
      <c r="F46" s="627"/>
      <c r="G46" s="627"/>
      <c r="H46" s="627"/>
      <c r="I46" s="614"/>
      <c r="J46" s="69"/>
      <c r="K46" s="3829">
        <f t="shared" si="0"/>
        <v>2998.1593129016896</v>
      </c>
      <c r="L46" s="19"/>
    </row>
    <row r="47" spans="2:12" ht="18" customHeight="1" x14ac:dyDescent="0.2">
      <c r="B47" s="606" t="s">
        <v>1985</v>
      </c>
      <c r="C47" s="1949">
        <f>Summary1!C47</f>
        <v>4970.1151038047637</v>
      </c>
      <c r="D47" s="1949">
        <f>IFERROR(Summary1!D47*28,Summary1!D47)</f>
        <v>54.945094006285139</v>
      </c>
      <c r="E47" s="1949">
        <f>IFERROR(Summary1!E47*265,Summary1!E47)</f>
        <v>15.638378337615917</v>
      </c>
      <c r="F47" s="627"/>
      <c r="G47" s="627"/>
      <c r="H47" s="627"/>
      <c r="I47" s="614"/>
      <c r="J47" s="69"/>
      <c r="K47" s="3829">
        <f t="shared" si="0"/>
        <v>5040.6985761486649</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-3986.6566336709197</v>
      </c>
      <c r="D49" s="3833"/>
      <c r="E49" s="3833"/>
      <c r="F49" s="627"/>
      <c r="G49" s="627"/>
      <c r="H49" s="627"/>
      <c r="I49" s="614"/>
      <c r="J49" s="69"/>
      <c r="K49" s="3829">
        <f t="shared" si="0"/>
        <v>-3986.6566336709197</v>
      </c>
      <c r="L49" s="19"/>
    </row>
    <row r="50" spans="2:12" ht="18" customHeight="1" thickBot="1" x14ac:dyDescent="0.25">
      <c r="B50" s="1554" t="s">
        <v>1988</v>
      </c>
      <c r="C50" s="1951">
        <f>Summary1!C50</f>
        <v>1.7320829340955557</v>
      </c>
      <c r="D50" s="1951" t="str">
        <f>IFERROR(Summary1!D50*28,Summary1!D50)</f>
        <v>NO</v>
      </c>
      <c r="E50" s="1951">
        <f>IFERROR(Summary1!E50*265,Summary1!E50)</f>
        <v>40.653317269013428</v>
      </c>
      <c r="F50" s="1953"/>
      <c r="G50" s="1953"/>
      <c r="H50" s="1953"/>
      <c r="I50" s="1555"/>
      <c r="J50" s="87"/>
      <c r="K50" s="3830">
        <f t="shared" si="0"/>
        <v>42.385400203108986</v>
      </c>
      <c r="L50" s="19"/>
    </row>
    <row r="51" spans="2:12" ht="18" customHeight="1" x14ac:dyDescent="0.2">
      <c r="B51" s="1549" t="s">
        <v>1955</v>
      </c>
      <c r="C51" s="1952">
        <f>Summary1!C51</f>
        <v>31.081119583060698</v>
      </c>
      <c r="D51" s="1952">
        <f>IFERROR(Summary1!D51*28,Summary1!D51)</f>
        <v>12929.943115566761</v>
      </c>
      <c r="E51" s="1952">
        <f>IFERROR(Summary1!E51*265,Summary1!E51)</f>
        <v>312.9321367812779</v>
      </c>
      <c r="F51" s="1550"/>
      <c r="G51" s="1550"/>
      <c r="H51" s="1550"/>
      <c r="I51" s="1553"/>
      <c r="J51" s="613"/>
      <c r="K51" s="3828">
        <f t="shared" si="0"/>
        <v>13273.956371931099</v>
      </c>
      <c r="L51" s="19"/>
    </row>
    <row r="52" spans="2:12" ht="18" customHeight="1" x14ac:dyDescent="0.2">
      <c r="B52" s="606" t="s">
        <v>1989</v>
      </c>
      <c r="C52" s="615"/>
      <c r="D52" s="1949">
        <f>IFERROR(Summary1!D52*28,Summary1!D52)</f>
        <v>10283.05198393614</v>
      </c>
      <c r="E52" s="627"/>
      <c r="F52" s="615"/>
      <c r="G52" s="615"/>
      <c r="H52" s="615"/>
      <c r="I52" s="69"/>
      <c r="J52" s="69"/>
      <c r="K52" s="3829">
        <f t="shared" si="0"/>
        <v>10283.05198393614</v>
      </c>
      <c r="L52" s="19"/>
    </row>
    <row r="53" spans="2:12" ht="18" customHeight="1" x14ac:dyDescent="0.2">
      <c r="B53" s="1395" t="s">
        <v>1990</v>
      </c>
      <c r="C53" s="615"/>
      <c r="D53" s="1949">
        <f>IFERROR(Summary1!D53*28,Summary1!D53)</f>
        <v>114.52675583999999</v>
      </c>
      <c r="E53" s="1949">
        <f>IFERROR(Summary1!E53*265,Summary1!E53)</f>
        <v>138.74098421760002</v>
      </c>
      <c r="F53" s="615"/>
      <c r="G53" s="615"/>
      <c r="H53" s="615"/>
      <c r="I53" s="69"/>
      <c r="J53" s="69"/>
      <c r="K53" s="3829">
        <f t="shared" si="0"/>
        <v>253.26774005760001</v>
      </c>
      <c r="L53" s="19"/>
    </row>
    <row r="54" spans="2:12" ht="18" customHeight="1" x14ac:dyDescent="0.2">
      <c r="B54" s="1396" t="s">
        <v>1991</v>
      </c>
      <c r="C54" s="1949">
        <f>Summary1!C54</f>
        <v>31.081119583060698</v>
      </c>
      <c r="D54" s="1949" t="str">
        <f>IFERROR(Summary1!D54*28,Summary1!D54)</f>
        <v>NO,NE</v>
      </c>
      <c r="E54" s="1949" t="str">
        <f>IFERROR(Summary1!E54*265,Summary1!E54)</f>
        <v>NO,NE</v>
      </c>
      <c r="F54" s="615"/>
      <c r="G54" s="615"/>
      <c r="H54" s="615"/>
      <c r="I54" s="69"/>
      <c r="J54" s="69"/>
      <c r="K54" s="3829">
        <f t="shared" si="0"/>
        <v>31.081119583060698</v>
      </c>
      <c r="L54" s="19"/>
    </row>
    <row r="55" spans="2:12" ht="18" customHeight="1" x14ac:dyDescent="0.2">
      <c r="B55" s="606" t="s">
        <v>1992</v>
      </c>
      <c r="C55" s="615"/>
      <c r="D55" s="1949">
        <f>IFERROR(Summary1!D55*28,Summary1!D55)</f>
        <v>2532.3643757906202</v>
      </c>
      <c r="E55" s="1949">
        <f>IFERROR(Summary1!E55*265,Summary1!E55)</f>
        <v>174.19115256367789</v>
      </c>
      <c r="F55" s="615"/>
      <c r="G55" s="615"/>
      <c r="H55" s="615"/>
      <c r="I55" s="69"/>
      <c r="J55" s="69"/>
      <c r="K55" s="3829">
        <f t="shared" si="0"/>
        <v>2706.5555283542981</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12970.425499999999</v>
      </c>
      <c r="D60" s="617">
        <f>IFERROR(Summary1!D61*28,Summary1!D61)</f>
        <v>5.7924116567441857</v>
      </c>
      <c r="E60" s="617">
        <f>IFERROR(Summary1!E61*265,Summary1!E61)</f>
        <v>28.867790026466579</v>
      </c>
      <c r="F60" s="1957"/>
      <c r="G60" s="1957"/>
      <c r="H60" s="1958"/>
      <c r="I60" s="618"/>
      <c r="J60" s="618"/>
      <c r="K60" s="619">
        <f t="shared" ref="K60:K66" si="2">IF(SUM(C60:J60)=0,"NO",SUM(C60:J60))</f>
        <v>13005.085701683211</v>
      </c>
    </row>
    <row r="61" spans="2:12" ht="18" customHeight="1" x14ac:dyDescent="0.2">
      <c r="B61" s="1385" t="s">
        <v>218</v>
      </c>
      <c r="C61" s="617">
        <f>Summary1!C62</f>
        <v>11026.031999999999</v>
      </c>
      <c r="D61" s="617">
        <f>IFERROR(Summary1!D62*28,Summary1!D62)</f>
        <v>0.60135165674418622</v>
      </c>
      <c r="E61" s="617">
        <f>IFERROR(Summary1!E62*265,Summary1!E62)</f>
        <v>14.830740026466584</v>
      </c>
      <c r="F61" s="615"/>
      <c r="G61" s="615"/>
      <c r="H61" s="615"/>
      <c r="I61" s="621"/>
      <c r="J61" s="621"/>
      <c r="K61" s="622">
        <f t="shared" si="2"/>
        <v>11041.464091683209</v>
      </c>
    </row>
    <row r="62" spans="2:12" ht="18" customHeight="1" x14ac:dyDescent="0.2">
      <c r="B62" s="1386" t="s">
        <v>1963</v>
      </c>
      <c r="C62" s="617">
        <f>Summary1!C63</f>
        <v>1944.3934999999999</v>
      </c>
      <c r="D62" s="617">
        <f>IFERROR(Summary1!D63*28,Summary1!D63)</f>
        <v>5.1910600000000002</v>
      </c>
      <c r="E62" s="617">
        <f>IFERROR(Summary1!E63*265,Summary1!E63)</f>
        <v>14.037049999999999</v>
      </c>
      <c r="F62" s="615"/>
      <c r="G62" s="615"/>
      <c r="H62" s="615"/>
      <c r="I62" s="623"/>
      <c r="J62" s="623"/>
      <c r="K62" s="619">
        <f t="shared" si="2"/>
        <v>1963.6216099999999</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18039.799317792527</v>
      </c>
      <c r="D64" s="627"/>
      <c r="E64" s="627"/>
      <c r="F64" s="627"/>
      <c r="G64" s="627"/>
      <c r="H64" s="627"/>
      <c r="I64" s="614"/>
      <c r="J64" s="614"/>
      <c r="K64" s="628">
        <f t="shared" si="2"/>
        <v>18039.799317792527</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291485.50700511056</v>
      </c>
      <c r="D66" s="631"/>
      <c r="E66" s="631"/>
      <c r="F66" s="631"/>
      <c r="G66" s="631"/>
      <c r="H66" s="631"/>
      <c r="I66" s="630"/>
      <c r="J66" s="630"/>
      <c r="K66" s="632">
        <f t="shared" si="2"/>
        <v>291485.50700511056</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542518.81392877991</v>
      </c>
      <c r="N71" s="1122"/>
    </row>
    <row r="72" spans="2:14" s="636" customFormat="1" ht="18" customHeight="1" x14ac:dyDescent="0.25">
      <c r="B72" s="640"/>
      <c r="C72" s="641"/>
      <c r="D72" s="641"/>
      <c r="E72" s="641"/>
      <c r="F72" s="641"/>
      <c r="G72" s="641"/>
      <c r="H72" s="641"/>
      <c r="I72" s="641"/>
      <c r="J72" s="2573" t="s">
        <v>1999</v>
      </c>
      <c r="K72" s="628">
        <f>K10</f>
        <v>557099.1066260935</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839801.67731581291</v>
      </c>
      <c r="D10" s="3055" t="s">
        <v>97</v>
      </c>
      <c r="E10" s="615"/>
      <c r="F10" s="615"/>
      <c r="G10" s="615"/>
      <c r="H10" s="4219">
        <f>IF(SUM(H11:H15)=0,"NO",SUM(H11:H15))</f>
        <v>45496.846030480068</v>
      </c>
      <c r="I10" s="4219">
        <f t="shared" ref="I10:K10" si="0">IF(SUM(I11:I16)=0,"NO",SUM(I11:I16))</f>
        <v>2.5643379299736302</v>
      </c>
      <c r="J10" s="4226">
        <f t="shared" si="0"/>
        <v>1.5116382527261478</v>
      </c>
      <c r="K10" s="3044" t="str">
        <f t="shared" si="0"/>
        <v>NO</v>
      </c>
    </row>
    <row r="11" spans="2:11" ht="18" customHeight="1" x14ac:dyDescent="0.2">
      <c r="B11" s="282" t="s">
        <v>243</v>
      </c>
      <c r="C11" s="1938">
        <f>IF(SUM(C18,C25,C32,C39,C46,C53,C68,C75,C82,C89,C96,C103,C120,C110:C113)=0,"NO",SUM(C18,C25,C32,C39,C46,C53,C68,C75,C82,C89,C96,C103,C120,C110:C113))</f>
        <v>262106.23581959447</v>
      </c>
      <c r="D11" s="3056" t="s">
        <v>97</v>
      </c>
      <c r="E11" s="1938">
        <f>IFERROR(H11*1000/$C11,"NA")</f>
        <v>69.27745878024632</v>
      </c>
      <c r="F11" s="1938">
        <f t="shared" ref="F11:G16" si="1">IFERROR(I11*1000000/$C11,"NA")</f>
        <v>4.1232139664095309</v>
      </c>
      <c r="G11" s="1938">
        <f t="shared" si="1"/>
        <v>2.2194448923678385</v>
      </c>
      <c r="H11" s="1938">
        <f>IF(SUM(H18,H25,H32,H39,H46,H53,H68,H75,H82,H89,H96,H103,H120,H110:H113)=0,"NO",SUM(H18,H25,H32,H39,H46,H53,H68,H75,H82,H89,H96,H103,H120,H110:H113))</f>
        <v>18158.053948037479</v>
      </c>
      <c r="I11" s="1938">
        <f>IF(SUM(I18,I25,I32,I39,I46,I53,I68,I75,I82,I89,I96,I103,I120,I110:I113)=0,"NO",SUM(I18,I25,I32,I39,I46,I53,I68,I75,I82,I89,I96,I103,I120,I110:I113))</f>
        <v>1.080720092214382</v>
      </c>
      <c r="J11" s="1938">
        <f>IF(SUM(J18,J25,J32,J39,J46,J53,J68,J75,J82,J89,J96,J103,J120,J110:J113)=0,"NO",SUM(J18,J25,J32,J39,J46,J53,J68,J75,J82,J89,J96,J103,J120,J110:J113))</f>
        <v>0.58173034634755916</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114132.12390189905</v>
      </c>
      <c r="D12" s="3056" t="s">
        <v>97</v>
      </c>
      <c r="E12" s="1938">
        <f t="shared" ref="E12:E16" si="2">IFERROR(H12*1000/$C12,"NA")</f>
        <v>81.966431722194116</v>
      </c>
      <c r="F12" s="1938">
        <f t="shared" si="1"/>
        <v>0.94897681347228402</v>
      </c>
      <c r="G12" s="1938">
        <f t="shared" si="1"/>
        <v>0.70327519195220156</v>
      </c>
      <c r="H12" s="1938">
        <f>IF(SUM(H19,H26,H33,H40,H47,H54,H69,H76,H83,H90,H97,H104,H121)=0,"NO",SUM(H19,H26,H33,H40,H47,H54,H69,H76,H83,H90,H97,H104,H121))</f>
        <v>9355.0029411140058</v>
      </c>
      <c r="I12" s="1938">
        <f>IF(SUM(I19,I26,I33,I40,I47,I54,I69,I76,I83,I90,I97,I104,I121)=0,"NO",SUM(I19,I26,I33,I40,I47,I54,I69,I76,I83,I90,I97,I104,I121))</f>
        <v>0.10830873925524806</v>
      </c>
      <c r="J12" s="1938">
        <f>IF(SUM(J19,J26,J33,J40,J47,J54,J69,J76,J83,J90,J97,J104,J121)=0,"NO",SUM(J19,J26,J33,J40,J47,J54,J69,J76,J83,J90,J97,J104,J121))</f>
        <v>8.0266291345020516E-2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349797.95340599609</v>
      </c>
      <c r="D13" s="3056" t="s">
        <v>97</v>
      </c>
      <c r="E13" s="1938">
        <f t="shared" si="2"/>
        <v>51.411933563989564</v>
      </c>
      <c r="F13" s="1938">
        <f t="shared" si="1"/>
        <v>0.98215467003919554</v>
      </c>
      <c r="G13" s="1938">
        <f t="shared" si="1"/>
        <v>0.54826683836030088</v>
      </c>
      <c r="H13" s="1938">
        <f t="shared" ref="H13:K14" si="3">IF(SUM(H20,H27,H34,H41,H48,H55,H70,H77,H84,H91,H98,H105,H122,H115)=0,"NO",SUM(H20,H27,H34,H41,H48,H55,H70,H77,H84,H91,H98,H105,H122,H115))</f>
        <v>17983.789141328587</v>
      </c>
      <c r="I13" s="1938">
        <f t="shared" si="3"/>
        <v>0.34355569350785198</v>
      </c>
      <c r="J13" s="1938">
        <f t="shared" si="3"/>
        <v>0.19178261797880933</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113765.36418832336</v>
      </c>
      <c r="D16" s="3071" t="s">
        <v>97</v>
      </c>
      <c r="E16" s="1938">
        <f t="shared" si="2"/>
        <v>94.391775147167095</v>
      </c>
      <c r="F16" s="1938">
        <f t="shared" si="1"/>
        <v>9.0691346382737219</v>
      </c>
      <c r="G16" s="1938">
        <f t="shared" si="1"/>
        <v>5.7825947444405061</v>
      </c>
      <c r="H16" s="1938">
        <f>IF(SUM(H23,H30,H37,H44,H51,H58,H73,H80,H87,H94,H101,H108,H125,H117)=0,"NO",SUM(H23,H30,H37,H44,H51,H58,H73,H80,H87,H94,H101,H108,H125,H117))</f>
        <v>10738.514675999793</v>
      </c>
      <c r="I16" s="1938">
        <f>IF(SUM(I23,I30,I37,I44,I51,I58,I73,I80,I87,I94,I101,I108,I125,I117)=0,"NO",SUM(I23,I30,I37,I44,I51,I58,I73,I80,I87,I94,I101,I108,I125,I117))</f>
        <v>1.0317534049961483</v>
      </c>
      <c r="J16" s="1938">
        <f>IF(SUM(J23,J30,J37,J44,J51,J58,J73,J80,J87,J94,J101,J108,J125,J117)=0,"NO",SUM(J23,J30,J37,J44,J51,J58,J73,J80,J87,J94,J101,J108,J125,J117))</f>
        <v>0.65785899705475881</v>
      </c>
      <c r="K16" s="3044" t="str">
        <f>IF(SUM(K23,K30,K37,K44,K51,K58,K73,K80,K87,K94,K101,K108,K125,K117)=0,"NO",SUM(K23,K30,K37,K44,K51,K58,K73,K80,K87,K94,K101,K108,K125,K117))</f>
        <v>NO</v>
      </c>
    </row>
    <row r="17" spans="2:11" ht="18" customHeight="1" x14ac:dyDescent="0.2">
      <c r="B17" s="1240" t="s">
        <v>264</v>
      </c>
      <c r="C17" s="1938">
        <f>IF(SUM(C18:C23)=0,"NO",SUM(C18:C23))</f>
        <v>36053.947454434543</v>
      </c>
      <c r="D17" s="3055" t="s">
        <v>97</v>
      </c>
      <c r="E17" s="615"/>
      <c r="F17" s="615"/>
      <c r="G17" s="615"/>
      <c r="H17" s="1938">
        <f>IF(SUM(H18:H22)=0,"NO",SUM(H18:H22))</f>
        <v>1704.8789329450863</v>
      </c>
      <c r="I17" s="1938">
        <f t="shared" ref="I17:K17" si="4">IF(SUM(I18:I23)=0,"NO",SUM(I18:I23))</f>
        <v>3.7051595473644755E-2</v>
      </c>
      <c r="J17" s="1938">
        <f t="shared" si="4"/>
        <v>2.1381205000067467E-2</v>
      </c>
      <c r="K17" s="3044" t="str">
        <f t="shared" si="4"/>
        <v>NO</v>
      </c>
    </row>
    <row r="18" spans="2:11" ht="18" customHeight="1" x14ac:dyDescent="0.2">
      <c r="B18" s="282" t="s">
        <v>243</v>
      </c>
      <c r="C18" s="699">
        <v>808.09551083333326</v>
      </c>
      <c r="D18" s="3056" t="s">
        <v>97</v>
      </c>
      <c r="E18" s="1938">
        <f>IFERROR(H18*1000/$C18,"NA")</f>
        <v>71.432723647529485</v>
      </c>
      <c r="F18" s="1938">
        <f t="shared" ref="F18:G23" si="5">IFERROR(I18*1000000/$C18,"NA")</f>
        <v>4.1929808991516664</v>
      </c>
      <c r="G18" s="1938">
        <f t="shared" si="5"/>
        <v>1.4038358056814899</v>
      </c>
      <c r="H18" s="699">
        <v>57.724463306166669</v>
      </c>
      <c r="I18" s="699">
        <v>3.388329041614375E-3</v>
      </c>
      <c r="J18" s="699">
        <v>1.1344334125183075E-3</v>
      </c>
      <c r="K18" s="3072" t="s">
        <v>199</v>
      </c>
    </row>
    <row r="19" spans="2:11" ht="18" customHeight="1" x14ac:dyDescent="0.2">
      <c r="B19" s="282" t="s">
        <v>245</v>
      </c>
      <c r="C19" s="699">
        <v>20524.204913601206</v>
      </c>
      <c r="D19" s="3056" t="s">
        <v>97</v>
      </c>
      <c r="E19" s="1938">
        <f t="shared" ref="E19:E23" si="6">IFERROR(H19*1000/$C19,"NA")</f>
        <v>43.37738579695683</v>
      </c>
      <c r="F19" s="1938">
        <f t="shared" si="5"/>
        <v>0.95543338498105634</v>
      </c>
      <c r="G19" s="1938">
        <f t="shared" si="5"/>
        <v>0.5868104966342863</v>
      </c>
      <c r="H19" s="699">
        <v>890.28635471307643</v>
      </c>
      <c r="I19" s="699">
        <v>1.960951057464683E-2</v>
      </c>
      <c r="J19" s="699">
        <v>1.2043818878374182E-2</v>
      </c>
      <c r="K19" s="3072" t="s">
        <v>199</v>
      </c>
    </row>
    <row r="20" spans="2:11" ht="18" customHeight="1" x14ac:dyDescent="0.2">
      <c r="B20" s="282" t="s">
        <v>246</v>
      </c>
      <c r="C20" s="699">
        <v>14721.647030000002</v>
      </c>
      <c r="D20" s="3056" t="s">
        <v>97</v>
      </c>
      <c r="E20" s="1938">
        <f t="shared" si="6"/>
        <v>51.411918339265</v>
      </c>
      <c r="F20" s="1938">
        <f t="shared" si="5"/>
        <v>0.9546320346320345</v>
      </c>
      <c r="G20" s="1938">
        <f t="shared" si="5"/>
        <v>0.55720346320346326</v>
      </c>
      <c r="H20" s="699">
        <v>756.8681149258432</v>
      </c>
      <c r="I20" s="699">
        <v>1.4053755857383551E-2</v>
      </c>
      <c r="J20" s="699">
        <v>8.2029527091749804E-3</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232374.6550563254</v>
      </c>
      <c r="D24" s="3056" t="s">
        <v>97</v>
      </c>
      <c r="E24" s="615"/>
      <c r="F24" s="615"/>
      <c r="G24" s="615"/>
      <c r="H24" s="1938">
        <f>IF(SUM(H25:H29)=0,"NO",SUM(H25:H29))</f>
        <v>14526.983669044635</v>
      </c>
      <c r="I24" s="1938">
        <f t="shared" ref="I24:K24" si="7">IF(SUM(I25:I30)=0,"NO",SUM(I25:I30))</f>
        <v>0.26890420045835572</v>
      </c>
      <c r="J24" s="1938">
        <f t="shared" si="7"/>
        <v>0.16155349966968571</v>
      </c>
      <c r="K24" s="3044" t="str">
        <f t="shared" si="7"/>
        <v>NO</v>
      </c>
    </row>
    <row r="25" spans="2:11" ht="18" customHeight="1" x14ac:dyDescent="0.2">
      <c r="B25" s="282" t="s">
        <v>243</v>
      </c>
      <c r="C25" s="699">
        <v>36873.395180600011</v>
      </c>
      <c r="D25" s="3056" t="s">
        <v>97</v>
      </c>
      <c r="E25" s="1938">
        <f>IFERROR(H25*1000/$C25,"NA")</f>
        <v>72.437760867137513</v>
      </c>
      <c r="F25" s="1938">
        <f t="shared" ref="F25:G30" si="8">IFERROR(I25*1000000/$C25,"NA")</f>
        <v>1.7800372273786762</v>
      </c>
      <c r="G25" s="1938">
        <f t="shared" si="8"/>
        <v>0.89175843715019065</v>
      </c>
      <c r="H25" s="699">
        <v>2671.0261824517647</v>
      </c>
      <c r="I25" s="699">
        <v>6.5636016121313479E-2</v>
      </c>
      <c r="J25" s="699">
        <v>3.2882161258673236E-2</v>
      </c>
      <c r="K25" s="3072" t="s">
        <v>199</v>
      </c>
    </row>
    <row r="26" spans="2:11" ht="18" customHeight="1" x14ac:dyDescent="0.2">
      <c r="B26" s="282" t="s">
        <v>245</v>
      </c>
      <c r="C26" s="699">
        <v>48262.883080000007</v>
      </c>
      <c r="D26" s="3056" t="s">
        <v>97</v>
      </c>
      <c r="E26" s="1938">
        <f t="shared" ref="E26:E30" si="9">IFERROR(H26*1000/$C26,"NA")</f>
        <v>91.020017518102961</v>
      </c>
      <c r="F26" s="1938">
        <f t="shared" si="8"/>
        <v>0.95238095238095233</v>
      </c>
      <c r="G26" s="1938">
        <f t="shared" si="8"/>
        <v>0.706095238095238</v>
      </c>
      <c r="H26" s="699">
        <v>4392.8884634157557</v>
      </c>
      <c r="I26" s="699">
        <v>4.5964650552380956E-2</v>
      </c>
      <c r="J26" s="699">
        <v>3.407819191953524E-2</v>
      </c>
      <c r="K26" s="3072" t="s">
        <v>199</v>
      </c>
    </row>
    <row r="27" spans="2:11" ht="18" customHeight="1" x14ac:dyDescent="0.2">
      <c r="B27" s="282" t="s">
        <v>246</v>
      </c>
      <c r="C27" s="699">
        <v>145162.23600000003</v>
      </c>
      <c r="D27" s="3056" t="s">
        <v>97</v>
      </c>
      <c r="E27" s="1938">
        <f t="shared" si="9"/>
        <v>51.411918339265</v>
      </c>
      <c r="F27" s="1938">
        <f t="shared" si="8"/>
        <v>0.95727272727272728</v>
      </c>
      <c r="G27" s="1938">
        <f t="shared" si="8"/>
        <v>0.57027272727272738</v>
      </c>
      <c r="H27" s="699">
        <v>7463.069023177115</v>
      </c>
      <c r="I27" s="699">
        <v>0.1389598495527273</v>
      </c>
      <c r="J27" s="699">
        <v>8.27820642207273E-2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2076.1407957253296</v>
      </c>
      <c r="D30" s="3056" t="s">
        <v>97</v>
      </c>
      <c r="E30" s="1938">
        <f t="shared" si="9"/>
        <v>92.542046676927384</v>
      </c>
      <c r="F30" s="1938">
        <f t="shared" si="8"/>
        <v>8.8354721749617102</v>
      </c>
      <c r="G30" s="1938">
        <f t="shared" si="8"/>
        <v>5.6889601587080918</v>
      </c>
      <c r="H30" s="699">
        <v>192.1303184258866</v>
      </c>
      <c r="I30" s="699">
        <v>1.8343684231934013E-2</v>
      </c>
      <c r="J30" s="699">
        <v>1.1811082270749916E-2</v>
      </c>
      <c r="K30" s="3072" t="s">
        <v>199</v>
      </c>
    </row>
    <row r="31" spans="2:11" ht="18" customHeight="1" x14ac:dyDescent="0.2">
      <c r="B31" s="1240" t="s">
        <v>266</v>
      </c>
      <c r="C31" s="1938">
        <f>IF(SUM(C32:C37)=0,"NO",SUM(C32:C37))</f>
        <v>147884.49847110815</v>
      </c>
      <c r="D31" s="3056" t="s">
        <v>97</v>
      </c>
      <c r="E31" s="615"/>
      <c r="F31" s="615"/>
      <c r="G31" s="615"/>
      <c r="H31" s="1938">
        <f>IF(SUM(H32:H36)=0,"NO",SUM(H32:H36))</f>
        <v>9025.8532607733032</v>
      </c>
      <c r="I31" s="1938">
        <f t="shared" ref="I31:K31" si="10">IF(SUM(I32:I37)=0,"NO",SUM(I32:I37))</f>
        <v>0.29629958504020676</v>
      </c>
      <c r="J31" s="1938">
        <f t="shared" si="10"/>
        <v>0.10774134291082901</v>
      </c>
      <c r="K31" s="3044" t="str">
        <f t="shared" si="10"/>
        <v>NO</v>
      </c>
    </row>
    <row r="32" spans="2:11" ht="18" customHeight="1" x14ac:dyDescent="0.2">
      <c r="B32" s="282" t="s">
        <v>243</v>
      </c>
      <c r="C32" s="699">
        <v>81693.189405584737</v>
      </c>
      <c r="D32" s="3056" t="s">
        <v>97</v>
      </c>
      <c r="E32" s="1938">
        <f>IFERROR(H32*1000/$C32,"NA")</f>
        <v>67.975640799448556</v>
      </c>
      <c r="F32" s="1938">
        <f t="shared" ref="F32:G37" si="11">IFERROR(I32*1000000/$C32,"NA")</f>
        <v>2.8003173334415177</v>
      </c>
      <c r="G32" s="1938">
        <f t="shared" si="11"/>
        <v>0.83233230288283355</v>
      </c>
      <c r="H32" s="699">
        <v>5553.1468987953449</v>
      </c>
      <c r="I32" s="699">
        <v>0.22876685431657989</v>
      </c>
      <c r="J32" s="699">
        <v>6.799588046779384E-2</v>
      </c>
      <c r="K32" s="3072" t="s">
        <v>199</v>
      </c>
    </row>
    <row r="33" spans="2:11" ht="18" customHeight="1" x14ac:dyDescent="0.2">
      <c r="B33" s="282" t="s">
        <v>245</v>
      </c>
      <c r="C33" s="699">
        <v>3200.3779999999997</v>
      </c>
      <c r="D33" s="3056" t="s">
        <v>97</v>
      </c>
      <c r="E33" s="1938">
        <f t="shared" ref="E33:E37" si="12">IFERROR(H33*1000/$C33,"NA")</f>
        <v>86.44772491896579</v>
      </c>
      <c r="F33" s="1938">
        <f t="shared" si="11"/>
        <v>0.85871376681724698</v>
      </c>
      <c r="G33" s="1938">
        <f t="shared" si="11"/>
        <v>0.62826767605933698</v>
      </c>
      <c r="H33" s="699">
        <v>276.66539698070989</v>
      </c>
      <c r="I33" s="699">
        <v>2.7482086476190472E-3</v>
      </c>
      <c r="J33" s="699">
        <v>2.0106940485714285E-3</v>
      </c>
      <c r="K33" s="3072" t="s">
        <v>199</v>
      </c>
    </row>
    <row r="34" spans="2:11" ht="18" customHeight="1" x14ac:dyDescent="0.2">
      <c r="B34" s="282" t="s">
        <v>246</v>
      </c>
      <c r="C34" s="699">
        <v>62165.290761658114</v>
      </c>
      <c r="D34" s="3056" t="s">
        <v>97</v>
      </c>
      <c r="E34" s="1938">
        <f t="shared" si="12"/>
        <v>51.411984498727399</v>
      </c>
      <c r="F34" s="1938">
        <f t="shared" si="11"/>
        <v>0.94995886923761186</v>
      </c>
      <c r="G34" s="1938">
        <f t="shared" si="11"/>
        <v>0.54536606378525432</v>
      </c>
      <c r="H34" s="699">
        <v>3196.0409649972489</v>
      </c>
      <c r="I34" s="699">
        <v>5.9054469317772099E-2</v>
      </c>
      <c r="J34" s="699">
        <v>3.3902839926751326E-2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825.64030386530465</v>
      </c>
      <c r="D37" s="3056" t="s">
        <v>97</v>
      </c>
      <c r="E37" s="1938">
        <f t="shared" si="12"/>
        <v>87.229883879109892</v>
      </c>
      <c r="F37" s="1938">
        <f t="shared" si="11"/>
        <v>6.9401320785940559</v>
      </c>
      <c r="G37" s="1938">
        <f t="shared" si="11"/>
        <v>4.6411596548435421</v>
      </c>
      <c r="H37" s="699">
        <v>72.020507832083524</v>
      </c>
      <c r="I37" s="699">
        <v>5.7300527582357444E-3</v>
      </c>
      <c r="J37" s="699">
        <v>3.8319284677124144E-3</v>
      </c>
      <c r="K37" s="3072" t="s">
        <v>199</v>
      </c>
    </row>
    <row r="38" spans="2:11" ht="18" customHeight="1" x14ac:dyDescent="0.2">
      <c r="B38" s="1240" t="s">
        <v>267</v>
      </c>
      <c r="C38" s="1938">
        <f>IF(SUM(C39:C44)=0,"NO",SUM(C39:C44))</f>
        <v>37112.171000000002</v>
      </c>
      <c r="D38" s="3056" t="s">
        <v>97</v>
      </c>
      <c r="E38" s="615"/>
      <c r="F38" s="615"/>
      <c r="G38" s="615"/>
      <c r="H38" s="1938">
        <f>IF(SUM(H39:H43)=0,"NO",SUM(H39:H43))</f>
        <v>1089.3670228955018</v>
      </c>
      <c r="I38" s="1938">
        <f t="shared" ref="I38:K38" si="13">IF(SUM(I39:I44)=0,"NO",SUM(I39:I44))</f>
        <v>0.19157942885561866</v>
      </c>
      <c r="J38" s="1938">
        <f t="shared" si="13"/>
        <v>0.12683086697317386</v>
      </c>
      <c r="K38" s="3044" t="str">
        <f t="shared" si="13"/>
        <v>NO</v>
      </c>
    </row>
    <row r="39" spans="2:11" ht="18" customHeight="1" x14ac:dyDescent="0.2">
      <c r="B39" s="282" t="s">
        <v>243</v>
      </c>
      <c r="C39" s="699">
        <v>537.16099999999994</v>
      </c>
      <c r="D39" s="3056" t="s">
        <v>97</v>
      </c>
      <c r="E39" s="1938">
        <f>IFERROR(H39*1000/$C39,"NA")</f>
        <v>67.310840705189705</v>
      </c>
      <c r="F39" s="1938">
        <f t="shared" ref="F39:G44" si="14">IFERROR(I39*1000000/$C39,"NA")</f>
        <v>0.9791282015933841</v>
      </c>
      <c r="G39" s="1938">
        <f t="shared" si="14"/>
        <v>1.176130147506059</v>
      </c>
      <c r="H39" s="699">
        <v>36.156758504040404</v>
      </c>
      <c r="I39" s="699">
        <v>5.259494838961038E-4</v>
      </c>
      <c r="J39" s="699">
        <v>6.3177124616450213E-4</v>
      </c>
      <c r="K39" s="3072" t="s">
        <v>199</v>
      </c>
    </row>
    <row r="40" spans="2:11" ht="18" customHeight="1" x14ac:dyDescent="0.2">
      <c r="B40" s="282" t="s">
        <v>245</v>
      </c>
      <c r="C40" s="699">
        <v>4695.9880000000003</v>
      </c>
      <c r="D40" s="3056" t="s">
        <v>97</v>
      </c>
      <c r="E40" s="1938">
        <f t="shared" ref="E40:E44" si="15">IFERROR(H40*1000/$C40,"NA")</f>
        <v>89.82933116524147</v>
      </c>
      <c r="F40" s="1938">
        <f t="shared" si="14"/>
        <v>0.94213542851188437</v>
      </c>
      <c r="G40" s="1938">
        <f t="shared" si="14"/>
        <v>0.65983631742062132</v>
      </c>
      <c r="H40" s="699">
        <v>421.83746119999995</v>
      </c>
      <c r="I40" s="699">
        <v>4.4242566666666669E-3</v>
      </c>
      <c r="J40" s="699">
        <v>3.0985834285714286E-3</v>
      </c>
      <c r="K40" s="3072" t="s">
        <v>199</v>
      </c>
    </row>
    <row r="41" spans="2:11" ht="18" customHeight="1" x14ac:dyDescent="0.2">
      <c r="B41" s="282" t="s">
        <v>246</v>
      </c>
      <c r="C41" s="699">
        <v>12280.669999999998</v>
      </c>
      <c r="D41" s="3056" t="s">
        <v>97</v>
      </c>
      <c r="E41" s="1938">
        <f t="shared" si="15"/>
        <v>51.411918339265007</v>
      </c>
      <c r="F41" s="1938">
        <f t="shared" si="14"/>
        <v>0.9136363636363638</v>
      </c>
      <c r="G41" s="1938">
        <f t="shared" si="14"/>
        <v>0.86863636363636354</v>
      </c>
      <c r="H41" s="699">
        <v>631.37280319146146</v>
      </c>
      <c r="I41" s="699">
        <v>1.1220066681818181E-2</v>
      </c>
      <c r="J41" s="699">
        <v>1.0667436531818179E-2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19598.352000000003</v>
      </c>
      <c r="D44" s="3055" t="s">
        <v>97</v>
      </c>
      <c r="E44" s="1938">
        <f t="shared" si="15"/>
        <v>93.428441031799707</v>
      </c>
      <c r="F44" s="1938">
        <f t="shared" si="14"/>
        <v>8.9501992832477804</v>
      </c>
      <c r="G44" s="1938">
        <f t="shared" si="14"/>
        <v>5.7368637815373322</v>
      </c>
      <c r="H44" s="699">
        <v>1831.0434741524541</v>
      </c>
      <c r="I44" s="699">
        <v>0.1754091560232377</v>
      </c>
      <c r="J44" s="699">
        <v>0.11243307576661976</v>
      </c>
      <c r="K44" s="3072" t="s">
        <v>199</v>
      </c>
    </row>
    <row r="45" spans="2:11" ht="18" customHeight="1" x14ac:dyDescent="0.2">
      <c r="B45" s="1240" t="s">
        <v>268</v>
      </c>
      <c r="C45" s="1938">
        <f>IF(SUM(C46:C51)=0,"NO",SUM(C46:C51))</f>
        <v>136936.75687256892</v>
      </c>
      <c r="D45" s="3055" t="s">
        <v>97</v>
      </c>
      <c r="E45" s="615"/>
      <c r="F45" s="615"/>
      <c r="G45" s="615"/>
      <c r="H45" s="1938">
        <f>IF(SUM(H46:H50)=0,"NO",SUM(H46:H50))</f>
        <v>2873.5930207244364</v>
      </c>
      <c r="I45" s="1938">
        <f t="shared" ref="I45:K45" si="16">IF(SUM(I46:I51)=0,"NO",SUM(I46:I51))</f>
        <v>0.89545411937416108</v>
      </c>
      <c r="J45" s="1938">
        <f t="shared" si="16"/>
        <v>0.56627029199498358</v>
      </c>
      <c r="K45" s="3044" t="str">
        <f t="shared" si="16"/>
        <v>NO</v>
      </c>
    </row>
    <row r="46" spans="2:11" ht="18" customHeight="1" x14ac:dyDescent="0.2">
      <c r="B46" s="282" t="s">
        <v>243</v>
      </c>
      <c r="C46" s="699">
        <v>3912.3283143313902</v>
      </c>
      <c r="D46" s="3055" t="s">
        <v>97</v>
      </c>
      <c r="E46" s="1938">
        <f>IFERROR(H46*1000/$C46,"NA")</f>
        <v>66.86020333499097</v>
      </c>
      <c r="F46" s="1938">
        <f t="shared" ref="F46:G51" si="17">IFERROR(I46*1000000/$C46,"NA")</f>
        <v>9.4681972512257104</v>
      </c>
      <c r="G46" s="1938">
        <f t="shared" si="17"/>
        <v>2.4830791319395753</v>
      </c>
      <c r="H46" s="699">
        <v>261.57906660943922</v>
      </c>
      <c r="I46" s="699">
        <v>3.7042696191644985E-2</v>
      </c>
      <c r="J46" s="699">
        <v>9.7146207946126103E-3</v>
      </c>
      <c r="K46" s="3072" t="s">
        <v>199</v>
      </c>
    </row>
    <row r="47" spans="2:11" ht="18" customHeight="1" x14ac:dyDescent="0.2">
      <c r="B47" s="282" t="s">
        <v>245</v>
      </c>
      <c r="C47" s="699">
        <v>9794.483000000002</v>
      </c>
      <c r="D47" s="3055" t="s">
        <v>97</v>
      </c>
      <c r="E47" s="1938">
        <f t="shared" ref="E47:E51" si="18">IFERROR(H47*1000/$C47,"NA")</f>
        <v>90.979755835343923</v>
      </c>
      <c r="F47" s="1938">
        <f t="shared" si="17"/>
        <v>0.95238095238095188</v>
      </c>
      <c r="G47" s="1938">
        <f t="shared" si="17"/>
        <v>0.67523809523809508</v>
      </c>
      <c r="H47" s="699">
        <v>891.09967187342704</v>
      </c>
      <c r="I47" s="699">
        <v>9.3280790476190454E-3</v>
      </c>
      <c r="J47" s="699">
        <v>6.6136080447619042E-3</v>
      </c>
      <c r="K47" s="3072" t="s">
        <v>199</v>
      </c>
    </row>
    <row r="48" spans="2:11" ht="18" customHeight="1" x14ac:dyDescent="0.2">
      <c r="B48" s="282" t="s">
        <v>246</v>
      </c>
      <c r="C48" s="699">
        <v>33473.061068939933</v>
      </c>
      <c r="D48" s="3055" t="s">
        <v>97</v>
      </c>
      <c r="E48" s="1938">
        <f t="shared" si="18"/>
        <v>51.411918339264993</v>
      </c>
      <c r="F48" s="1938">
        <f t="shared" si="17"/>
        <v>0.91409090909090929</v>
      </c>
      <c r="G48" s="1938">
        <f t="shared" si="17"/>
        <v>0.86459090909090897</v>
      </c>
      <c r="H48" s="699">
        <v>1720.9142822415702</v>
      </c>
      <c r="I48" s="699">
        <v>3.0597420822562827E-2</v>
      </c>
      <c r="J48" s="699">
        <v>2.894050429965029E-2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89756.884489297576</v>
      </c>
      <c r="D51" s="3055" t="s">
        <v>97</v>
      </c>
      <c r="E51" s="1938">
        <f t="shared" si="18"/>
        <v>94.718425940933841</v>
      </c>
      <c r="F51" s="1938">
        <f t="shared" si="17"/>
        <v>9.1189208267353443</v>
      </c>
      <c r="G51" s="1938">
        <f t="shared" si="17"/>
        <v>5.8045860417323416</v>
      </c>
      <c r="H51" s="699">
        <v>8501.6308161884863</v>
      </c>
      <c r="I51" s="699">
        <v>0.81848592331233427</v>
      </c>
      <c r="J51" s="699">
        <v>0.52100155885595878</v>
      </c>
      <c r="K51" s="3072" t="s">
        <v>199</v>
      </c>
    </row>
    <row r="52" spans="2:11" ht="18" customHeight="1" x14ac:dyDescent="0.2">
      <c r="B52" s="1240" t="s">
        <v>269</v>
      </c>
      <c r="C52" s="3073">
        <f>IF(SUM(C53:C58)=0,"NO",SUM(C53:C58))</f>
        <v>90427.324736767478</v>
      </c>
      <c r="D52" s="3055" t="s">
        <v>97</v>
      </c>
      <c r="E52" s="615"/>
      <c r="F52" s="615"/>
      <c r="G52" s="615"/>
      <c r="H52" s="1938">
        <f>IF(SUM(H53:H57)=0,"NO",SUM(H53:H57))</f>
        <v>5558.8316049636651</v>
      </c>
      <c r="I52" s="1938">
        <f t="shared" ref="I52:K52" si="19">IF(SUM(I53:I58)=0,"NO",SUM(I53:I58))</f>
        <v>0.31060480925631934</v>
      </c>
      <c r="J52" s="1938">
        <f t="shared" si="19"/>
        <v>4.7867693351064673E-2</v>
      </c>
      <c r="K52" s="3044" t="str">
        <f t="shared" si="19"/>
        <v>NO</v>
      </c>
    </row>
    <row r="53" spans="2:11" ht="18" customHeight="1" x14ac:dyDescent="0.2">
      <c r="B53" s="282" t="s">
        <v>243</v>
      </c>
      <c r="C53" s="2173">
        <v>6902.7213111847868</v>
      </c>
      <c r="D53" s="3055" t="s">
        <v>97</v>
      </c>
      <c r="E53" s="1938">
        <f>IFERROR(H53*1000/$C53,"NA")</f>
        <v>63.412031083708101</v>
      </c>
      <c r="F53" s="1938">
        <f t="shared" ref="F53:G58" si="20">IFERROR(I53*1000000/$C53,"NA")</f>
        <v>31.314556863237257</v>
      </c>
      <c r="G53" s="1938">
        <f t="shared" si="20"/>
        <v>1.869640034804938</v>
      </c>
      <c r="H53" s="699">
        <v>437.71557834702406</v>
      </c>
      <c r="I53" s="699">
        <v>0.21615565901017564</v>
      </c>
      <c r="J53" s="699">
        <v>1.2905604112492312E-2</v>
      </c>
      <c r="K53" s="3072" t="s">
        <v>199</v>
      </c>
    </row>
    <row r="54" spans="2:11" ht="18" customHeight="1" x14ac:dyDescent="0.2">
      <c r="B54" s="282" t="s">
        <v>245</v>
      </c>
      <c r="C54" s="699">
        <v>23724.661303601333</v>
      </c>
      <c r="D54" s="3055" t="s">
        <v>97</v>
      </c>
      <c r="E54" s="1938">
        <f t="shared" ref="E54:E58" si="21">IFERROR(H54*1000/$C54,"NA")</f>
        <v>89.521372542156996</v>
      </c>
      <c r="F54" s="1938">
        <f t="shared" si="20"/>
        <v>0.94802737711139318</v>
      </c>
      <c r="G54" s="1938">
        <f t="shared" si="20"/>
        <v>0.82159545637302223</v>
      </c>
      <c r="H54" s="699">
        <v>2123.864242996191</v>
      </c>
      <c r="I54" s="699">
        <v>2.2491628428509339E-2</v>
      </c>
      <c r="J54" s="699">
        <v>1.9492073931027715E-2</v>
      </c>
      <c r="K54" s="3072" t="s">
        <v>199</v>
      </c>
    </row>
    <row r="55" spans="2:11" ht="18" customHeight="1" x14ac:dyDescent="0.2">
      <c r="B55" s="282" t="s">
        <v>246</v>
      </c>
      <c r="C55" s="699">
        <v>58298.773522546209</v>
      </c>
      <c r="D55" s="3055" t="s">
        <v>97</v>
      </c>
      <c r="E55" s="1938">
        <f t="shared" si="21"/>
        <v>51.411918339264993</v>
      </c>
      <c r="F55" s="1938">
        <f t="shared" si="20"/>
        <v>0.99829431228177334</v>
      </c>
      <c r="G55" s="1938">
        <f t="shared" si="20"/>
        <v>0.11518062069221702</v>
      </c>
      <c r="H55" s="699">
        <v>2997.2517836204497</v>
      </c>
      <c r="I55" s="699">
        <v>5.8199334020561121E-2</v>
      </c>
      <c r="J55" s="699">
        <v>6.7148889199218596E-3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1501.1685994351503</v>
      </c>
      <c r="D58" s="3055" t="s">
        <v>97</v>
      </c>
      <c r="E58" s="3074">
        <f t="shared" si="21"/>
        <v>94.059792319606927</v>
      </c>
      <c r="F58" s="3074">
        <f t="shared" si="20"/>
        <v>9.1649850671337845</v>
      </c>
      <c r="G58" s="3074">
        <f t="shared" si="20"/>
        <v>5.8322072490172729</v>
      </c>
      <c r="H58" s="2215">
        <v>141.19960669958544</v>
      </c>
      <c r="I58" s="699">
        <v>1.3758187797073291E-2</v>
      </c>
      <c r="J58" s="699">
        <v>8.7551263876227917E-3</v>
      </c>
      <c r="K58" s="3072" t="s">
        <v>199</v>
      </c>
    </row>
    <row r="59" spans="2:11" ht="18" customHeight="1" x14ac:dyDescent="0.2">
      <c r="B59" s="1240" t="s">
        <v>270</v>
      </c>
      <c r="C59" s="3073">
        <f>IF(SUM(C60:C65)=0,"NO",SUM(C60:C65))</f>
        <v>159012.32372460861</v>
      </c>
      <c r="D59" s="4224" t="s">
        <v>97</v>
      </c>
      <c r="E59" s="4225"/>
      <c r="F59" s="4225"/>
      <c r="G59" s="4225"/>
      <c r="H59" s="1938">
        <f>IF(SUM(H60:H64)=0,"NO",SUM(H60:H64))</f>
        <v>10717.338519133442</v>
      </c>
      <c r="I59" s="1938">
        <f t="shared" ref="I59:K59" si="22">IF(SUM(I60:I65)=0,"NO",SUM(I60:I65))</f>
        <v>0.56444419151532432</v>
      </c>
      <c r="J59" s="1938">
        <f t="shared" si="22"/>
        <v>0.47999335282634359</v>
      </c>
      <c r="K59" s="3044" t="str">
        <f t="shared" si="22"/>
        <v>NO</v>
      </c>
    </row>
    <row r="60" spans="2:11" ht="18" customHeight="1" x14ac:dyDescent="0.2">
      <c r="B60" s="282" t="s">
        <v>243</v>
      </c>
      <c r="C60" s="4223">
        <f>IF(SUM(C68,C75,C82,C89,C96,C103,C110,C111,C111,C112,C113,C120)=0,"NO",SUM(C68,C75,C82,C89,C96,C103,C110,C111,C111,C112,C113,C120))</f>
        <v>131379.34509706023</v>
      </c>
      <c r="D60" s="4224" t="s">
        <v>97</v>
      </c>
      <c r="E60" s="3074">
        <f t="shared" ref="E60:E65" si="23">IFERROR(H60*1000/$C60,"NA")</f>
        <v>69.574901543851851</v>
      </c>
      <c r="F60" s="3074">
        <f t="shared" ref="F60:F65" si="24">IFERROR(I60*1000000/$C60,"NA")</f>
        <v>4.0280653527249122</v>
      </c>
      <c r="G60" s="3074">
        <f t="shared" ref="G60:G65" si="25">IFERROR(J60*1000000/$C60,"NA")</f>
        <v>3.4744112532915823</v>
      </c>
      <c r="H60" s="3074">
        <f>IF(SUM(H68,H75,H82,H89,H96,H103,H110,H111,H111,H112,H113,H120)=0,"NO",SUM(H68,H75,H82,H89,H96,H103,H110,H111,H111,H112,H113,H120))</f>
        <v>9140.7050000236995</v>
      </c>
      <c r="I60" s="3074">
        <f>IF(SUM(I68,I75,I82,I89,I96,I103,I110,I111,I111,I112,I113,I120)=0,"NO",SUM(I68,I75,I82,I89,I96,I103,I110,I111,I111,I112,I113,I120))</f>
        <v>0.52920458804915782</v>
      </c>
      <c r="J60" s="3074">
        <f>IF(SUM(J68,J75,J82,J89,J96,J103,J110,J111,J111,J112,J113,J120)=0,"NO",SUM(J68,J75,J82,J89,J96,J103,J110,J111,J111,J112,J113,J120))</f>
        <v>0.45646587505530434</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3929.5256046964892</v>
      </c>
      <c r="D61" s="4224" t="s">
        <v>97</v>
      </c>
      <c r="E61" s="3074">
        <f t="shared" si="23"/>
        <v>91.197102649373448</v>
      </c>
      <c r="F61" s="3074">
        <f t="shared" si="24"/>
        <v>0.95238095238095244</v>
      </c>
      <c r="G61" s="3074">
        <f t="shared" si="25"/>
        <v>0.74546431016445025</v>
      </c>
      <c r="H61" s="3074">
        <f>IF(SUM(H69,H76,H83,H90,H97,H104,H121)=0,"NO",SUM(H69,H76,H83,H90,H97,H104,H121))</f>
        <v>358.361349934847</v>
      </c>
      <c r="I61" s="3074">
        <f>IF(SUM(I69,I76,I83,I90,I97,I104,I121)=0,"NO",SUM(I69,I76,I83,I90,I97,I104,I121))</f>
        <v>3.7424053378061805E-3</v>
      </c>
      <c r="J61" s="3074">
        <f>IF(SUM(J69,J76,J83,J90,J97,J104,J121)=0,"NO",SUM(J69,J76,J83,J90,J97,J104,J121))</f>
        <v>2.9293210941786123E-3</v>
      </c>
      <c r="K61" s="3044" t="str">
        <f>IF(SUM(K69,K76,K83,K90,K97,K104,K121)=0,"NO",SUM(K69,K76,K83,K90,K97,K104,K121))</f>
        <v>NO</v>
      </c>
    </row>
    <row r="62" spans="2:11" ht="18" customHeight="1" x14ac:dyDescent="0.2">
      <c r="B62" s="282" t="s">
        <v>246</v>
      </c>
      <c r="C62" s="4223">
        <f>IF(SUM(C70,C77,C84,C91,C98,C105,C115,C122)=0,"NO",SUM(C70,C77,C84,C91,C98,C105,C115,C122))</f>
        <v>23696.275022851889</v>
      </c>
      <c r="D62" s="4224" t="s">
        <v>97</v>
      </c>
      <c r="E62" s="3074">
        <f t="shared" si="23"/>
        <v>51.411969518417337</v>
      </c>
      <c r="F62" s="3074">
        <f t="shared" si="24"/>
        <v>1.3280904793971864</v>
      </c>
      <c r="G62" s="3074">
        <f t="shared" si="25"/>
        <v>0.86815043085575794</v>
      </c>
      <c r="H62" s="3074">
        <f t="shared" ref="H62:K63" si="26">IF(SUM(H70,H77,H84,H91,H98,H105,H115,H122)=0,"NO",SUM(H70,H77,H84,H91,H98,H105,H115,H122))</f>
        <v>1218.2721691748955</v>
      </c>
      <c r="I62" s="3074">
        <f t="shared" si="26"/>
        <v>3.1470797255026939E-2</v>
      </c>
      <c r="J62" s="3074">
        <f t="shared" si="26"/>
        <v>2.0571931370765403E-2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f>IF(SUM(C73,C80,C87,C94,C101,C108,C117,C125)=0,"NO",SUM(C73,C80,C87,C94,C101,C108,C117,C125))</f>
        <v>7.177999999999999</v>
      </c>
      <c r="D65" s="4224" t="s">
        <v>97</v>
      </c>
      <c r="E65" s="3074">
        <f t="shared" si="23"/>
        <v>68.257551030746896</v>
      </c>
      <c r="F65" s="3074">
        <f t="shared" si="24"/>
        <v>3.6780263768923569</v>
      </c>
      <c r="G65" s="3074">
        <f t="shared" si="25"/>
        <v>3.6535673022064765</v>
      </c>
      <c r="H65" s="1938">
        <f>IF(SUM(H73,H80,H87,H94,H101,H108,H117,H125)=0,"NO",SUM(H73,H80,H87,H94,H101,H108,H117,H125))</f>
        <v>0.48995270129870111</v>
      </c>
      <c r="I65" s="1938">
        <f>IF(SUM(I73,I80,I87,I94,I101,I108,I117,I125)=0,"NO",SUM(I73,I80,I87,I94,I101,I108,I117,I125))</f>
        <v>2.6400873333333333E-5</v>
      </c>
      <c r="J65" s="1938">
        <f>IF(SUM(J73,J80,J87,J94,J101,J108,J117,J125)=0,"NO",SUM(J73,J80,J87,J94,J101,J108,J117,J125))</f>
        <v>2.6225306095238085E-5</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5756.6809549044647</v>
      </c>
      <c r="D67" s="3055" t="s">
        <v>97</v>
      </c>
      <c r="E67" s="615"/>
      <c r="F67" s="615"/>
      <c r="G67" s="615"/>
      <c r="H67" s="1938">
        <f>IF(SUM(H68:H72)=0,"NO",SUM(H68:H72))</f>
        <v>316.059566243598</v>
      </c>
      <c r="I67" s="1938">
        <f t="shared" ref="I67:K67" si="27">IF(SUM(I68:I73)=0,"NO",SUM(I68:I73))</f>
        <v>4.4841043339662538E-2</v>
      </c>
      <c r="J67" s="1938">
        <f t="shared" si="27"/>
        <v>7.3259306795191879E-3</v>
      </c>
      <c r="K67" s="3044" t="str">
        <f t="shared" si="27"/>
        <v>NO</v>
      </c>
    </row>
    <row r="68" spans="2:11" ht="18" customHeight="1" x14ac:dyDescent="0.2">
      <c r="B68" s="158" t="s">
        <v>243</v>
      </c>
      <c r="C68" s="699">
        <v>1497.4931777137954</v>
      </c>
      <c r="D68" s="3055" t="s">
        <v>97</v>
      </c>
      <c r="E68" s="1938">
        <f>IFERROR(H68*1000/$C68,"NA")</f>
        <v>64.832717434677463</v>
      </c>
      <c r="F68" s="1938">
        <f t="shared" ref="F68:G73" si="28">IFERROR(I68*1000000/$C68,"NA")</f>
        <v>27.298954890256137</v>
      </c>
      <c r="G68" s="1938">
        <f t="shared" si="28"/>
        <v>2.5797853867762468</v>
      </c>
      <c r="H68" s="699">
        <v>97.086552051075728</v>
      </c>
      <c r="I68" s="699">
        <v>4.0879998706875219E-2</v>
      </c>
      <c r="J68" s="699">
        <v>3.8632110166631744E-3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4259.1877771906693</v>
      </c>
      <c r="D70" s="3055" t="s">
        <v>97</v>
      </c>
      <c r="E70" s="1938">
        <f t="shared" si="29"/>
        <v>51.411918339264993</v>
      </c>
      <c r="F70" s="1938">
        <f t="shared" si="28"/>
        <v>0.92999999999999983</v>
      </c>
      <c r="G70" s="1938">
        <f t="shared" si="28"/>
        <v>0.81299999999999983</v>
      </c>
      <c r="H70" s="699">
        <v>218.97301419252227</v>
      </c>
      <c r="I70" s="699">
        <v>3.961044632787322E-3</v>
      </c>
      <c r="J70" s="699">
        <v>3.4627196628560135E-3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119105.48826</v>
      </c>
      <c r="D81" s="3056" t="s">
        <v>97</v>
      </c>
      <c r="E81" s="615"/>
      <c r="F81" s="615"/>
      <c r="G81" s="615"/>
      <c r="H81" s="1938">
        <f>IF(SUM(H82:H86)=0,"NO",SUM(H82:H86))</f>
        <v>8201.9765130954893</v>
      </c>
      <c r="I81" s="1938">
        <f t="shared" ref="I81:K81" si="33">IF(SUM(I82:I87)=0,"NO",SUM(I82:I87))</f>
        <v>0.39562522665343847</v>
      </c>
      <c r="J81" s="1938">
        <f t="shared" si="33"/>
        <v>0.38371606357709892</v>
      </c>
      <c r="K81" s="3044" t="str">
        <f t="shared" si="33"/>
        <v>NO</v>
      </c>
    </row>
    <row r="82" spans="2:11" ht="18" customHeight="1" x14ac:dyDescent="0.2">
      <c r="B82" s="158" t="s">
        <v>243</v>
      </c>
      <c r="C82" s="699">
        <v>106562.402</v>
      </c>
      <c r="D82" s="3056" t="s">
        <v>97</v>
      </c>
      <c r="E82" s="1938">
        <f>IFERROR(H82*1000/$C82,"NA")</f>
        <v>69.672470897031289</v>
      </c>
      <c r="F82" s="1938">
        <f t="shared" ref="F82:G87" si="34">IFERROR(I82*1000000/$C82,"NA")</f>
        <v>3.5120898878399149</v>
      </c>
      <c r="G82" s="1938">
        <f t="shared" si="34"/>
        <v>3.5004643102769788</v>
      </c>
      <c r="H82" s="699">
        <v>7424.4658520627499</v>
      </c>
      <c r="I82" s="699">
        <v>0.37425673448813196</v>
      </c>
      <c r="J82" s="699">
        <v>0.37301788501838817</v>
      </c>
      <c r="K82" s="3072" t="s">
        <v>199</v>
      </c>
    </row>
    <row r="83" spans="2:11" ht="18" customHeight="1" x14ac:dyDescent="0.2">
      <c r="B83" s="158" t="s">
        <v>245</v>
      </c>
      <c r="C83" s="699">
        <v>3344.848</v>
      </c>
      <c r="D83" s="3056" t="s">
        <v>97</v>
      </c>
      <c r="E83" s="1938">
        <f t="shared" ref="E83:E87" si="35">IFERROR(H83*1000/$C83,"NA")</f>
        <v>91.179216961235753</v>
      </c>
      <c r="F83" s="1938">
        <f t="shared" si="34"/>
        <v>0.95238095238095244</v>
      </c>
      <c r="G83" s="1938">
        <f t="shared" si="34"/>
        <v>0.75923809523809538</v>
      </c>
      <c r="H83" s="699">
        <v>304.98062149435549</v>
      </c>
      <c r="I83" s="699">
        <v>3.185569523809524E-3</v>
      </c>
      <c r="J83" s="699">
        <v>2.5395360243809528E-3</v>
      </c>
      <c r="K83" s="3072" t="s">
        <v>199</v>
      </c>
    </row>
    <row r="84" spans="2:11" ht="18" customHeight="1" x14ac:dyDescent="0.2">
      <c r="B84" s="158" t="s">
        <v>246</v>
      </c>
      <c r="C84" s="699">
        <v>9191.0602600000002</v>
      </c>
      <c r="D84" s="3056" t="s">
        <v>97</v>
      </c>
      <c r="E84" s="1938">
        <f t="shared" si="35"/>
        <v>51.411918339265007</v>
      </c>
      <c r="F84" s="1938">
        <f t="shared" si="34"/>
        <v>1.975454545454546</v>
      </c>
      <c r="G84" s="1938">
        <f t="shared" si="34"/>
        <v>0.88481818181818195</v>
      </c>
      <c r="H84" s="699">
        <v>472.53003953838385</v>
      </c>
      <c r="I84" s="699">
        <v>1.8156521768163642E-2</v>
      </c>
      <c r="J84" s="699">
        <v>8.132417228234547E-3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7.177999999999999</v>
      </c>
      <c r="D87" s="3055" t="s">
        <v>97</v>
      </c>
      <c r="E87" s="1938">
        <f t="shared" si="35"/>
        <v>68.257551030746896</v>
      </c>
      <c r="F87" s="1938">
        <f t="shared" si="34"/>
        <v>3.6780263768923569</v>
      </c>
      <c r="G87" s="1938">
        <f t="shared" si="34"/>
        <v>3.6535673022064765</v>
      </c>
      <c r="H87" s="699">
        <v>0.48995270129870111</v>
      </c>
      <c r="I87" s="699">
        <v>2.6400873333333333E-5</v>
      </c>
      <c r="J87" s="699">
        <v>2.6225306095238085E-5</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24397.538830346017</v>
      </c>
      <c r="D95" s="3056" t="s">
        <v>97</v>
      </c>
      <c r="E95" s="615"/>
      <c r="F95" s="615"/>
      <c r="G95" s="615"/>
      <c r="H95" s="1938">
        <f>IF(SUM(H96:H100)=0,"NO",SUM(H96:H100))</f>
        <v>1651.0254398845761</v>
      </c>
      <c r="I95" s="1938">
        <f t="shared" ref="I95:K95" si="41">IF(SUM(I96:I101)=0,"NO",SUM(I96:I101))</f>
        <v>8.1928170391322455E-2</v>
      </c>
      <c r="J95" s="1938">
        <f t="shared" si="41"/>
        <v>7.9518174333799582E-2</v>
      </c>
      <c r="K95" s="3044" t="str">
        <f t="shared" si="41"/>
        <v>NO</v>
      </c>
    </row>
    <row r="96" spans="2:11" ht="18" customHeight="1" x14ac:dyDescent="0.2">
      <c r="B96" s="158" t="s">
        <v>243</v>
      </c>
      <c r="C96" s="699">
        <v>21503.224571212231</v>
      </c>
      <c r="D96" s="3056" t="s">
        <v>97</v>
      </c>
      <c r="E96" s="1938">
        <f>IFERROR(H96*1000/$C96,"NA")</f>
        <v>69.8603684564102</v>
      </c>
      <c r="F96" s="1938">
        <f t="shared" ref="F96:G101" si="42">IFERROR(I96*1000000/$C96,"NA")</f>
        <v>3.6876783455283157</v>
      </c>
      <c r="G96" s="1938">
        <f t="shared" si="42"/>
        <v>3.5756023148129366</v>
      </c>
      <c r="H96" s="699">
        <v>1502.2231915458196</v>
      </c>
      <c r="I96" s="699">
        <v>7.9296975610291739E-2</v>
      </c>
      <c r="J96" s="699">
        <v>7.6886979552768867E-2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2894.3142591337864</v>
      </c>
      <c r="D98" s="3056" t="s">
        <v>97</v>
      </c>
      <c r="E98" s="1938">
        <f t="shared" si="43"/>
        <v>51.411918339265</v>
      </c>
      <c r="F98" s="1938">
        <f t="shared" si="42"/>
        <v>0.90909090909090906</v>
      </c>
      <c r="G98" s="1938">
        <f t="shared" si="42"/>
        <v>0.90909090909090906</v>
      </c>
      <c r="H98" s="699">
        <v>148.8022483387565</v>
      </c>
      <c r="I98" s="699">
        <v>2.6311947810307148E-3</v>
      </c>
      <c r="J98" s="699">
        <v>2.6311947810307148E-3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6610.0542583347224</v>
      </c>
      <c r="D102" s="3055" t="s">
        <v>97</v>
      </c>
      <c r="E102" s="615"/>
      <c r="F102" s="615"/>
      <c r="G102" s="615"/>
      <c r="H102" s="1938">
        <f>IF(SUM(H103:H107)=0,"NO",SUM(H103:H107))</f>
        <v>377.46705146410949</v>
      </c>
      <c r="I102" s="1938">
        <f t="shared" ref="I102:K102" si="47">IF(SUM(I103:I108)=0,"NO",SUM(I103:I108))</f>
        <v>5.984234742944532E-3</v>
      </c>
      <c r="J102" s="1938">
        <f t="shared" si="47"/>
        <v>5.9485227065905009E-3</v>
      </c>
      <c r="K102" s="3044" t="str">
        <f t="shared" si="47"/>
        <v>NO</v>
      </c>
    </row>
    <row r="103" spans="2:11" ht="18" customHeight="1" x14ac:dyDescent="0.2">
      <c r="B103" s="158" t="s">
        <v>243</v>
      </c>
      <c r="C103" s="699">
        <v>928.47305084477398</v>
      </c>
      <c r="D103" s="3055" t="s">
        <v>97</v>
      </c>
      <c r="E103" s="1938">
        <f>IFERROR(H103*1000/$C103,"NA")</f>
        <v>66.824482581635976</v>
      </c>
      <c r="F103" s="1938">
        <f t="shared" ref="F103:G108" si="48">IFERROR(I103*1000000/$C103,"NA")</f>
        <v>0.81508214870488815</v>
      </c>
      <c r="G103" s="1938">
        <f t="shared" si="48"/>
        <v>1.3517867593478157</v>
      </c>
      <c r="H103" s="699">
        <v>62.044731213695016</v>
      </c>
      <c r="I103" s="699">
        <v>7.5678180929714123E-4</v>
      </c>
      <c r="J103" s="699">
        <v>1.2550975765432367E-3</v>
      </c>
      <c r="K103" s="3072" t="s">
        <v>199</v>
      </c>
    </row>
    <row r="104" spans="2:11" ht="18" customHeight="1" x14ac:dyDescent="0.2">
      <c r="B104" s="158" t="s">
        <v>245</v>
      </c>
      <c r="C104" s="699">
        <v>584.67760469648931</v>
      </c>
      <c r="D104" s="3055" t="s">
        <v>97</v>
      </c>
      <c r="E104" s="1938">
        <f t="shared" ref="E104:E108" si="49">IFERROR(H104*1000/$C104,"NA")</f>
        <v>91.299423839231622</v>
      </c>
      <c r="F104" s="1938">
        <f t="shared" si="48"/>
        <v>0.95238095238095244</v>
      </c>
      <c r="G104" s="1938">
        <f t="shared" si="48"/>
        <v>0.66666666666666674</v>
      </c>
      <c r="H104" s="699">
        <v>53.380728440491495</v>
      </c>
      <c r="I104" s="699">
        <v>5.5683581399665653E-4</v>
      </c>
      <c r="J104" s="699">
        <v>3.8978506979765954E-4</v>
      </c>
      <c r="K104" s="3072" t="s">
        <v>199</v>
      </c>
    </row>
    <row r="105" spans="2:11" ht="18" customHeight="1" x14ac:dyDescent="0.2">
      <c r="B105" s="158" t="s">
        <v>246</v>
      </c>
      <c r="C105" s="699">
        <v>5096.903602793459</v>
      </c>
      <c r="D105" s="3055" t="s">
        <v>97</v>
      </c>
      <c r="E105" s="1938">
        <f t="shared" si="49"/>
        <v>51.411918339265021</v>
      </c>
      <c r="F105" s="1938">
        <f t="shared" si="48"/>
        <v>0.91636363636363649</v>
      </c>
      <c r="G105" s="1938">
        <f t="shared" si="48"/>
        <v>0.84436363636363654</v>
      </c>
      <c r="H105" s="699">
        <v>262.04159180992298</v>
      </c>
      <c r="I105" s="699">
        <v>4.6706171196507339E-3</v>
      </c>
      <c r="J105" s="699">
        <v>4.3036400602496049E-3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3142.5614210234062</v>
      </c>
      <c r="D118" s="3055" t="s">
        <v>97</v>
      </c>
      <c r="E118" s="615"/>
      <c r="F118" s="615"/>
      <c r="G118" s="615"/>
      <c r="H118" s="1938">
        <f>H119</f>
        <v>170.80994844566905</v>
      </c>
      <c r="I118" s="1938">
        <f>I119</f>
        <v>3.6065516387956291E-2</v>
      </c>
      <c r="J118" s="1938">
        <f>J119</f>
        <v>3.4846615293354314E-3</v>
      </c>
      <c r="K118" s="3044" t="str">
        <f>K119</f>
        <v>NO</v>
      </c>
    </row>
    <row r="119" spans="2:11" ht="18" customHeight="1" x14ac:dyDescent="0.2">
      <c r="B119" s="3069" t="s">
        <v>286</v>
      </c>
      <c r="C119" s="3077">
        <f>IF(SUM(C120:C125)=0,"NO",SUM(C120:C125))</f>
        <v>3142.5614210234062</v>
      </c>
      <c r="D119" s="3055" t="s">
        <v>97</v>
      </c>
      <c r="E119" s="615"/>
      <c r="F119" s="615"/>
      <c r="G119" s="615"/>
      <c r="H119" s="3077">
        <f>IF(SUM(H120:H124)=0,"NO",SUM(H120:H124))</f>
        <v>170.80994844566905</v>
      </c>
      <c r="I119" s="3077">
        <f t="shared" ref="I119" si="56">IF(SUM(I120:I125)=0,"NO",SUM(I120:I125))</f>
        <v>3.6065516387956291E-2</v>
      </c>
      <c r="J119" s="3077">
        <f t="shared" ref="J119" si="57">IF(SUM(J120:J125)=0,"NO",SUM(J120:J125))</f>
        <v>3.4846615293354314E-3</v>
      </c>
      <c r="K119" s="3078" t="str">
        <f t="shared" ref="K119" si="58">IF(SUM(K120:K125)=0,"NO",SUM(K120:K125))</f>
        <v>NO</v>
      </c>
    </row>
    <row r="120" spans="2:11" ht="18" customHeight="1" x14ac:dyDescent="0.2">
      <c r="B120" s="158" t="s">
        <v>243</v>
      </c>
      <c r="C120" s="699">
        <v>887.75229728943373</v>
      </c>
      <c r="D120" s="3055" t="s">
        <v>97</v>
      </c>
      <c r="E120" s="1938">
        <f>IFERROR(H120*1000/$C120,"NA")</f>
        <v>61.824309909349886</v>
      </c>
      <c r="F120" s="1938">
        <f t="shared" ref="F120:G125" si="59">IFERROR(I120*1000000/$C120,"NA")</f>
        <v>38.31485149451791</v>
      </c>
      <c r="G120" s="1938">
        <f t="shared" si="59"/>
        <v>1.6251176092091237</v>
      </c>
      <c r="H120" s="699">
        <v>54.884673150359262</v>
      </c>
      <c r="I120" s="699">
        <v>3.4014097434561769E-2</v>
      </c>
      <c r="J120" s="699">
        <v>1.442701890940912E-3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2254.8091237339722</v>
      </c>
      <c r="D122" s="3055" t="s">
        <v>97</v>
      </c>
      <c r="E122" s="1938">
        <f t="shared" si="60"/>
        <v>51.412456192006672</v>
      </c>
      <c r="F122" s="1938">
        <f t="shared" si="59"/>
        <v>0.90979716721979631</v>
      </c>
      <c r="G122" s="1938">
        <f t="shared" si="59"/>
        <v>0.90560199393420349</v>
      </c>
      <c r="H122" s="699">
        <v>115.92527529530979</v>
      </c>
      <c r="I122" s="699">
        <v>2.0514189533945193E-3</v>
      </c>
      <c r="J122" s="699">
        <v>2.0419596383945194E-3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4953.1042223718496</v>
      </c>
      <c r="D10" s="695">
        <f t="shared" ref="D10:F10" si="0">SUM(D11:D16)</f>
        <v>27194.851844122059</v>
      </c>
      <c r="E10" s="695">
        <f t="shared" si="0"/>
        <v>1826.4047518273808</v>
      </c>
      <c r="F10" s="695">
        <f t="shared" si="0"/>
        <v>3445.0660983919788</v>
      </c>
      <c r="G10" s="696" t="s">
        <v>199</v>
      </c>
      <c r="H10" s="697" t="s">
        <v>2035</v>
      </c>
      <c r="I10" s="698" t="s">
        <v>2036</v>
      </c>
    </row>
    <row r="11" spans="2:9" ht="18" customHeight="1" x14ac:dyDescent="0.2">
      <c r="B11" s="1561" t="s">
        <v>1921</v>
      </c>
      <c r="C11" s="3696">
        <f>Table1!D10</f>
        <v>1383.3213826335241</v>
      </c>
      <c r="D11" s="3697">
        <f>Table1!G10</f>
        <v>2493.4876885252702</v>
      </c>
      <c r="E11" s="3697">
        <f>Table1!H10</f>
        <v>731.44574800654777</v>
      </c>
      <c r="F11" s="3697">
        <f>Table1!F10</f>
        <v>2481.1909829534402</v>
      </c>
      <c r="G11" s="3698" t="s">
        <v>199</v>
      </c>
      <c r="H11" s="3699" t="s">
        <v>221</v>
      </c>
      <c r="I11" s="3700" t="s">
        <v>221</v>
      </c>
    </row>
    <row r="12" spans="2:9" ht="18" customHeight="1" x14ac:dyDescent="0.2">
      <c r="B12" s="2419" t="s">
        <v>2037</v>
      </c>
      <c r="C12" s="3149">
        <f>'Table2(I)'!D10</f>
        <v>2.7391028704162332</v>
      </c>
      <c r="D12" s="699">
        <f>'Table2(I)'!L10</f>
        <v>16.057180943614814</v>
      </c>
      <c r="E12" s="699">
        <f>'Table2(I)'!M10</f>
        <v>237.58257763270387</v>
      </c>
      <c r="F12" s="699">
        <f>'Table2(I)'!K10</f>
        <v>6.5913176527148671</v>
      </c>
      <c r="G12" s="3125" t="s">
        <v>199</v>
      </c>
      <c r="H12" s="3701" t="s">
        <v>199</v>
      </c>
      <c r="I12" s="2921" t="s">
        <v>199</v>
      </c>
    </row>
    <row r="13" spans="2:9" ht="18" customHeight="1" x14ac:dyDescent="0.2">
      <c r="B13" s="2419" t="s">
        <v>2038</v>
      </c>
      <c r="C13" s="3149">
        <f>Table3!D10</f>
        <v>2413.3047906240672</v>
      </c>
      <c r="D13" s="699">
        <f>Table3!G10</f>
        <v>370.72642008033051</v>
      </c>
      <c r="E13" s="699">
        <f>Table3!H10</f>
        <v>21.625707838019281</v>
      </c>
      <c r="F13" s="699">
        <f>Table3!F10</f>
        <v>23.451409339934074</v>
      </c>
      <c r="G13" s="3702"/>
      <c r="H13" s="3701" t="s">
        <v>221</v>
      </c>
      <c r="I13" s="2921" t="s">
        <v>274</v>
      </c>
    </row>
    <row r="14" spans="2:9" ht="18" customHeight="1" x14ac:dyDescent="0.2">
      <c r="B14" s="2419" t="s">
        <v>2039</v>
      </c>
      <c r="C14" s="3149">
        <f>Table4!D10</f>
        <v>691.95526354502908</v>
      </c>
      <c r="D14" s="699">
        <f>Table4!G10</f>
        <v>24314.580554572844</v>
      </c>
      <c r="E14" s="3125">
        <f>Table4!H10</f>
        <v>593.15893179340242</v>
      </c>
      <c r="F14" s="3125">
        <f>Table4!F10</f>
        <v>933.83238844588993</v>
      </c>
      <c r="G14" s="3702"/>
      <c r="H14" s="3703" t="s">
        <v>221</v>
      </c>
      <c r="I14" s="2921" t="s">
        <v>221</v>
      </c>
    </row>
    <row r="15" spans="2:9" ht="18" customHeight="1" x14ac:dyDescent="0.2">
      <c r="B15" s="2419" t="s">
        <v>2040</v>
      </c>
      <c r="C15" s="3149">
        <f>Table5!D10</f>
        <v>461.78368269881287</v>
      </c>
      <c r="D15" s="699" t="str">
        <f>Table5!G10</f>
        <v>NO</v>
      </c>
      <c r="E15" s="3125">
        <f>Table5!H10</f>
        <v>242.5917865567074</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2013</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393380.90857843572</v>
      </c>
      <c r="D10" s="3840">
        <f>SUM(D11,D22,D30,D41,D50,D56)</f>
        <v>389541.74059074587</v>
      </c>
      <c r="E10" s="3842">
        <f>IF(D10="NO",IF(C10="NO","NA",-C10),IF(C10="NO",D10,D10-C10))</f>
        <v>-3839.1679876898415</v>
      </c>
      <c r="F10" s="3840">
        <f>IF(E10="NA","NA",E10/C10*100)</f>
        <v>-0.97594161383262823</v>
      </c>
      <c r="G10" s="3843">
        <f>IF(E10="NA","NA",E10/Table8s2!$G$35*100)</f>
        <v>-0.70765619350370312</v>
      </c>
      <c r="H10" s="3844">
        <f>IF(E10="NA","NA",E10/Table8s2!$G$34*100)</f>
        <v>-0.68913554913786002</v>
      </c>
      <c r="I10" s="4488">
        <f>SUM(I11,I22,I30,I41,I50,I56)</f>
        <v>137633.02971345925</v>
      </c>
      <c r="J10" s="3840">
        <f>SUM(J11,J22,J30,J41,J50,J56)</f>
        <v>138686.9182264118</v>
      </c>
      <c r="K10" s="3842">
        <f t="shared" ref="K10:K12" si="0">IF(J10="NO",IF(I10="NO","NA",-I10),IF(I10="NO",J10,J10-I10))</f>
        <v>1053.8885129525443</v>
      </c>
      <c r="L10" s="3840">
        <f t="shared" ref="L10:L12" si="1">IF(K10="NA","NA",K10/I10*100)</f>
        <v>0.76572354408433363</v>
      </c>
      <c r="M10" s="3843">
        <f>IF(K10="NA","NA",K10/Table8s2!$G$35*100)</f>
        <v>0.19425842678534191</v>
      </c>
      <c r="N10" s="3844">
        <f>IF(K10="NA","NA",K10/Table8s2!$G$34*100)</f>
        <v>0.18917433189493146</v>
      </c>
      <c r="O10" s="4488">
        <f>SUM(O11,O22,O30,O41,O50,O56)</f>
        <v>21616.034875143563</v>
      </c>
      <c r="P10" s="3840">
        <f>SUM(P11,P22,P30,P41,P50,P56)</f>
        <v>20402.900906629649</v>
      </c>
      <c r="Q10" s="3842">
        <f t="shared" ref="Q10:Q12" si="2">IF(P10="NO",IF(O10="NO","NA",-O10),IF(O10="NO",P10,P10-O10))</f>
        <v>-1213.1339685139137</v>
      </c>
      <c r="R10" s="3840">
        <f t="shared" ref="R10:R12" si="3">IF(Q10="NA","NA",Q10/O10*100)</f>
        <v>-5.6121947226727755</v>
      </c>
      <c r="S10" s="3843">
        <f>IF(Q10="NA","NA",Q10/Table8s2!$G$35*100)</f>
        <v>-0.22361140984746936</v>
      </c>
      <c r="T10" s="3844">
        <f>IF(Q10="NA","NA",Q10/Table8s2!$G$34*100)</f>
        <v>-0.21775909422309109</v>
      </c>
    </row>
    <row r="11" spans="2:20" ht="18" customHeight="1" x14ac:dyDescent="0.2">
      <c r="B11" s="1404" t="s">
        <v>1921</v>
      </c>
      <c r="C11" s="3841">
        <f>SUM(C12,C18,C21)</f>
        <v>377398.7888015036</v>
      </c>
      <c r="D11" s="3841">
        <f>Summary2!C11</f>
        <v>377178.33140094014</v>
      </c>
      <c r="E11" s="3845">
        <f t="shared" ref="E11:E38" si="4">IF(D11="NO",IF(C11="NO","NA",-C11),IF(C11="NO",D11,D11-C11))</f>
        <v>-220.45740056346403</v>
      </c>
      <c r="F11" s="3841">
        <f t="shared" ref="F11:F38" si="5">IF(E11="NA","NA",E11/C11*100)</f>
        <v>-5.8414972995426237E-2</v>
      </c>
      <c r="G11" s="3846">
        <f>IF(E11="NA","NA",E11/Table8s2!$G$35*100)</f>
        <v>-4.0635899604470671E-2</v>
      </c>
      <c r="H11" s="3847">
        <f>IF(E11="NA","NA",E11/Table8s2!$G$34*100)</f>
        <v>-3.9572384507776233E-2</v>
      </c>
      <c r="I11" s="3848">
        <f>SUM(I12,I18,I21)</f>
        <v>38471.74765537378</v>
      </c>
      <c r="J11" s="3841">
        <f>Summary2!D11</f>
        <v>38732.998713738678</v>
      </c>
      <c r="K11" s="3845">
        <f t="shared" si="0"/>
        <v>261.2510583648982</v>
      </c>
      <c r="L11" s="3841">
        <f t="shared" si="1"/>
        <v>0.67907249939659642</v>
      </c>
      <c r="M11" s="3846">
        <f>IF(K11="NA","NA",K11/Table8s2!$G$35*100)</f>
        <v>4.8155207092816947E-2</v>
      </c>
      <c r="N11" s="3847">
        <f>IF(K11="NA","NA",K11/Table8s2!$G$34*100)</f>
        <v>4.6894898099386344E-2</v>
      </c>
      <c r="O11" s="3848">
        <f>SUM(O12,O18,O21)</f>
        <v>3251.2141498886622</v>
      </c>
      <c r="P11" s="3841">
        <f>Summary2!E11</f>
        <v>3248.8976096670563</v>
      </c>
      <c r="Q11" s="3845">
        <f t="shared" si="2"/>
        <v>-2.3165402216059192</v>
      </c>
      <c r="R11" s="3841">
        <f t="shared" si="3"/>
        <v>-7.1251542187254838E-2</v>
      </c>
      <c r="S11" s="3846">
        <f>IF(Q11="NA","NA",Q11/Table8s2!$G$35*100)</f>
        <v>-4.2699721412979916E-4</v>
      </c>
      <c r="T11" s="3847">
        <f>IF(Q11="NA","NA",Q11/Table8s2!$G$34*100)</f>
        <v>-4.158219236134414E-4</v>
      </c>
    </row>
    <row r="12" spans="2:20" ht="18" customHeight="1" x14ac:dyDescent="0.2">
      <c r="B12" s="606" t="s">
        <v>242</v>
      </c>
      <c r="C12" s="3841">
        <f>SUM(C13:C17)</f>
        <v>368552.38361086883</v>
      </c>
      <c r="D12" s="3841">
        <f>Summary2!C12</f>
        <v>368323.72147592145</v>
      </c>
      <c r="E12" s="3841">
        <f t="shared" si="4"/>
        <v>-228.66213494737167</v>
      </c>
      <c r="F12" s="3849">
        <f t="shared" si="5"/>
        <v>-6.2043320058621995E-2</v>
      </c>
      <c r="G12" s="3846">
        <f>IF(E12="NA","NA",E12/Table8s2!$G$35*100)</f>
        <v>-4.2148240591226703E-2</v>
      </c>
      <c r="H12" s="3847">
        <f>IF(E12="NA","NA",E12/Table8s2!$G$34*100)</f>
        <v>-4.1045144791596683E-2</v>
      </c>
      <c r="I12" s="3848">
        <f>SUM(I13:I17)</f>
        <v>2193.4431323376334</v>
      </c>
      <c r="J12" s="3841">
        <f>Summary2!D12</f>
        <v>2193.6308472312235</v>
      </c>
      <c r="K12" s="3841">
        <f t="shared" si="0"/>
        <v>0.187714893590055</v>
      </c>
      <c r="L12" s="3849">
        <f t="shared" si="1"/>
        <v>8.5580013825113533E-3</v>
      </c>
      <c r="M12" s="3846">
        <f>IF(K12="NA","NA",K12/Table8s2!$G$35*100)</f>
        <v>3.4600623751768647E-5</v>
      </c>
      <c r="N12" s="3847">
        <f>IF(K12="NA","NA",K12/Table8s2!$G$34*100)</f>
        <v>3.3695062755870299E-5</v>
      </c>
      <c r="O12" s="3850">
        <f>SUM(O13:O17)</f>
        <v>3219.2053594387335</v>
      </c>
      <c r="P12" s="3849">
        <f>Summary2!E12</f>
        <v>3216.8888192171275</v>
      </c>
      <c r="Q12" s="3841">
        <f t="shared" si="2"/>
        <v>-2.3165402216059192</v>
      </c>
      <c r="R12" s="3849">
        <f t="shared" si="3"/>
        <v>-7.1960001396425569E-2</v>
      </c>
      <c r="S12" s="3846">
        <f>IF(Q12="NA","NA",Q12/Table8s2!$G$35*100)</f>
        <v>-4.2699721412979916E-4</v>
      </c>
      <c r="T12" s="3847">
        <f>IF(Q12="NA","NA",Q12/Table8s2!$G$34*100)</f>
        <v>-4.158219236134414E-4</v>
      </c>
    </row>
    <row r="13" spans="2:20" ht="18" customHeight="1" x14ac:dyDescent="0.2">
      <c r="B13" s="1391" t="s">
        <v>1923</v>
      </c>
      <c r="C13" s="3849">
        <v>209945.84533172444</v>
      </c>
      <c r="D13" s="3841">
        <f>Summary2!C13</f>
        <v>209738.86269675242</v>
      </c>
      <c r="E13" s="3841">
        <f t="shared" si="4"/>
        <v>-206.98263497202424</v>
      </c>
      <c r="F13" s="3849">
        <f t="shared" si="5"/>
        <v>-9.8588583472553032E-2</v>
      </c>
      <c r="G13" s="3846">
        <f>IF(E13="NA","NA",E13/Table8s2!$G$35*100)</f>
        <v>-3.8152157981971156E-2</v>
      </c>
      <c r="H13" s="3847">
        <f>IF(E13="NA","NA",E13/Table8s2!$G$34*100)</f>
        <v>-3.7153646902353434E-2</v>
      </c>
      <c r="I13" s="3848">
        <v>577.5028103494293</v>
      </c>
      <c r="J13" s="3841">
        <f>Summary2!D13</f>
        <v>577.1175677560625</v>
      </c>
      <c r="K13" s="3841">
        <f t="shared" ref="K13" si="6">IF(J13="NO",IF(I13="NO","NA",-I13),IF(I13="NO",J13,J13-I13))</f>
        <v>-0.38524259336679734</v>
      </c>
      <c r="L13" s="3849">
        <f t="shared" ref="L13" si="7">IF(K13="NA","NA",K13/I13*100)</f>
        <v>-6.6708349546160436E-2</v>
      </c>
      <c r="M13" s="3846">
        <f>IF(K13="NA","NA",K13/Table8s2!$G$35*100)</f>
        <v>-7.1009996976320657E-5</v>
      </c>
      <c r="N13" s="3847">
        <f>IF(K13="NA","NA",K13/Table8s2!$G$34*100)</f>
        <v>-6.9151536734622583E-5</v>
      </c>
      <c r="O13" s="3850">
        <v>1085.0836198940585</v>
      </c>
      <c r="P13" s="3849">
        <f>Summary2!E13</f>
        <v>1084.1117669114228</v>
      </c>
      <c r="Q13" s="3841">
        <f t="shared" ref="Q13" si="8">IF(P13="NO",IF(O13="NO","NA",-O13),IF(O13="NO",P13,P13-O13))</f>
        <v>-0.97185298263570985</v>
      </c>
      <c r="R13" s="3849">
        <f t="shared" ref="R13" si="9">IF(Q13="NA","NA",Q13/O13*100)</f>
        <v>-8.9564800796697694E-2</v>
      </c>
      <c r="S13" s="3846">
        <f>IF(Q13="NA","NA",Q13/Table8s2!$G$35*100)</f>
        <v>-1.7913719445005117E-4</v>
      </c>
      <c r="T13" s="3847">
        <f>IF(Q13="NA","NA",Q13/Table8s2!$G$34*100)</f>
        <v>-1.7444884959903293E-4</v>
      </c>
    </row>
    <row r="14" spans="2:20" ht="18" customHeight="1" x14ac:dyDescent="0.2">
      <c r="B14" s="1391" t="s">
        <v>1976</v>
      </c>
      <c r="C14" s="3849">
        <v>45496.846030480076</v>
      </c>
      <c r="D14" s="3841">
        <f>Summary2!C14</f>
        <v>45496.846030480068</v>
      </c>
      <c r="E14" s="3841">
        <f t="shared" si="4"/>
        <v>-7.2759576141834259E-12</v>
      </c>
      <c r="F14" s="3849">
        <f t="shared" si="5"/>
        <v>-1.5992224184746747E-14</v>
      </c>
      <c r="G14" s="3846">
        <f>IF(E14="NA","NA",E14/Table8s2!$G$35*100)</f>
        <v>-1.3411438326890153E-15</v>
      </c>
      <c r="H14" s="3847">
        <f>IF(E14="NA","NA",E14/Table8s2!$G$34*100)</f>
        <v>-1.3060436693657828E-15</v>
      </c>
      <c r="I14" s="3848">
        <v>71.801462039261679</v>
      </c>
      <c r="J14" s="3841">
        <f>Summary2!D14</f>
        <v>71.801462039261651</v>
      </c>
      <c r="K14" s="3841">
        <f t="shared" ref="K14:K20" si="10">IF(J14="NO",IF(I14="NO","NA",-I14),IF(I14="NO",J14,J14-I14))</f>
        <v>-2.8421709430404007E-14</v>
      </c>
      <c r="L14" s="3849">
        <f t="shared" ref="L14:L20" si="11">IF(K14="NA","NA",K14/I14*100)</f>
        <v>-3.9583747493696942E-14</v>
      </c>
      <c r="M14" s="3846">
        <f>IF(K14="NA","NA",K14/Table8s2!$G$35*100)</f>
        <v>-5.2388430964414658E-18</v>
      </c>
      <c r="N14" s="3847">
        <f>IF(K14="NA","NA",K14/Table8s2!$G$34*100)</f>
        <v>-5.1017330834600891E-18</v>
      </c>
      <c r="O14" s="3850">
        <v>400.58413697242918</v>
      </c>
      <c r="P14" s="3849">
        <f>Summary2!E14</f>
        <v>400.58413697242918</v>
      </c>
      <c r="Q14" s="3841">
        <f t="shared" ref="Q14:Q20" si="12">IF(P14="NO",IF(O14="NO","NA",-O14),IF(O14="NO",P14,P14-O14))</f>
        <v>0</v>
      </c>
      <c r="R14" s="3849">
        <f t="shared" ref="R14:R20" si="13">IF(Q14="NA","NA",Q14/O14*100)</f>
        <v>0</v>
      </c>
      <c r="S14" s="3846">
        <f>IF(Q14="NA","NA",Q14/Table8s2!$G$35*100)</f>
        <v>0</v>
      </c>
      <c r="T14" s="3847">
        <f>IF(Q14="NA","NA",Q14/Table8s2!$G$34*100)</f>
        <v>0</v>
      </c>
    </row>
    <row r="15" spans="2:20" ht="18" customHeight="1" x14ac:dyDescent="0.2">
      <c r="B15" s="1391" t="s">
        <v>1925</v>
      </c>
      <c r="C15" s="3849">
        <v>91165.480612694591</v>
      </c>
      <c r="D15" s="3841">
        <f>Summary2!C15</f>
        <v>91143.808302532998</v>
      </c>
      <c r="E15" s="3841">
        <f t="shared" si="4"/>
        <v>-21.672310161593487</v>
      </c>
      <c r="F15" s="3849">
        <f t="shared" si="5"/>
        <v>-2.3772495922733793E-2</v>
      </c>
      <c r="G15" s="3846">
        <f>IF(E15="NA","NA",E15/Table8s2!$G$35*100)</f>
        <v>-3.9947573439247687E-3</v>
      </c>
      <c r="H15" s="3847">
        <f>IF(E15="NA","NA",E15/Table8s2!$G$34*100)</f>
        <v>-3.8902073085066396E-3</v>
      </c>
      <c r="I15" s="3848">
        <v>444.03783097747237</v>
      </c>
      <c r="J15" s="3841">
        <f>Summary2!D15</f>
        <v>444.19619172789999</v>
      </c>
      <c r="K15" s="3841">
        <f t="shared" si="10"/>
        <v>0.15836075042761877</v>
      </c>
      <c r="L15" s="3849">
        <f t="shared" si="11"/>
        <v>3.5663796951492847E-2</v>
      </c>
      <c r="M15" s="3846">
        <f>IF(K15="NA","NA",K15/Table8s2!$G$35*100)</f>
        <v>2.9189909430202333E-5</v>
      </c>
      <c r="N15" s="3847">
        <f>IF(K15="NA","NA",K15/Table8s2!$G$34*100)</f>
        <v>2.8425956628558239E-5</v>
      </c>
      <c r="O15" s="3850">
        <v>1547.6040431782749</v>
      </c>
      <c r="P15" s="3849">
        <f>Summary2!E15</f>
        <v>1546.2125098950744</v>
      </c>
      <c r="Q15" s="3841">
        <f t="shared" si="12"/>
        <v>-1.3915332832004879</v>
      </c>
      <c r="R15" s="3849">
        <f t="shared" si="13"/>
        <v>-8.9915330044158553E-2</v>
      </c>
      <c r="S15" s="3846">
        <f>IF(Q15="NA","NA",Q15/Table8s2!$G$35*100)</f>
        <v>-2.5649493574671933E-4</v>
      </c>
      <c r="T15" s="3847">
        <f>IF(Q15="NA","NA",Q15/Table8s2!$G$34*100)</f>
        <v>-2.4978199868743264E-4</v>
      </c>
    </row>
    <row r="16" spans="2:20" ht="18" customHeight="1" x14ac:dyDescent="0.2">
      <c r="B16" s="1391" t="s">
        <v>1926</v>
      </c>
      <c r="C16" s="3849">
        <v>21040.69538038491</v>
      </c>
      <c r="D16" s="3841">
        <f>Summary2!C16</f>
        <v>21040.688190571178</v>
      </c>
      <c r="E16" s="3841">
        <f t="shared" si="4"/>
        <v>-7.1898137321113609E-3</v>
      </c>
      <c r="F16" s="3849">
        <f t="shared" si="5"/>
        <v>-3.4170989133819366E-5</v>
      </c>
      <c r="G16" s="3846">
        <f>IF(E16="NA","NA",E16/Table8s2!$G$35*100)</f>
        <v>-1.3252653267532978E-6</v>
      </c>
      <c r="H16" s="3847">
        <f>IF(E16="NA","NA",E16/Table8s2!$G$34*100)</f>
        <v>-1.2905807326912348E-6</v>
      </c>
      <c r="I16" s="3848">
        <v>1099.3244449281503</v>
      </c>
      <c r="J16" s="3841">
        <f>Summary2!D16</f>
        <v>1099.7396854730102</v>
      </c>
      <c r="K16" s="3841">
        <f t="shared" si="10"/>
        <v>0.41524054485989836</v>
      </c>
      <c r="L16" s="3849">
        <f t="shared" si="11"/>
        <v>3.7772337982263066E-2</v>
      </c>
      <c r="M16" s="3846">
        <f>IF(K16="NA","NA",K16/Table8s2!$G$35*100)</f>
        <v>7.6539381529063395E-5</v>
      </c>
      <c r="N16" s="3847">
        <f>IF(K16="NA","NA",K16/Table8s2!$G$34*100)</f>
        <v>7.4536207278213073E-5</v>
      </c>
      <c r="O16" s="3850">
        <v>179.16012558634114</v>
      </c>
      <c r="P16" s="3849">
        <f>Summary2!E16</f>
        <v>179.20699468171617</v>
      </c>
      <c r="Q16" s="3841">
        <f t="shared" si="12"/>
        <v>4.6869095375029701E-2</v>
      </c>
      <c r="R16" s="3849">
        <f t="shared" si="13"/>
        <v>2.6160450168049514E-2</v>
      </c>
      <c r="S16" s="3846">
        <f>IF(Q16="NA","NA",Q16/Table8s2!$G$35*100)</f>
        <v>8.6391649785591612E-6</v>
      </c>
      <c r="T16" s="3847">
        <f>IF(Q16="NA","NA",Q16/Table8s2!$G$34*100)</f>
        <v>8.4130623828996177E-6</v>
      </c>
    </row>
    <row r="17" spans="2:20" ht="18" customHeight="1" x14ac:dyDescent="0.2">
      <c r="B17" s="1391" t="s">
        <v>1927</v>
      </c>
      <c r="C17" s="3849">
        <v>903.51625558477338</v>
      </c>
      <c r="D17" s="3841">
        <f>Summary2!C17</f>
        <v>903.51625558477349</v>
      </c>
      <c r="E17" s="3841">
        <f t="shared" si="4"/>
        <v>1.1368683772161603E-13</v>
      </c>
      <c r="F17" s="3849">
        <f t="shared" si="5"/>
        <v>1.2582710827713409E-14</v>
      </c>
      <c r="G17" s="3846">
        <f>IF(E17="NA","NA",E17/Table8s2!$G$35*100)</f>
        <v>2.0955372385765863E-17</v>
      </c>
      <c r="H17" s="3847">
        <f>IF(E17="NA","NA",E17/Table8s2!$G$34*100)</f>
        <v>2.0406932333840356E-17</v>
      </c>
      <c r="I17" s="3848">
        <v>0.77658404331995112</v>
      </c>
      <c r="J17" s="3841">
        <f>Summary2!D17</f>
        <v>0.77594023498935338</v>
      </c>
      <c r="K17" s="3841">
        <f t="shared" si="10"/>
        <v>-6.4380833059773934E-4</v>
      </c>
      <c r="L17" s="3849">
        <f t="shared" si="11"/>
        <v>-8.2902595815053534E-2</v>
      </c>
      <c r="M17" s="3846">
        <f>IF(K17="NA","NA",K17/Table8s2!$G$35*100)</f>
        <v>-1.1867023116404888E-7</v>
      </c>
      <c r="N17" s="3847">
        <f>IF(K17="NA","NA",K17/Table8s2!$G$34*100)</f>
        <v>-1.1556441626639373E-7</v>
      </c>
      <c r="O17" s="3850">
        <v>6.7734338076298384</v>
      </c>
      <c r="P17" s="3849">
        <f>Summary2!E17</f>
        <v>6.7734107564848705</v>
      </c>
      <c r="Q17" s="3841">
        <f t="shared" si="12"/>
        <v>-2.305114496792271E-5</v>
      </c>
      <c r="R17" s="3849">
        <f t="shared" si="13"/>
        <v>-3.4031697396905353E-4</v>
      </c>
      <c r="S17" s="3846">
        <f>IF(Q17="NA","NA",Q17/Table8s2!$G$35*100)</f>
        <v>-4.2489116277815926E-9</v>
      </c>
      <c r="T17" s="3847">
        <f>IF(Q17="NA","NA",Q17/Table8s2!$G$34*100)</f>
        <v>-4.1377099144037718E-9</v>
      </c>
    </row>
    <row r="18" spans="2:20" ht="18" customHeight="1" x14ac:dyDescent="0.2">
      <c r="B18" s="606" t="s">
        <v>201</v>
      </c>
      <c r="C18" s="3849">
        <f>SUM(C19:C20)</f>
        <v>8846.4051906347904</v>
      </c>
      <c r="D18" s="3841">
        <f>Summary2!C18</f>
        <v>8854.6099250187071</v>
      </c>
      <c r="E18" s="3841">
        <f t="shared" si="4"/>
        <v>8.2047343839167297</v>
      </c>
      <c r="F18" s="3849">
        <f t="shared" si="5"/>
        <v>9.2746536102626606E-2</v>
      </c>
      <c r="G18" s="3846">
        <f>IF(E18="NA","NA",E18/Table8s2!$G$35*100)</f>
        <v>1.512340986757709E-3</v>
      </c>
      <c r="H18" s="3847">
        <f>IF(E18="NA","NA",E18/Table8s2!$G$34*100)</f>
        <v>1.4727602838220807E-3</v>
      </c>
      <c r="I18" s="3848">
        <f>SUM(I19:I20)</f>
        <v>36278.304523036146</v>
      </c>
      <c r="J18" s="3841">
        <f>Summary2!D18</f>
        <v>36539.367866507455</v>
      </c>
      <c r="K18" s="3841">
        <f t="shared" si="10"/>
        <v>261.06334347130905</v>
      </c>
      <c r="L18" s="3849">
        <f t="shared" si="11"/>
        <v>0.7196128565091513</v>
      </c>
      <c r="M18" s="3846">
        <f>IF(K18="NA","NA",K18/Table8s2!$G$35*100)</f>
        <v>4.8120606469065345E-2</v>
      </c>
      <c r="N18" s="3847">
        <f>IF(K18="NA","NA",K18/Table8s2!$G$34*100)</f>
        <v>4.6861203036630633E-2</v>
      </c>
      <c r="O18" s="3850">
        <f>SUM(O19:O20)</f>
        <v>32.008790449928931</v>
      </c>
      <c r="P18" s="3849">
        <f>Summary2!E18</f>
        <v>32.008790449928938</v>
      </c>
      <c r="Q18" s="3841">
        <f t="shared" si="12"/>
        <v>7.1054273576010019E-15</v>
      </c>
      <c r="R18" s="3849">
        <f t="shared" si="13"/>
        <v>2.2198362567670149E-14</v>
      </c>
      <c r="S18" s="3846">
        <f>IF(Q18="NA","NA",Q18/Table8s2!$G$35*100)</f>
        <v>1.3097107741103665E-18</v>
      </c>
      <c r="T18" s="3847">
        <f>IF(Q18="NA","NA",Q18/Table8s2!$G$34*100)</f>
        <v>1.2754332708650223E-18</v>
      </c>
    </row>
    <row r="19" spans="2:20" ht="18" customHeight="1" x14ac:dyDescent="0.2">
      <c r="B19" s="1391" t="s">
        <v>1928</v>
      </c>
      <c r="C19" s="3849">
        <v>1887.6981156232673</v>
      </c>
      <c r="D19" s="3841">
        <f>Summary2!C19</f>
        <v>1887.6981156232673</v>
      </c>
      <c r="E19" s="3841">
        <f t="shared" si="4"/>
        <v>0</v>
      </c>
      <c r="F19" s="3849">
        <f t="shared" si="5"/>
        <v>0</v>
      </c>
      <c r="G19" s="3846">
        <f>IF(E19="NA","NA",E19/Table8s2!$G$35*100)</f>
        <v>0</v>
      </c>
      <c r="H19" s="3847">
        <f>IF(E19="NA","NA",E19/Table8s2!$G$34*100)</f>
        <v>0</v>
      </c>
      <c r="I19" s="3848">
        <v>29838.668551180072</v>
      </c>
      <c r="J19" s="3841">
        <f>Summary2!D19</f>
        <v>29838.668551180075</v>
      </c>
      <c r="K19" s="3841">
        <f t="shared" si="10"/>
        <v>3.637978807091713E-12</v>
      </c>
      <c r="L19" s="3849">
        <f t="shared" si="11"/>
        <v>1.2192161995605655E-14</v>
      </c>
      <c r="M19" s="3846">
        <f>IF(K19="NA","NA",K19/Table8s2!$G$35*100)</f>
        <v>6.7057191634450763E-16</v>
      </c>
      <c r="N19" s="3847">
        <f>IF(K19="NA","NA",K19/Table8s2!$G$34*100)</f>
        <v>6.530218346828914E-16</v>
      </c>
      <c r="O19" s="3850">
        <v>0.28778415029483506</v>
      </c>
      <c r="P19" s="3849">
        <f>Summary2!E19</f>
        <v>0.28778415029483506</v>
      </c>
      <c r="Q19" s="3841">
        <f t="shared" si="12"/>
        <v>0</v>
      </c>
      <c r="R19" s="3849">
        <f t="shared" si="13"/>
        <v>0</v>
      </c>
      <c r="S19" s="3846">
        <f>IF(Q19="NA","NA",Q19/Table8s2!$G$35*100)</f>
        <v>0</v>
      </c>
      <c r="T19" s="3847">
        <f>IF(Q19="NA","NA",Q19/Table8s2!$G$34*100)</f>
        <v>0</v>
      </c>
    </row>
    <row r="20" spans="2:20" ht="18" customHeight="1" x14ac:dyDescent="0.2">
      <c r="B20" s="1392" t="s">
        <v>1929</v>
      </c>
      <c r="C20" s="3851">
        <v>6958.7070750115236</v>
      </c>
      <c r="D20" s="3852">
        <f>Summary2!C20</f>
        <v>6966.9118093954394</v>
      </c>
      <c r="E20" s="3852">
        <f t="shared" si="4"/>
        <v>8.2047343839158202</v>
      </c>
      <c r="F20" s="3851">
        <f t="shared" si="5"/>
        <v>0.11790601753275028</v>
      </c>
      <c r="G20" s="3853">
        <f>IF(E20="NA","NA",E20/Table8s2!$G$35*100)</f>
        <v>1.5123409867575414E-3</v>
      </c>
      <c r="H20" s="3854">
        <f>IF(E20="NA","NA",E20/Table8s2!$G$34*100)</f>
        <v>1.4727602838219174E-3</v>
      </c>
      <c r="I20" s="3855">
        <v>6439.6359718560734</v>
      </c>
      <c r="J20" s="3852">
        <f>Summary2!D20</f>
        <v>6700.6993153273816</v>
      </c>
      <c r="K20" s="3841">
        <f t="shared" si="10"/>
        <v>261.06334347130814</v>
      </c>
      <c r="L20" s="3849">
        <f t="shared" si="11"/>
        <v>4.0540077826179166</v>
      </c>
      <c r="M20" s="3846">
        <f>IF(K20="NA","NA",K20/Table8s2!$G$35*100)</f>
        <v>4.8120606469065179E-2</v>
      </c>
      <c r="N20" s="3847">
        <f>IF(K20="NA","NA",K20/Table8s2!$G$34*100)</f>
        <v>4.6861203036630474E-2</v>
      </c>
      <c r="O20" s="3856">
        <v>31.721006299634098</v>
      </c>
      <c r="P20" s="3851">
        <f>Summary2!E20</f>
        <v>31.721006299634102</v>
      </c>
      <c r="Q20" s="3841">
        <f t="shared" si="12"/>
        <v>3.5527136788005009E-15</v>
      </c>
      <c r="R20" s="3849">
        <f t="shared" si="13"/>
        <v>1.1199876968724921E-14</v>
      </c>
      <c r="S20" s="3846">
        <f>IF(Q20="NA","NA",Q20/Table8s2!$G$35*100)</f>
        <v>6.5485538705518323E-19</v>
      </c>
      <c r="T20" s="3847">
        <f>IF(Q20="NA","NA",Q20/Table8s2!$G$34*100)</f>
        <v>6.3771663543251113E-19</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19820.028825191905</v>
      </c>
      <c r="D22" s="3841">
        <f>Summary2!C22</f>
        <v>19819.986049090236</v>
      </c>
      <c r="E22" s="3863">
        <f t="shared" si="4"/>
        <v>-4.2776101669005584E-2</v>
      </c>
      <c r="F22" s="3863">
        <f t="shared" si="5"/>
        <v>-2.158226006948878E-4</v>
      </c>
      <c r="G22" s="3864">
        <f>IF(E22="NA","NA",E22/Table8s2!$G$35*100)</f>
        <v>-7.8847222567697144E-6</v>
      </c>
      <c r="H22" s="3865">
        <f>IF(E22="NA","NA",E22/Table8s2!$G$34*100)</f>
        <v>-7.6783647936659658E-6</v>
      </c>
      <c r="I22" s="3841">
        <f>SUM(I23:I29)</f>
        <v>76.694880371654534</v>
      </c>
      <c r="J22" s="3841">
        <f>Summary2!D22</f>
        <v>76.694880371654534</v>
      </c>
      <c r="K22" s="3863">
        <f t="shared" ref="K22" si="14">IF(J22="NO",IF(I22="NO","NA",-I22),IF(I22="NO",J22,J22-I22))</f>
        <v>0</v>
      </c>
      <c r="L22" s="3863">
        <f t="shared" ref="L22" si="15">IF(K22="NA","NA",K22/I22*100)</f>
        <v>0</v>
      </c>
      <c r="M22" s="3864">
        <f>IF(K22="NA","NA",K22/Table8s2!$G$35*100)</f>
        <v>0</v>
      </c>
      <c r="N22" s="3865">
        <f>IF(K22="NA","NA",K22/Table8s2!$G$34*100)</f>
        <v>0</v>
      </c>
      <c r="O22" s="3841">
        <f>SUM(O23:O29)</f>
        <v>1321.0424522303622</v>
      </c>
      <c r="P22" s="3841">
        <f>Summary2!E22</f>
        <v>1321.0424522303622</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6105.3304912396552</v>
      </c>
      <c r="D23" s="3841">
        <f>Summary2!C23</f>
        <v>6105.2887144225642</v>
      </c>
      <c r="E23" s="3841">
        <f t="shared" si="4"/>
        <v>-4.1776817090976692E-2</v>
      </c>
      <c r="F23" s="3849">
        <f t="shared" si="5"/>
        <v>-6.84267905741072E-4</v>
      </c>
      <c r="G23" s="3846">
        <f>IF(E23="NA","NA",E23/Table8s2!$G$35*100)</f>
        <v>-7.7005287223939516E-6</v>
      </c>
      <c r="H23" s="3847">
        <f>IF(E23="NA","NA",E23/Table8s2!$G$34*100)</f>
        <v>-7.498991937715656E-6</v>
      </c>
      <c r="I23" s="1950"/>
      <c r="J23" s="1950"/>
      <c r="K23" s="1950"/>
      <c r="L23" s="1950"/>
      <c r="M23" s="1950"/>
      <c r="N23" s="1950"/>
      <c r="O23" s="1950"/>
      <c r="P23" s="1950"/>
      <c r="Q23" s="1950"/>
      <c r="R23" s="1950"/>
      <c r="S23" s="1950"/>
      <c r="T23" s="1950"/>
    </row>
    <row r="24" spans="2:20" ht="18" customHeight="1" x14ac:dyDescent="0.2">
      <c r="B24" s="1393" t="s">
        <v>846</v>
      </c>
      <c r="C24" s="3841">
        <v>3139.890022361853</v>
      </c>
      <c r="D24" s="3841">
        <f>Summary2!C24</f>
        <v>3139.8890230772722</v>
      </c>
      <c r="E24" s="3841">
        <f t="shared" si="4"/>
        <v>-9.9928458075737581E-4</v>
      </c>
      <c r="F24" s="3849">
        <f t="shared" si="5"/>
        <v>-3.1825464383803643E-5</v>
      </c>
      <c r="G24" s="3846">
        <f>IF(E24="NA","NA",E24/Table8s2!$G$35*100)</f>
        <v>-1.8419353487869244E-7</v>
      </c>
      <c r="H24" s="3847">
        <f>IF(E24="NA","NA",E24/Table8s2!$G$34*100)</f>
        <v>-1.793728564400773E-7</v>
      </c>
      <c r="I24" s="3848">
        <v>16.177380799999998</v>
      </c>
      <c r="J24" s="3841">
        <f>Summary2!D24</f>
        <v>16.177380799999998</v>
      </c>
      <c r="K24" s="3841">
        <f t="shared" ref="K24" si="18">IF(J24="NO",IF(I24="NO","NA",-I24),IF(I24="NO",J24,J24-I24))</f>
        <v>0</v>
      </c>
      <c r="L24" s="3849">
        <f t="shared" ref="L24" si="19">IF(K24="NA","NA",K24/I24*100)</f>
        <v>0</v>
      </c>
      <c r="M24" s="3846">
        <f>IF(K24="NA","NA",K24/Table8s2!$G$35*100)</f>
        <v>0</v>
      </c>
      <c r="N24" s="3847">
        <f>IF(K24="NA","NA",K24/Table8s2!$G$34*100)</f>
        <v>0</v>
      </c>
      <c r="O24" s="3850">
        <v>1307.4664409294789</v>
      </c>
      <c r="P24" s="3849">
        <f>Summary2!E24</f>
        <v>1307.4664409294789</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10125.110621348895</v>
      </c>
      <c r="D25" s="3841">
        <f>Summary2!C25</f>
        <v>10125.110621348897</v>
      </c>
      <c r="E25" s="3841">
        <f t="shared" si="4"/>
        <v>1.8189894035458565E-12</v>
      </c>
      <c r="F25" s="3849">
        <f t="shared" si="5"/>
        <v>1.7965131163214154E-14</v>
      </c>
      <c r="G25" s="3846">
        <f>IF(E25="NA","NA",E25/Table8s2!$G$35*100)</f>
        <v>3.3528595817225381E-16</v>
      </c>
      <c r="H25" s="3847">
        <f>IF(E25="NA","NA",E25/Table8s2!$G$34*100)</f>
        <v>3.265109173414457E-16</v>
      </c>
      <c r="I25" s="3848">
        <v>60.517499571654533</v>
      </c>
      <c r="J25" s="3841">
        <f>Summary2!D25</f>
        <v>60.517499571654533</v>
      </c>
      <c r="K25" s="3841">
        <f t="shared" ref="K25:K26" si="22">IF(J25="NO",IF(I25="NO","NA",-I25),IF(I25="NO",J25,J25-I25))</f>
        <v>0</v>
      </c>
      <c r="L25" s="3849">
        <f t="shared" ref="L25:L26" si="23">IF(K25="NA","NA",K25/I25*100)</f>
        <v>0</v>
      </c>
      <c r="M25" s="3846">
        <f>IF(K25="NA","NA",K25/Table8s2!$G$35*100)</f>
        <v>0</v>
      </c>
      <c r="N25" s="3847">
        <f>IF(K25="NA","NA",K25/Table8s2!$G$34*100)</f>
        <v>0</v>
      </c>
      <c r="O25" s="3850">
        <v>13.576011300883167</v>
      </c>
      <c r="P25" s="3849">
        <f>Summary2!E25</f>
        <v>13.576011300883167</v>
      </c>
      <c r="Q25" s="3841">
        <f t="shared" ref="Q25:Q29" si="24">IF(P25="NO",IF(O25="NO","NA",-O25),IF(O25="NO",P25,P25-O25))</f>
        <v>0</v>
      </c>
      <c r="R25" s="3849">
        <f t="shared" ref="R25:R29" si="25">IF(Q25="NA","NA",Q25/O25*100)</f>
        <v>0</v>
      </c>
      <c r="S25" s="3846">
        <f>IF(Q25="NA","NA",Q25/Table8s2!$G$35*100)</f>
        <v>0</v>
      </c>
      <c r="T25" s="3847">
        <f>IF(Q25="NA","NA",Q25/Table8s2!$G$34*100)</f>
        <v>0</v>
      </c>
    </row>
    <row r="26" spans="2:20" ht="18" customHeight="1" x14ac:dyDescent="0.2">
      <c r="B26" s="1394" t="s">
        <v>1978</v>
      </c>
      <c r="C26" s="3841">
        <v>209.32935569</v>
      </c>
      <c r="D26" s="3841">
        <f>Summary2!C26</f>
        <v>209.32935569</v>
      </c>
      <c r="E26" s="3841">
        <f t="shared" si="4"/>
        <v>0</v>
      </c>
      <c r="F26" s="3849">
        <f t="shared" si="5"/>
        <v>0</v>
      </c>
      <c r="G26" s="3846">
        <f>IF(E26="NA","NA",E26/Table8s2!$G$35*100)</f>
        <v>0</v>
      </c>
      <c r="H26" s="3847">
        <f>IF(E26="NA","NA",E26/Table8s2!$G$34*100)</f>
        <v>0</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240.36833455150557</v>
      </c>
      <c r="D29" s="3857">
        <f>Summary2!C30</f>
        <v>240.36833455150557</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2038.1123900765215</v>
      </c>
      <c r="D30" s="3877">
        <f>Summary2!C31</f>
        <v>2038.1123900765215</v>
      </c>
      <c r="E30" s="3863">
        <f t="shared" si="4"/>
        <v>0</v>
      </c>
      <c r="F30" s="3878">
        <f t="shared" si="5"/>
        <v>0</v>
      </c>
      <c r="G30" s="3879">
        <f>IF(E30="NA","NA",E30/Table8s2!$G$35*100)</f>
        <v>0</v>
      </c>
      <c r="H30" s="3880">
        <f>IF(E30="NA","NA",E30/Table8s2!$G$34*100)</f>
        <v>0</v>
      </c>
      <c r="I30" s="3876">
        <f>SUM(I31:I40)</f>
        <v>67567.348206833893</v>
      </c>
      <c r="J30" s="3877">
        <f>Summary2!D31</f>
        <v>67572.534137473878</v>
      </c>
      <c r="K30" s="3863">
        <f t="shared" ref="K30" si="28">IF(J30="NO",IF(I30="NO","NA",-I30),IF(I30="NO",J30,J30-I30))</f>
        <v>5.1859306399855996</v>
      </c>
      <c r="L30" s="3878">
        <f t="shared" ref="L30" si="29">IF(K30="NA","NA",K30/I30*100)</f>
        <v>7.6752022650210866E-3</v>
      </c>
      <c r="M30" s="3879">
        <f>IF(K30="NA","NA",K30/Table8s2!$G$35*100)</f>
        <v>9.5589876458485219E-4</v>
      </c>
      <c r="N30" s="3880">
        <f>IF(K30="NA","NA",K30/Table8s2!$G$34*100)</f>
        <v>9.3088116249057714E-4</v>
      </c>
      <c r="O30" s="3876">
        <f>SUM(O31:O40)</f>
        <v>12094.802690766821</v>
      </c>
      <c r="P30" s="3877">
        <f>Summary2!E31</f>
        <v>10788.713020954114</v>
      </c>
      <c r="Q30" s="3863">
        <f t="shared" ref="Q30" si="30">IF(P30="NO",IF(O30="NO","NA",-O30),IF(O30="NO",P30,P30-O30))</f>
        <v>-1306.0896698127071</v>
      </c>
      <c r="R30" s="3882">
        <f t="shared" ref="R30" si="31">IF(Q30="NA","NA",Q30/O30*100)</f>
        <v>-10.798767893996127</v>
      </c>
      <c r="S30" s="3883">
        <f>IF(Q30="NA","NA",Q30/Table8s2!$G$35*100)</f>
        <v>-0.24074550711971557</v>
      </c>
      <c r="T30" s="3884">
        <f>IF(Q30="NA","NA",Q30/Table8s2!$G$34*100)</f>
        <v>-0.23444476113463081</v>
      </c>
    </row>
    <row r="31" spans="2:20" ht="18" customHeight="1" x14ac:dyDescent="0.2">
      <c r="B31" s="606" t="s">
        <v>1938</v>
      </c>
      <c r="C31" s="3869"/>
      <c r="D31" s="3869"/>
      <c r="E31" s="3870"/>
      <c r="F31" s="3870"/>
      <c r="G31" s="3871"/>
      <c r="H31" s="3872"/>
      <c r="I31" s="3848">
        <v>59906.922941694</v>
      </c>
      <c r="J31" s="3841">
        <f>Summary2!D32</f>
        <v>59906.922941693978</v>
      </c>
      <c r="K31" s="3885">
        <f t="shared" ref="K31:K33" si="32">IF(J31="NO",IF(I31="NO","NA",-I31),IF(I31="NO",J31,J31-I31))</f>
        <v>-2.1827872842550278E-11</v>
      </c>
      <c r="L31" s="3885">
        <f t="shared" ref="L31:L33" si="33">IF(K31="NA","NA",K31/I31*100)</f>
        <v>-3.6436311148537601E-14</v>
      </c>
      <c r="M31" s="3886">
        <f>IF(K31="NA","NA",K31/Table8s2!$G$35*100)</f>
        <v>-4.0234314980670459E-15</v>
      </c>
      <c r="N31" s="3887">
        <f>IF(K31="NA","NA",K31/Table8s2!$G$34*100)</f>
        <v>-3.9181310080973482E-15</v>
      </c>
      <c r="O31" s="3888"/>
      <c r="P31" s="3889"/>
      <c r="Q31" s="3870"/>
      <c r="R31" s="3890"/>
      <c r="S31" s="3891"/>
      <c r="T31" s="3892"/>
    </row>
    <row r="32" spans="2:20" ht="18" customHeight="1" x14ac:dyDescent="0.2">
      <c r="B32" s="606" t="s">
        <v>1939</v>
      </c>
      <c r="C32" s="3893"/>
      <c r="D32" s="3893"/>
      <c r="E32" s="3894"/>
      <c r="F32" s="3894"/>
      <c r="G32" s="3871"/>
      <c r="H32" s="3872"/>
      <c r="I32" s="3848">
        <v>6888.6634052335121</v>
      </c>
      <c r="J32" s="3849">
        <f>Summary2!D33</f>
        <v>6893.8493358735168</v>
      </c>
      <c r="K32" s="3895">
        <f t="shared" si="32"/>
        <v>5.1859306400046989</v>
      </c>
      <c r="L32" s="3895">
        <f t="shared" si="33"/>
        <v>7.5282102418660804E-2</v>
      </c>
      <c r="M32" s="3886">
        <f>IF(K32="NA","NA",K32/Table8s2!$G$35*100)</f>
        <v>9.558987645883726E-4</v>
      </c>
      <c r="N32" s="3887">
        <f>IF(K32="NA","NA",K32/Table8s2!$G$34*100)</f>
        <v>9.308811624940056E-4</v>
      </c>
      <c r="O32" s="3850">
        <v>438.14138176334859</v>
      </c>
      <c r="P32" s="3849">
        <f>Summary2!E33</f>
        <v>495.27479699508348</v>
      </c>
      <c r="Q32" s="3895">
        <f t="shared" ref="Q32" si="34">IF(P32="NO",IF(O32="NO","NA",-O32),IF(O32="NO",P32,P32-O32))</f>
        <v>57.133415231734887</v>
      </c>
      <c r="R32" s="3896">
        <f t="shared" ref="R32" si="35">IF(Q32="NA","NA",Q32/O32*100)</f>
        <v>13.039949571025481</v>
      </c>
      <c r="S32" s="3897">
        <f>IF(Q32="NA","NA",Q32/Table8s2!$G$35*100)</f>
        <v>1.0531139891350417E-2</v>
      </c>
      <c r="T32" s="3898">
        <f>IF(Q32="NA","NA",Q32/Table8s2!$G$34*100)</f>
        <v>1.025552088527777E-2</v>
      </c>
    </row>
    <row r="33" spans="2:21" ht="18" customHeight="1" x14ac:dyDescent="0.2">
      <c r="B33" s="606" t="s">
        <v>1940</v>
      </c>
      <c r="C33" s="3893"/>
      <c r="D33" s="3893"/>
      <c r="E33" s="3894"/>
      <c r="F33" s="3894"/>
      <c r="G33" s="3899"/>
      <c r="H33" s="3900"/>
      <c r="I33" s="3850">
        <v>505.59930190000011</v>
      </c>
      <c r="J33" s="3849">
        <f>Summary2!D34</f>
        <v>505.59930190000011</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11549.095569351939</v>
      </c>
      <c r="P34" s="3849">
        <f>Summary2!E35</f>
        <v>10185.872484307498</v>
      </c>
      <c r="Q34" s="3895">
        <f t="shared" ref="Q34" si="36">IF(P34="NO",IF(O34="NO","NA",-O34),IF(O34="NO",P34,P34-O34))</f>
        <v>-1363.2230850444412</v>
      </c>
      <c r="R34" s="3896">
        <f t="shared" ref="R34" si="37">IF(Q34="NA","NA",Q34/O34*100)</f>
        <v>-11.803721571601269</v>
      </c>
      <c r="S34" s="3897">
        <f>IF(Q34="NA","NA",Q34/Table8s2!$G$35*100)</f>
        <v>-0.25127664701106578</v>
      </c>
      <c r="T34" s="3898">
        <f>IF(Q34="NA","NA",Q34/Table8s2!$G$34*100)</f>
        <v>-0.24470028201990843</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266.16255800639107</v>
      </c>
      <c r="J36" s="3849">
        <f>Summary2!D37</f>
        <v>266.16255800639112</v>
      </c>
      <c r="K36" s="3895">
        <f t="shared" ref="K36" si="38">IF(J36="NO",IF(I36="NO","NA",-I36),IF(I36="NO",J36,J36-I36))</f>
        <v>5.6843418860808015E-14</v>
      </c>
      <c r="L36" s="3895">
        <f t="shared" ref="L36" si="39">IF(K36="NA","NA",K36/I36*100)</f>
        <v>2.1356654852799807E-14</v>
      </c>
      <c r="M36" s="3886">
        <f>IF(K36="NA","NA",K36/Table8s2!$G$35*100)</f>
        <v>1.0477686192882932E-17</v>
      </c>
      <c r="N36" s="3887">
        <f>IF(K36="NA","NA",K36/Table8s2!$G$34*100)</f>
        <v>1.0203466166920178E-17</v>
      </c>
      <c r="O36" s="3850">
        <v>107.56573965153198</v>
      </c>
      <c r="P36" s="3849">
        <f>Summary2!E37</f>
        <v>107.56573965153196</v>
      </c>
      <c r="Q36" s="3895">
        <f t="shared" ref="Q36" si="40">IF(P36="NO",IF(O36="NO","NA",-O36),IF(O36="NO",P36,P36-O36))</f>
        <v>-2.8421709430404007E-14</v>
      </c>
      <c r="R36" s="3896">
        <f t="shared" ref="R36" si="41">IF(Q36="NA","NA",Q36/O36*100)</f>
        <v>-2.6422641188986811E-14</v>
      </c>
      <c r="S36" s="3897">
        <f>IF(Q36="NA","NA",Q36/Table8s2!$G$35*100)</f>
        <v>-5.2388430964414658E-18</v>
      </c>
      <c r="T36" s="3898">
        <f>IF(Q36="NA","NA",Q36/Table8s2!$G$34*100)</f>
        <v>-5.1017330834600891E-18</v>
      </c>
    </row>
    <row r="37" spans="2:21" ht="18" customHeight="1" x14ac:dyDescent="0.2">
      <c r="B37" s="606" t="s">
        <v>955</v>
      </c>
      <c r="C37" s="3849">
        <v>760.31554032500014</v>
      </c>
      <c r="D37" s="3849">
        <f>Summary2!C38</f>
        <v>760.31554032500014</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1277.7968497515212</v>
      </c>
      <c r="D38" s="3849">
        <f>Summary2!C39</f>
        <v>1277.7968497515212</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-5907.1025579193629</v>
      </c>
      <c r="D41" s="3841">
        <f>Summary2!C42</f>
        <v>-9525.7703689440314</v>
      </c>
      <c r="E41" s="3931">
        <f t="shared" ref="E41" si="42">IF(D41="NO",IF(C41="NO","NA",-C41),IF(C41="NO",D41,D41-C41))</f>
        <v>-3618.6678110246685</v>
      </c>
      <c r="F41" s="3931">
        <f t="shared" ref="F41" si="43">IF(E41="NA","NA",E41/C41*100)</f>
        <v>61.259606982331775</v>
      </c>
      <c r="G41" s="3871"/>
      <c r="H41" s="3931">
        <f>IF(E41="NA","NA",E41/Table8s2!$G$34*100)</f>
        <v>-0.64955548626528292</v>
      </c>
      <c r="I41" s="3848">
        <f>SUM(I42:I49)</f>
        <v>18573.730964438466</v>
      </c>
      <c r="J41" s="3841">
        <f>Summary2!D42</f>
        <v>19374.747379260814</v>
      </c>
      <c r="K41" s="3931">
        <f t="shared" ref="K41:K46" si="44">IF(J41="NO",IF(I41="NO","NA",-I41),IF(I41="NO",J41,J41-I41))</f>
        <v>801.01641482234845</v>
      </c>
      <c r="L41" s="3931">
        <f t="shared" ref="L41:L46" si="45">IF(K41="NA","NA",K41/I41*100)</f>
        <v>4.3126306521613023</v>
      </c>
      <c r="M41" s="3891"/>
      <c r="N41" s="3932">
        <f>IF(K41="NA","NA",K41/Table8s2!$G$34*100)</f>
        <v>0.1437834678417397</v>
      </c>
      <c r="O41" s="3848">
        <f>SUM(O42:O49)</f>
        <v>4636.04344547644</v>
      </c>
      <c r="P41" s="3841">
        <f>Summary2!E42</f>
        <v>4731.3156869968398</v>
      </c>
      <c r="Q41" s="3931">
        <f t="shared" ref="Q41" si="46">IF(P41="NO",IF(O41="NO","NA",-O41),IF(O41="NO",P41,P41-O41))</f>
        <v>95.272241520399803</v>
      </c>
      <c r="R41" s="3931">
        <f t="shared" ref="R41" si="47">IF(Q41="NA","NA",Q41/O41*100)</f>
        <v>2.0550334059824324</v>
      </c>
      <c r="S41" s="3891"/>
      <c r="T41" s="3932">
        <f>IF(Q41="NA","NA",Q41/Table8s2!$G$34*100)</f>
        <v>1.7101488835153236E-2</v>
      </c>
      <c r="U41" s="721"/>
    </row>
    <row r="42" spans="2:21" ht="18" customHeight="1" x14ac:dyDescent="0.2">
      <c r="B42" s="606" t="s">
        <v>1252</v>
      </c>
      <c r="C42" s="3849">
        <v>-53458.252813978601</v>
      </c>
      <c r="D42" s="3849">
        <f>Summary2!C43</f>
        <v>-44100.962638974408</v>
      </c>
      <c r="E42" s="3933">
        <f t="shared" ref="E42:E50" si="48">IF(D42="NO",IF(C42="NO","NA",-C42),IF(C42="NO",D42,D42-C42))</f>
        <v>9357.2901750041929</v>
      </c>
      <c r="F42" s="3933">
        <f t="shared" ref="F42:F50" si="49">IF(E42="NA","NA",E42/C42*100)</f>
        <v>-17.503920690347346</v>
      </c>
      <c r="G42" s="3891"/>
      <c r="H42" s="3933">
        <f>IF(E42="NA","NA",E42/Table8s2!$G$34*100)</f>
        <v>1.6796455179535041</v>
      </c>
      <c r="I42" s="3850">
        <v>7833.1801438740167</v>
      </c>
      <c r="J42" s="3849">
        <f>Summary2!D43</f>
        <v>8255.0699161405009</v>
      </c>
      <c r="K42" s="3933">
        <f t="shared" si="44"/>
        <v>421.88977226648421</v>
      </c>
      <c r="L42" s="3933">
        <f t="shared" si="45"/>
        <v>5.3859322078329264</v>
      </c>
      <c r="M42" s="3891"/>
      <c r="N42" s="3934">
        <f>IF(K42="NA","NA",K42/Table8s2!$G$34*100)</f>
        <v>7.5729752076167417E-2</v>
      </c>
      <c r="O42" s="3850">
        <v>1636.7084641240633</v>
      </c>
      <c r="P42" s="3849">
        <f>Summary2!E43</f>
        <v>1849.0462950493938</v>
      </c>
      <c r="Q42" s="3933">
        <f t="shared" ref="Q42:Q46" si="50">IF(P42="NO",IF(O42="NO","NA",-O42),IF(O42="NO",P42,P42-O42))</f>
        <v>212.33783092533054</v>
      </c>
      <c r="R42" s="3933">
        <f t="shared" ref="R42:R46" si="51">IF(Q42="NA","NA",Q42/O42*100)</f>
        <v>12.97346690505263</v>
      </c>
      <c r="S42" s="3891"/>
      <c r="T42" s="3934">
        <f>IF(Q42="NA","NA",Q42/Table8s2!$G$34*100)</f>
        <v>3.8114911404416356E-2</v>
      </c>
      <c r="U42" s="721"/>
    </row>
    <row r="43" spans="2:21" ht="18" customHeight="1" x14ac:dyDescent="0.2">
      <c r="B43" s="606" t="s">
        <v>1255</v>
      </c>
      <c r="C43" s="3849">
        <v>5539.738744382712</v>
      </c>
      <c r="D43" s="3849">
        <f>Summary2!C44</f>
        <v>2930.291421366112</v>
      </c>
      <c r="E43" s="3933">
        <f t="shared" si="48"/>
        <v>-2609.4473230166</v>
      </c>
      <c r="F43" s="3933">
        <f t="shared" si="49"/>
        <v>-47.104158579004761</v>
      </c>
      <c r="G43" s="3891"/>
      <c r="H43" s="3933">
        <f>IF(E43="NA","NA",E43/Table8s2!$G$34*100)</f>
        <v>-0.46839912180436771</v>
      </c>
      <c r="I43" s="3850">
        <v>35.4203136</v>
      </c>
      <c r="J43" s="3849">
        <f>Summary2!D44</f>
        <v>34.769288629348054</v>
      </c>
      <c r="K43" s="3933">
        <f t="shared" si="44"/>
        <v>-0.65102497065194598</v>
      </c>
      <c r="L43" s="3933">
        <f t="shared" si="45"/>
        <v>-1.8379988895748964</v>
      </c>
      <c r="M43" s="3891"/>
      <c r="N43" s="3934">
        <f>IF(K43="NA","NA",K43/Table8s2!$G$34*100)</f>
        <v>-1.1685981235810747E-4</v>
      </c>
      <c r="O43" s="3850">
        <v>41.130653406443329</v>
      </c>
      <c r="P43" s="3849">
        <f>Summary2!E44</f>
        <v>36.40549391682395</v>
      </c>
      <c r="Q43" s="3933">
        <f t="shared" si="50"/>
        <v>-4.7251594896193794</v>
      </c>
      <c r="R43" s="3933">
        <f t="shared" si="51"/>
        <v>-11.488170253281604</v>
      </c>
      <c r="S43" s="3891"/>
      <c r="T43" s="3934">
        <f>IF(Q43="NA","NA",Q43/Table8s2!$G$34*100)</f>
        <v>-8.481721534676146E-4</v>
      </c>
      <c r="U43" s="721"/>
    </row>
    <row r="44" spans="2:21" ht="18" customHeight="1" x14ac:dyDescent="0.2">
      <c r="B44" s="606" t="s">
        <v>1258</v>
      </c>
      <c r="C44" s="3849">
        <v>41672.382799520143</v>
      </c>
      <c r="D44" s="3849">
        <f>Summary2!C45</f>
        <v>30336.399738192373</v>
      </c>
      <c r="E44" s="3933">
        <f t="shared" si="48"/>
        <v>-11335.98306132777</v>
      </c>
      <c r="F44" s="3933">
        <f t="shared" si="49"/>
        <v>-27.20262749520122</v>
      </c>
      <c r="G44" s="3891"/>
      <c r="H44" s="3933">
        <f>IF(E44="NA","NA",E44/Table8s2!$G$34*100)</f>
        <v>-2.0348234140924779</v>
      </c>
      <c r="I44" s="3850">
        <v>7930.5443509394609</v>
      </c>
      <c r="J44" s="3849">
        <f>Summary2!D45</f>
        <v>8470.2174196654196</v>
      </c>
      <c r="K44" s="3933">
        <f t="shared" si="44"/>
        <v>539.67306872595873</v>
      </c>
      <c r="L44" s="3933">
        <f t="shared" si="45"/>
        <v>6.8049940186265836</v>
      </c>
      <c r="M44" s="3891"/>
      <c r="N44" s="3934">
        <f>IF(K44="NA","NA",K44/Table8s2!$G$34*100)</f>
        <v>9.6872003976873983E-2</v>
      </c>
      <c r="O44" s="3850">
        <v>2802.0232680922977</v>
      </c>
      <c r="P44" s="3849">
        <f>Summary2!E45</f>
        <v>2674.4691077455168</v>
      </c>
      <c r="Q44" s="3933">
        <f t="shared" si="50"/>
        <v>-127.55416034678092</v>
      </c>
      <c r="R44" s="3933">
        <f t="shared" si="51"/>
        <v>-4.5522163145213161</v>
      </c>
      <c r="S44" s="3891"/>
      <c r="T44" s="3934">
        <f>IF(Q44="NA","NA",Q44/Table8s2!$G$34*100)</f>
        <v>-2.2896134427368785E-2</v>
      </c>
      <c r="U44" s="721"/>
    </row>
    <row r="45" spans="2:21" ht="18" customHeight="1" x14ac:dyDescent="0.2">
      <c r="B45" s="606" t="s">
        <v>1984</v>
      </c>
      <c r="C45" s="3849">
        <v>309.92265624618767</v>
      </c>
      <c r="D45" s="3849">
        <f>Summary2!C46</f>
        <v>323.31055740395101</v>
      </c>
      <c r="E45" s="3933">
        <f t="shared" si="48"/>
        <v>13.387901157763338</v>
      </c>
      <c r="F45" s="3933">
        <f t="shared" si="49"/>
        <v>4.3197555544724784</v>
      </c>
      <c r="G45" s="3891"/>
      <c r="H45" s="3933">
        <f>IF(E45="NA","NA",E45/Table8s2!$G$34*100)</f>
        <v>2.4031453288164855E-3</v>
      </c>
      <c r="I45" s="3850">
        <v>2734.053266424989</v>
      </c>
      <c r="J45" s="3849">
        <f>Summary2!D46</f>
        <v>2559.7456608192624</v>
      </c>
      <c r="K45" s="3933">
        <f t="shared" si="44"/>
        <v>-174.30760560572662</v>
      </c>
      <c r="L45" s="3933">
        <f t="shared" si="45"/>
        <v>-6.3754282971102789</v>
      </c>
      <c r="M45" s="3891"/>
      <c r="N45" s="3934">
        <f>IF(K45="NA","NA",K45/Table8s2!$G$34*100)</f>
        <v>-3.1288437466965122E-2</v>
      </c>
      <c r="O45" s="3850">
        <v>99.478771216881114</v>
      </c>
      <c r="P45" s="3849">
        <f>Summary2!E46</f>
        <v>115.10309467847608</v>
      </c>
      <c r="Q45" s="3933">
        <f t="shared" si="50"/>
        <v>15.624323461594969</v>
      </c>
      <c r="R45" s="3933">
        <f t="shared" si="51"/>
        <v>15.706188637504589</v>
      </c>
      <c r="S45" s="3891"/>
      <c r="T45" s="3934">
        <f>IF(Q45="NA","NA",Q45/Table8s2!$G$34*100)</f>
        <v>2.8045859840305754E-3</v>
      </c>
      <c r="U45" s="721"/>
    </row>
    <row r="46" spans="2:21" ht="18" customHeight="1" x14ac:dyDescent="0.2">
      <c r="B46" s="606" t="s">
        <v>1985</v>
      </c>
      <c r="C46" s="3849">
        <v>4072.1762386157802</v>
      </c>
      <c r="D46" s="3849">
        <f>Summary2!C47</f>
        <v>4970.1151038047637</v>
      </c>
      <c r="E46" s="3933">
        <f t="shared" si="48"/>
        <v>897.93886518898353</v>
      </c>
      <c r="F46" s="3933">
        <f t="shared" si="49"/>
        <v>22.050589477782822</v>
      </c>
      <c r="G46" s="3891"/>
      <c r="H46" s="3933">
        <f>IF(E46="NA","NA",E46/Table8s2!$G$34*100)</f>
        <v>0.16118117126898399</v>
      </c>
      <c r="I46" s="3850">
        <v>40.532889600000004</v>
      </c>
      <c r="J46" s="3849">
        <f>Summary2!D47</f>
        <v>54.945094006285139</v>
      </c>
      <c r="K46" s="3933">
        <f t="shared" si="44"/>
        <v>14.412204406285134</v>
      </c>
      <c r="L46" s="3933">
        <f t="shared" si="45"/>
        <v>35.556814598002731</v>
      </c>
      <c r="M46" s="3891"/>
      <c r="N46" s="3934">
        <f>IF(K46="NA","NA",K46/Table8s2!$G$34*100)</f>
        <v>2.5870090680217388E-3</v>
      </c>
      <c r="O46" s="3850">
        <v>16.048971367741416</v>
      </c>
      <c r="P46" s="3849">
        <f>Summary2!E47</f>
        <v>15.638378337615917</v>
      </c>
      <c r="Q46" s="3933">
        <f t="shared" si="50"/>
        <v>-0.41059303012549897</v>
      </c>
      <c r="R46" s="3933">
        <f t="shared" si="51"/>
        <v>-2.5583759900699605</v>
      </c>
      <c r="S46" s="3891"/>
      <c r="T46" s="3934">
        <f>IF(Q46="NA","NA",Q46/Table8s2!$G$34*100)</f>
        <v>-7.3701972457312773E-5</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-4044.8022656396784</v>
      </c>
      <c r="D48" s="3849">
        <f>Summary2!C49</f>
        <v>-3986.6566336709197</v>
      </c>
      <c r="E48" s="3933">
        <f t="shared" si="48"/>
        <v>58.145631968758607</v>
      </c>
      <c r="F48" s="3933">
        <f t="shared" si="49"/>
        <v>-1.4375395421106691</v>
      </c>
      <c r="G48" s="3891"/>
      <c r="H48" s="3933">
        <f>IF(E48="NA","NA",E48/Table8s2!$G$34*100)</f>
        <v>1.0437215080257529E-2</v>
      </c>
      <c r="I48" s="3915"/>
      <c r="J48" s="3912"/>
      <c r="K48" s="3920"/>
      <c r="L48" s="3920"/>
      <c r="M48" s="3920"/>
      <c r="N48" s="3907"/>
      <c r="O48" s="3915"/>
      <c r="P48" s="3912"/>
      <c r="Q48" s="3920"/>
      <c r="R48" s="3920"/>
      <c r="S48" s="3920"/>
      <c r="T48" s="3907"/>
      <c r="U48" s="721"/>
    </row>
    <row r="49" spans="2:21" ht="18" customHeight="1" thickBot="1" x14ac:dyDescent="0.25">
      <c r="B49" s="1554" t="s">
        <v>1988</v>
      </c>
      <c r="C49" s="3857">
        <v>1.7320829340955557</v>
      </c>
      <c r="D49" s="3857">
        <f>Summary2!C50</f>
        <v>1.7320829340955557</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40.653317269013428</v>
      </c>
      <c r="P49" s="3857">
        <f>Summary2!E50</f>
        <v>40.653317269013428</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31.081119583060698</v>
      </c>
      <c r="D50" s="3841">
        <f>Summary2!C51</f>
        <v>31.081119583060698</v>
      </c>
      <c r="E50" s="3841">
        <f t="shared" si="48"/>
        <v>0</v>
      </c>
      <c r="F50" s="3841">
        <f t="shared" si="49"/>
        <v>0</v>
      </c>
      <c r="G50" s="3846">
        <f>IF(E50="NA","NA",E50/Table8s2!$G$35*100)</f>
        <v>0</v>
      </c>
      <c r="H50" s="3847">
        <f>IF(E50="NA","NA",E50/Table8s2!$G$34*100)</f>
        <v>0</v>
      </c>
      <c r="I50" s="3841">
        <f>SUM(I51:I55)</f>
        <v>12943.508006441458</v>
      </c>
      <c r="J50" s="3841">
        <f>Summary2!D51</f>
        <v>12929.943115566761</v>
      </c>
      <c r="K50" s="3841">
        <f t="shared" ref="K50" si="54">IF(J50="NO",IF(I50="NO","NA",-I50),IF(I50="NO",J50,J50-I50))</f>
        <v>-13.564890874697085</v>
      </c>
      <c r="L50" s="3841">
        <f t="shared" ref="L50" si="55">IF(K50="NA","NA",K50/I50*100)</f>
        <v>-0.10480072997170774</v>
      </c>
      <c r="M50" s="3846">
        <f>IF(K50="NA","NA",K50/Table8s2!$G$35*100)</f>
        <v>-2.5003540018204489E-3</v>
      </c>
      <c r="N50" s="3847">
        <f>IF(K50="NA","NA",K50/Table8s2!$G$34*100)</f>
        <v>-2.4349152086868072E-3</v>
      </c>
      <c r="O50" s="3841">
        <f>SUM(O51:O55)</f>
        <v>312.9321367812779</v>
      </c>
      <c r="P50" s="3841">
        <f>Summary2!E51</f>
        <v>312.9321367812779</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10296.616874810839</v>
      </c>
      <c r="J51" s="3841">
        <f>Summary2!D52</f>
        <v>10283.05198393614</v>
      </c>
      <c r="K51" s="3841">
        <f t="shared" ref="K51:K52" si="56">IF(J51="NO",IF(I51="NO","NA",-I51),IF(I51="NO",J51,J51-I51))</f>
        <v>-13.564890874698904</v>
      </c>
      <c r="L51" s="3841">
        <f t="shared" ref="L51:L52" si="57">IF(K51="NA","NA",K51/I51*100)</f>
        <v>-0.1317412412215066</v>
      </c>
      <c r="M51" s="3846">
        <f>IF(K51="NA","NA",K51/Table8s2!$G$35*100)</f>
        <v>-2.5003540018207846E-3</v>
      </c>
      <c r="N51" s="3847">
        <f>IF(K51="NA","NA",K51/Table8s2!$G$34*100)</f>
        <v>-2.4349152086871337E-3</v>
      </c>
      <c r="O51" s="3888"/>
      <c r="P51" s="3889"/>
      <c r="Q51" s="3942"/>
      <c r="R51" s="3943"/>
      <c r="S51" s="3944"/>
      <c r="T51" s="3945"/>
    </row>
    <row r="52" spans="2:21" ht="18" customHeight="1" x14ac:dyDescent="0.2">
      <c r="B52" s="1395" t="s">
        <v>1990</v>
      </c>
      <c r="C52" s="3920"/>
      <c r="D52" s="3920"/>
      <c r="E52" s="3890"/>
      <c r="F52" s="3905"/>
      <c r="G52" s="3906"/>
      <c r="H52" s="3907"/>
      <c r="I52" s="3851">
        <v>114.52675583999996</v>
      </c>
      <c r="J52" s="3849">
        <f>Summary2!D53</f>
        <v>114.52675583999999</v>
      </c>
      <c r="K52" s="3841">
        <f t="shared" si="56"/>
        <v>2.8421709430404007E-14</v>
      </c>
      <c r="L52" s="3841">
        <f t="shared" si="57"/>
        <v>2.4816654607863569E-14</v>
      </c>
      <c r="M52" s="3846">
        <f>IF(K52="NA","NA",K52/Table8s2!$G$35*100)</f>
        <v>5.2388430964414658E-18</v>
      </c>
      <c r="N52" s="3847">
        <f>IF(K52="NA","NA",K52/Table8s2!$G$34*100)</f>
        <v>5.1017330834600891E-18</v>
      </c>
      <c r="O52" s="3841">
        <v>138.74098421759999</v>
      </c>
      <c r="P52" s="3841">
        <f>Summary2!E53</f>
        <v>138.74098421760002</v>
      </c>
      <c r="Q52" s="3841">
        <f t="shared" ref="Q52" si="58">IF(P52="NO",IF(O52="NO","NA",-O52),IF(O52="NO",P52,P52-O52))</f>
        <v>2.8421709430404007E-14</v>
      </c>
      <c r="R52" s="3841">
        <f t="shared" ref="R52" si="59">IF(Q52="NA","NA",Q52/O52*100)</f>
        <v>2.0485446020642091E-14</v>
      </c>
      <c r="S52" s="3846">
        <f>IF(Q52="NA","NA",Q52/Table8s2!$G$35*100)</f>
        <v>5.2388430964414658E-18</v>
      </c>
      <c r="T52" s="3847">
        <f>IF(Q52="NA","NA",Q52/Table8s2!$G$34*100)</f>
        <v>5.1017330834600891E-18</v>
      </c>
    </row>
    <row r="53" spans="2:21" ht="18" customHeight="1" x14ac:dyDescent="0.2">
      <c r="B53" s="1396" t="s">
        <v>1991</v>
      </c>
      <c r="C53" s="3841">
        <v>31.081119583060698</v>
      </c>
      <c r="D53" s="3841">
        <f>Summary2!C54</f>
        <v>31.081119583060698</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2532.3643757906202</v>
      </c>
      <c r="J54" s="3849">
        <f>Summary2!D55</f>
        <v>2532.3643757906202</v>
      </c>
      <c r="K54" s="3841">
        <f t="shared" ref="K54" si="62">IF(J54="NO",IF(I54="NO","NA",-I54),IF(I54="NO",J54,J54-I54))</f>
        <v>0</v>
      </c>
      <c r="L54" s="3841">
        <f t="shared" ref="L54" si="63">IF(K54="NA","NA",K54/I54*100)</f>
        <v>0</v>
      </c>
      <c r="M54" s="3846">
        <f>IF(K54="NA","NA",K54/Table8s2!$G$35*100)</f>
        <v>0</v>
      </c>
      <c r="N54" s="3847">
        <f>IF(K54="NA","NA",K54/Table8s2!$G$34*100)</f>
        <v>0</v>
      </c>
      <c r="O54" s="3841">
        <v>174.19115256367789</v>
      </c>
      <c r="P54" s="3841">
        <f>Summary2!E55</f>
        <v>174.19115256367789</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12970.425499999999</v>
      </c>
      <c r="D59" s="3849">
        <f>Summary2!C60</f>
        <v>12970.425499999999</v>
      </c>
      <c r="E59" s="3863">
        <f t="shared" ref="E59" si="66">IF(D59="NO",IF(C59="NO","NA",-C59),IF(C59="NO",D59,D59-C59))</f>
        <v>0</v>
      </c>
      <c r="F59" s="3863">
        <f t="shared" ref="F59" si="67">IF(E59="NA","NA",E59/C59*100)</f>
        <v>0</v>
      </c>
      <c r="G59" s="3864">
        <f>IF(E59="NA","NA",E59/Table8s2!$G$35*100)</f>
        <v>0</v>
      </c>
      <c r="H59" s="3865">
        <f>IF(E59="NA","NA",E59/Table8s2!$G$34*100)</f>
        <v>0</v>
      </c>
      <c r="I59" s="3849">
        <v>5.7924116567441608</v>
      </c>
      <c r="J59" s="3849">
        <f>Summary2!D60</f>
        <v>5.7924116567441857</v>
      </c>
      <c r="K59" s="3863">
        <f t="shared" ref="K59:K61" si="68">IF(J59="NO",IF(I59="NO","NA",-I59),IF(I59="NO",J59,J59-I59))</f>
        <v>2.4868995751603507E-14</v>
      </c>
      <c r="L59" s="3863">
        <f t="shared" ref="L59:L61" si="69">IF(K59="NA","NA",K59/I59*100)</f>
        <v>4.2933750612576528E-13</v>
      </c>
      <c r="M59" s="3864">
        <f>IF(K59="NA","NA",K59/Table8s2!$G$35*100)</f>
        <v>4.5839877093862827E-18</v>
      </c>
      <c r="N59" s="3865">
        <f>IF(K59="NA","NA",K59/Table8s2!$G$34*100)</f>
        <v>4.4640164480275778E-18</v>
      </c>
      <c r="O59" s="3850">
        <v>28.867790026467251</v>
      </c>
      <c r="P59" s="3849">
        <f>Summary2!E60</f>
        <v>28.867790026466579</v>
      </c>
      <c r="Q59" s="3863">
        <f t="shared" ref="Q59" si="70">IF(P59="NO",IF(O59="NO","NA",-O59),IF(O59="NO",P59,P59-O59))</f>
        <v>-6.7146288529329468E-13</v>
      </c>
      <c r="R59" s="3968">
        <f t="shared" ref="R59" si="71">IF(Q59="NA","NA",Q59/O59*100)</f>
        <v>-2.3259933811270906E-12</v>
      </c>
      <c r="S59" s="3969">
        <f>IF(Q59="NA","NA",Q59/Table8s2!$G$35*100)</f>
        <v>-1.2376766815342962E-16</v>
      </c>
      <c r="T59" s="3970">
        <f>IF(Q59="NA","NA",Q59/Table8s2!$G$34*100)</f>
        <v>-1.2052844409674459E-16</v>
      </c>
    </row>
    <row r="60" spans="2:21" ht="18" customHeight="1" x14ac:dyDescent="0.2">
      <c r="B60" s="1409" t="s">
        <v>218</v>
      </c>
      <c r="C60" s="3849">
        <v>11026.031999999999</v>
      </c>
      <c r="D60" s="3849">
        <f>Summary2!C61</f>
        <v>11026.031999999999</v>
      </c>
      <c r="E60" s="3863">
        <f t="shared" ref="E60:E61" si="72">IF(D60="NO",IF(C60="NO","NA",-C60),IF(C60="NO",D60,D60-C60))</f>
        <v>0</v>
      </c>
      <c r="F60" s="3863">
        <f t="shared" ref="F60:F61" si="73">IF(E60="NA","NA",E60/C60*100)</f>
        <v>0</v>
      </c>
      <c r="G60" s="3864">
        <f>IF(E60="NA","NA",E60/Table8s2!$G$35*100)</f>
        <v>0</v>
      </c>
      <c r="H60" s="3865">
        <f>IF(E60="NA","NA",E60/Table8s2!$G$34*100)</f>
        <v>0</v>
      </c>
      <c r="I60" s="3849">
        <v>0.60135165674415991</v>
      </c>
      <c r="J60" s="3849">
        <f>Summary2!D61</f>
        <v>0.60135165674418622</v>
      </c>
      <c r="K60" s="3863">
        <f t="shared" si="68"/>
        <v>2.631228568361621E-14</v>
      </c>
      <c r="L60" s="3863">
        <f t="shared" si="69"/>
        <v>4.3755239365392743E-12</v>
      </c>
      <c r="M60" s="3864">
        <f>IF(K60="NA","NA",K60/Table8s2!$G$35*100)</f>
        <v>4.8500227103774508E-18</v>
      </c>
      <c r="N60" s="3865">
        <f>IF(K60="NA","NA",K60/Table8s2!$G$34*100)</f>
        <v>4.7230888311720357E-18</v>
      </c>
      <c r="O60" s="3850">
        <v>14.83074002646725</v>
      </c>
      <c r="P60" s="3849">
        <f>Summary2!E61</f>
        <v>14.830740026466584</v>
      </c>
      <c r="Q60" s="3863">
        <f t="shared" ref="Q60:Q61" si="74">IF(P60="NO",IF(O60="NO","NA",-O60),IF(O60="NO",P60,P60-O60))</f>
        <v>-6.6613381477509392E-13</v>
      </c>
      <c r="R60" s="3968">
        <f t="shared" ref="R60:R61" si="75">IF(Q60="NA","NA",Q60/O60*100)</f>
        <v>-4.491575023136388E-12</v>
      </c>
      <c r="S60" s="3969">
        <f>IF(Q60="NA","NA",Q60/Table8s2!$G$35*100)</f>
        <v>-1.2278538507284685E-16</v>
      </c>
      <c r="T60" s="3970">
        <f>IF(Q60="NA","NA",Q60/Table8s2!$G$34*100)</f>
        <v>-1.1957186914359583E-16</v>
      </c>
    </row>
    <row r="61" spans="2:21" ht="18" customHeight="1" x14ac:dyDescent="0.2">
      <c r="B61" s="1410" t="s">
        <v>1963</v>
      </c>
      <c r="C61" s="3849">
        <v>1944.3935000000001</v>
      </c>
      <c r="D61" s="3849">
        <f>Summary2!C62</f>
        <v>1944.3934999999999</v>
      </c>
      <c r="E61" s="3863">
        <f t="shared" si="72"/>
        <v>-2.2737367544323206E-13</v>
      </c>
      <c r="F61" s="3863">
        <f t="shared" si="73"/>
        <v>-1.1693809686322858E-14</v>
      </c>
      <c r="G61" s="3864">
        <f>IF(E61="NA","NA",E61/Table8s2!$G$35*100)</f>
        <v>-4.1910744771531727E-17</v>
      </c>
      <c r="H61" s="3865">
        <f>IF(E61="NA","NA",E61/Table8s2!$G$34*100)</f>
        <v>-4.0813864667680712E-17</v>
      </c>
      <c r="I61" s="3849">
        <v>5.1910600000000002</v>
      </c>
      <c r="J61" s="3849">
        <f>Summary2!D62</f>
        <v>5.1910600000000002</v>
      </c>
      <c r="K61" s="3863">
        <f t="shared" si="68"/>
        <v>0</v>
      </c>
      <c r="L61" s="3863">
        <f t="shared" si="69"/>
        <v>0</v>
      </c>
      <c r="M61" s="3864">
        <f>IF(K61="NA","NA",K61/Table8s2!$G$35*100)</f>
        <v>0</v>
      </c>
      <c r="N61" s="3865">
        <f>IF(K61="NA","NA",K61/Table8s2!$G$34*100)</f>
        <v>0</v>
      </c>
      <c r="O61" s="3850">
        <v>14.037050000000001</v>
      </c>
      <c r="P61" s="3849">
        <f>Summary2!E62</f>
        <v>14.037049999999999</v>
      </c>
      <c r="Q61" s="3863">
        <f t="shared" si="74"/>
        <v>-1.7763568394002505E-15</v>
      </c>
      <c r="R61" s="3968">
        <f t="shared" si="75"/>
        <v>-1.2654773185250821E-14</v>
      </c>
      <c r="S61" s="3969">
        <f>IF(Q61="NA","NA",Q61/Table8s2!$G$35*100)</f>
        <v>-3.2742769352759161E-19</v>
      </c>
      <c r="T61" s="3970">
        <f>IF(Q61="NA","NA",Q61/Table8s2!$G$34*100)</f>
        <v>-3.1885831771625557E-19</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18101.182324669418</v>
      </c>
      <c r="D63" s="3849">
        <f>Summary2!C64</f>
        <v>18039.799317792527</v>
      </c>
      <c r="E63" s="3863">
        <f t="shared" ref="E63:E65" si="76">IF(D63="NO",IF(C63="NO","NA",-C63),IF(C63="NO",D63,D63-C63))</f>
        <v>-61.383006876891159</v>
      </c>
      <c r="F63" s="3863">
        <f t="shared" ref="F63:F65" si="77">IF(E63="NA","NA",E63/C63*100)</f>
        <v>-0.3391104833701088</v>
      </c>
      <c r="G63" s="3864">
        <f>IF(E63="NA","NA",E63/Table8s2!$G$35*100)</f>
        <v>-1.1314447591664408E-2</v>
      </c>
      <c r="H63" s="3865">
        <f>IF(E63="NA","NA",E63/Table8s2!$G$34*100)</f>
        <v>-1.1018328004264671E-2</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291257.06667653873</v>
      </c>
      <c r="D65" s="3851">
        <f>Summary2!C66</f>
        <v>291485.50700511056</v>
      </c>
      <c r="E65" s="3979">
        <f t="shared" si="76"/>
        <v>228.44032857182901</v>
      </c>
      <c r="F65" s="3986">
        <f t="shared" si="77"/>
        <v>7.8432544548533795E-2</v>
      </c>
      <c r="G65" s="3987">
        <f>IF(E65="NA","NA",E65/Table8s2!$G$35*100)</f>
        <v>4.2107356041263096E-2</v>
      </c>
      <c r="H65" s="3988">
        <f>IF(E65="NA","NA",E65/Table8s2!$G$34*100)</f>
        <v>4.1005330264360054E-2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4" workbookViewId="0">
      <selection activeCell="C21" sqref="C21"/>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8187.2588327414205</v>
      </c>
      <c r="D10" s="4021">
        <f>IF(SUM(D11:D30)=0,"NO",SUM(D11:D30))</f>
        <v>8187.2588327414196</v>
      </c>
      <c r="E10" s="4021">
        <f>IF(D10="NO",IF(C10="NO","NA",-C10),IF(C10="NO",D10,D10-C10))</f>
        <v>-9.0949470177292824E-13</v>
      </c>
      <c r="F10" s="4021">
        <f>IF(E10="NA","NA",E10/C10*100)</f>
        <v>-1.1108659446990918E-14</v>
      </c>
      <c r="G10" s="4022">
        <f>IF(E10="NA","NA",E10/$G$35*100)</f>
        <v>-1.6764297908612691E-16</v>
      </c>
      <c r="H10" s="4023">
        <f>IF(E10="NA","NA",E10/$G$34*100)</f>
        <v>-1.6325545867072285E-16</v>
      </c>
      <c r="I10" s="4024">
        <f>IF(SUM(I11:I30)=0,"NO",SUM(I11:I30))</f>
        <v>172.62441408027018</v>
      </c>
      <c r="J10" s="4024">
        <f>IF(SUM(J11:J30)=0,"NO",SUM(J11:J30))</f>
        <v>172.62441408027018</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111.49092341544214</v>
      </c>
      <c r="V10" s="4021">
        <f>IF(SUM(V11:V30)=0,"NO",SUM(V11:V30))</f>
        <v>107.66365548460661</v>
      </c>
      <c r="W10" s="4021">
        <f>IF(V10="NO",IF(U10="NO","NA",-U10),IF(U10="NO",V10,V10-U10))</f>
        <v>-3.8272679308355322</v>
      </c>
      <c r="X10" s="4025">
        <f>IF(W10="NA","NA",W10/U10*100)</f>
        <v>-3.4328067376159463</v>
      </c>
      <c r="Y10" s="4026">
        <f>IF(W10="NA","NA",W10/$G$35*100)</f>
        <v>-7.0546271070664904E-4</v>
      </c>
      <c r="Z10" s="4023">
        <f>IF(W10="NA","NA",W10/$G$34*100)</f>
        <v>-6.8699947375867323E-4</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172.62441408027018</v>
      </c>
      <c r="J13" s="3841">
        <f>'Table2(II)'!AH41</f>
        <v>172.62441408027018</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7822.709263648966</v>
      </c>
      <c r="D21" s="3849">
        <f>'Table2(I)'!F46</f>
        <v>7822.7092636489651</v>
      </c>
      <c r="E21" s="3849">
        <f>IF(D21="NO",IF(C21="NO","NA",-C21),IF(C21="NO",D21,D21-C21))</f>
        <v>-9.0949470177292824E-13</v>
      </c>
      <c r="F21" s="4018">
        <f>IF(E21="NA","NA",E21/C21*100)</f>
        <v>-1.162633904853428E-14</v>
      </c>
      <c r="G21" s="3873">
        <f>IF(E21="NA","NA",E21/$G$35*100)</f>
        <v>-1.6764297908612691E-16</v>
      </c>
      <c r="H21" s="3874">
        <f>IF(E21="NA","NA",E21/$G$34*100)</f>
        <v>-1.6325545867072285E-16</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65.351747526222169</v>
      </c>
      <c r="D22" s="3849">
        <f>'Table2(I)'!F47</f>
        <v>65.351747526222212</v>
      </c>
      <c r="E22" s="3849">
        <f t="shared" ref="E22:E25" si="0">IF(D22="NO",IF(C22="NO","NA",-C22),IF(C22="NO",D22,D22-C22))</f>
        <v>4.2632564145606011E-14</v>
      </c>
      <c r="F22" s="4018">
        <f t="shared" ref="F22:F25" si="1">IF(E22="NA","NA",E22/C22*100)</f>
        <v>6.5235538083353987E-14</v>
      </c>
      <c r="G22" s="3873">
        <f t="shared" ref="G22:G25" si="2">IF(E22="NA","NA",E22/$G$35*100)</f>
        <v>7.8582646446621991E-18</v>
      </c>
      <c r="H22" s="3874">
        <f t="shared" ref="H22:H25" si="3">IF(E22="NA","NA",E22/$G$34*100)</f>
        <v>7.6525996251901332E-18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47.817427389378068</v>
      </c>
      <c r="D23" s="3849">
        <f>'Table2(I)'!F48</f>
        <v>47.817427389378082</v>
      </c>
      <c r="E23" s="3849">
        <f t="shared" si="0"/>
        <v>1.4210854715202004E-14</v>
      </c>
      <c r="F23" s="4018">
        <f t="shared" si="1"/>
        <v>2.9718986342537394E-14</v>
      </c>
      <c r="G23" s="3873">
        <f t="shared" si="2"/>
        <v>2.6194215482207329E-18</v>
      </c>
      <c r="H23" s="3874">
        <f t="shared" si="3"/>
        <v>2.5508665417300445E-18</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164.80299800038782</v>
      </c>
      <c r="D24" s="3849">
        <f>'Table2(I)'!F49</f>
        <v>164.80299800038782</v>
      </c>
      <c r="E24" s="3849">
        <f t="shared" si="0"/>
        <v>0</v>
      </c>
      <c r="F24" s="4018">
        <f t="shared" si="1"/>
        <v>0</v>
      </c>
      <c r="G24" s="3873">
        <f t="shared" si="2"/>
        <v>0</v>
      </c>
      <c r="H24" s="3874">
        <f t="shared" si="3"/>
        <v>0</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86.577396176466152</v>
      </c>
      <c r="D25" s="3849">
        <f>'Table2(I)'!F50</f>
        <v>86.577396176466124</v>
      </c>
      <c r="E25" s="3849">
        <f t="shared" si="0"/>
        <v>-2.8421709430404007E-14</v>
      </c>
      <c r="F25" s="4018">
        <f t="shared" si="1"/>
        <v>-3.2828094497637156E-14</v>
      </c>
      <c r="G25" s="3873">
        <f t="shared" si="2"/>
        <v>-5.2388430964414658E-18</v>
      </c>
      <c r="H25" s="3874">
        <f t="shared" si="3"/>
        <v>-5.1017330834600891E-18</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92.681645507959715</v>
      </c>
      <c r="V27" s="3849">
        <f>IFERROR('Table2(I)'!I53*23500,'Table2(I)'!I53)</f>
        <v>88.854377577124239</v>
      </c>
      <c r="W27" s="3849">
        <f>IF(V27="NO",IF(U27="NO","NA",-U27),IF(U27="NO",V27,V27-U27))</f>
        <v>-3.8272679308354753</v>
      </c>
      <c r="X27" s="4018">
        <f>IF(W27="NA","NA",W27/U27*100)</f>
        <v>-4.129477751349139</v>
      </c>
      <c r="Y27" s="3873">
        <f>IF(W27="NA","NA",W27/$G$35*100)</f>
        <v>-7.0546271070663852E-4</v>
      </c>
      <c r="Z27" s="3874">
        <f>IF(W27="NA","NA",W27/$G$34*100)</f>
        <v>-6.8699947375866293E-4</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18.809277907482421</v>
      </c>
      <c r="V28" s="3849">
        <f>IFERROR('Table2(I)'!I54*23500,'Table2(I)'!I54)</f>
        <v>18.809277907482365</v>
      </c>
      <c r="W28" s="3849">
        <f>IF(V28="NO",IF(U28="NO","NA",-U28),IF(U28="NO",V28,V28-U28))</f>
        <v>-5.6843418860808015E-14</v>
      </c>
      <c r="X28" s="4018">
        <f>IF(W28="NA","NA",W28/U28*100)</f>
        <v>-3.0220946886108492E-13</v>
      </c>
      <c r="Y28" s="3873">
        <f>IF(W28="NA","NA",W28/$G$35*100)</f>
        <v>-1.0477686192882932E-17</v>
      </c>
      <c r="Z28" s="3874">
        <f>IF(W28="NA","NA",W28/$G$34*100)</f>
        <v>-1.0203466166920178E-17</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561101.34733727563</v>
      </c>
      <c r="F34" s="4548"/>
      <c r="G34" s="4547">
        <f>SUM(Table8s1!D10,Table8s1!J10,Table8s1!P10,D10,J10,P10,V10,AB10)</f>
        <v>557099.1066260935</v>
      </c>
      <c r="H34" s="4548"/>
      <c r="I34" s="3841">
        <f>G34-E34</f>
        <v>-4002.2407111821231</v>
      </c>
      <c r="J34" s="4047">
        <f>IF(I34="NA","NA",I34/E34*100)</f>
        <v>-0.71328303347958155</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543798.67548528011</v>
      </c>
      <c r="F35" s="4550"/>
      <c r="G35" s="4551">
        <f>G34-SUM(Table8s1!D41,Table8s1!J41,Table8s1!P41)</f>
        <v>542518.81392877991</v>
      </c>
      <c r="H35" s="4552"/>
      <c r="I35" s="3857">
        <f>G35-E35</f>
        <v>-1279.8615565001965</v>
      </c>
      <c r="J35" s="4048">
        <f>IF(I35="NA","NA",I35/E35*100)</f>
        <v>-0.23535576936778335</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5" t="s">
        <v>2218</v>
      </c>
      <c r="F12" s="4556"/>
    </row>
    <row r="13" spans="2:7" ht="55.5" customHeight="1" x14ac:dyDescent="0.2">
      <c r="B13" s="4122"/>
      <c r="C13" s="4124" t="s">
        <v>111</v>
      </c>
      <c r="D13" s="4124" t="s">
        <v>2220</v>
      </c>
      <c r="E13" s="4553" t="s">
        <v>2221</v>
      </c>
      <c r="F13" s="4567"/>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5" t="s">
        <v>2229</v>
      </c>
      <c r="F17" s="4556"/>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5" t="s">
        <v>2459</v>
      </c>
      <c r="F20" s="4556"/>
    </row>
    <row r="21" spans="2:7" ht="13.5" x14ac:dyDescent="0.2">
      <c r="B21" s="874" t="s">
        <v>2236</v>
      </c>
      <c r="C21" s="4124" t="s">
        <v>2214</v>
      </c>
      <c r="D21" s="4123" t="s">
        <v>2237</v>
      </c>
      <c r="E21" s="4555" t="s">
        <v>2218</v>
      </c>
      <c r="F21" s="4556"/>
    </row>
    <row r="22" spans="2:7" x14ac:dyDescent="0.2">
      <c r="B22" s="4122"/>
      <c r="C22" s="4123" t="s">
        <v>2214</v>
      </c>
      <c r="D22" s="4123" t="s">
        <v>2215</v>
      </c>
      <c r="E22" s="4555" t="s">
        <v>2238</v>
      </c>
      <c r="F22" s="4556"/>
    </row>
    <row r="23" spans="2:7" x14ac:dyDescent="0.2">
      <c r="B23" s="4122"/>
      <c r="C23" s="4123" t="s">
        <v>2214</v>
      </c>
      <c r="D23" s="4123" t="s">
        <v>2239</v>
      </c>
      <c r="E23" s="4555" t="s">
        <v>2218</v>
      </c>
      <c r="F23" s="4556"/>
      <c r="G23" s="4194"/>
    </row>
    <row r="24" spans="2:7" x14ac:dyDescent="0.2">
      <c r="B24" s="4122"/>
      <c r="C24" s="4123" t="s">
        <v>2214</v>
      </c>
      <c r="D24" s="4123" t="s">
        <v>2240</v>
      </c>
      <c r="E24" s="4555" t="s">
        <v>2218</v>
      </c>
      <c r="F24" s="4556"/>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5" t="s">
        <v>2244</v>
      </c>
      <c r="F27" s="4556"/>
    </row>
    <row r="28" spans="2:7" x14ac:dyDescent="0.2">
      <c r="B28" s="4122"/>
      <c r="C28" s="4124" t="s">
        <v>2225</v>
      </c>
      <c r="D28" s="4123" t="s">
        <v>2132</v>
      </c>
      <c r="E28" s="4555" t="s">
        <v>2245</v>
      </c>
      <c r="F28" s="4556"/>
    </row>
    <row r="29" spans="2:7" x14ac:dyDescent="0.2">
      <c r="B29" s="4122"/>
      <c r="C29" s="4124" t="s">
        <v>2225</v>
      </c>
      <c r="D29" s="4123" t="s">
        <v>2246</v>
      </c>
      <c r="E29" s="4555" t="s">
        <v>2247</v>
      </c>
      <c r="F29" s="4556"/>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5" t="s">
        <v>2250</v>
      </c>
      <c r="F32" s="4556"/>
    </row>
    <row r="33" spans="2:7" x14ac:dyDescent="0.2">
      <c r="B33" s="4122"/>
      <c r="C33" s="4123" t="s">
        <v>2234</v>
      </c>
      <c r="D33" s="4123" t="s">
        <v>2251</v>
      </c>
      <c r="E33" s="4555" t="s">
        <v>2252</v>
      </c>
      <c r="F33" s="4556"/>
    </row>
    <row r="34" spans="2:7" x14ac:dyDescent="0.2">
      <c r="B34" s="4122"/>
      <c r="C34" s="4123" t="s">
        <v>2234</v>
      </c>
      <c r="D34" s="4123" t="s">
        <v>2253</v>
      </c>
      <c r="E34" s="4555" t="s">
        <v>2259</v>
      </c>
      <c r="F34" s="4556"/>
    </row>
    <row r="35" spans="2:7" x14ac:dyDescent="0.2">
      <c r="B35" s="4122"/>
      <c r="C35" s="4123" t="s">
        <v>2234</v>
      </c>
      <c r="D35" s="4123" t="s">
        <v>2235</v>
      </c>
      <c r="E35" s="4555" t="s">
        <v>2260</v>
      </c>
      <c r="F35" s="4556"/>
    </row>
    <row r="36" spans="2:7" ht="13.5" x14ac:dyDescent="0.2">
      <c r="B36" s="874" t="s">
        <v>2254</v>
      </c>
      <c r="C36" s="4124" t="s">
        <v>2214</v>
      </c>
      <c r="D36" s="4123" t="s">
        <v>2237</v>
      </c>
      <c r="E36" s="4555" t="s">
        <v>2218</v>
      </c>
      <c r="F36" s="4556"/>
    </row>
    <row r="37" spans="2:7" x14ac:dyDescent="0.2">
      <c r="B37" s="4122"/>
      <c r="C37" s="4123" t="s">
        <v>2214</v>
      </c>
      <c r="D37" s="4123" t="s">
        <v>2215</v>
      </c>
      <c r="E37" s="4555" t="s">
        <v>2255</v>
      </c>
      <c r="F37" s="4556"/>
    </row>
    <row r="38" spans="2:7" x14ac:dyDescent="0.2">
      <c r="B38" s="4122"/>
      <c r="C38" s="4123" t="s">
        <v>2214</v>
      </c>
      <c r="D38" s="4123" t="s">
        <v>2239</v>
      </c>
      <c r="E38" s="4555" t="s">
        <v>2218</v>
      </c>
      <c r="F38" s="4556"/>
      <c r="G38" s="4194"/>
    </row>
    <row r="39" spans="2:7" ht="15" customHeight="1" x14ac:dyDescent="0.2">
      <c r="B39" s="4122"/>
      <c r="C39" s="4123" t="s">
        <v>2214</v>
      </c>
      <c r="D39" s="4123" t="s">
        <v>2240</v>
      </c>
      <c r="E39" s="4555" t="s">
        <v>2218</v>
      </c>
      <c r="F39" s="4556"/>
    </row>
    <row r="40" spans="2:7" ht="42.75" customHeight="1" x14ac:dyDescent="0.2">
      <c r="B40" s="4122"/>
      <c r="C40" s="4124" t="s">
        <v>2225</v>
      </c>
      <c r="D40" s="4124" t="s">
        <v>2226</v>
      </c>
      <c r="E40" s="4553" t="s">
        <v>2227</v>
      </c>
      <c r="F40" s="4554"/>
    </row>
    <row r="41" spans="2:7" x14ac:dyDescent="0.2">
      <c r="B41" s="4122"/>
      <c r="C41" s="4123" t="s">
        <v>2225</v>
      </c>
      <c r="D41" s="4123" t="s">
        <v>2256</v>
      </c>
      <c r="E41" s="4555" t="s">
        <v>2257</v>
      </c>
      <c r="F41" s="4556"/>
    </row>
    <row r="42" spans="2:7" x14ac:dyDescent="0.2">
      <c r="B42" s="4122"/>
      <c r="C42" s="4124" t="s">
        <v>2225</v>
      </c>
      <c r="D42" s="4123" t="s">
        <v>2246</v>
      </c>
      <c r="E42" s="4555" t="s">
        <v>2247</v>
      </c>
      <c r="F42" s="4556"/>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5" t="s">
        <v>2250</v>
      </c>
      <c r="F45" s="4556"/>
    </row>
    <row r="46" spans="2:7" x14ac:dyDescent="0.2">
      <c r="B46" s="4122"/>
      <c r="C46" s="4123" t="s">
        <v>2234</v>
      </c>
      <c r="D46" s="4123" t="s">
        <v>2251</v>
      </c>
      <c r="E46" s="4555" t="s">
        <v>2252</v>
      </c>
      <c r="F46" s="4556"/>
    </row>
    <row r="47" spans="2:7" x14ac:dyDescent="0.2">
      <c r="B47" s="4122"/>
      <c r="C47" s="4123" t="s">
        <v>2234</v>
      </c>
      <c r="D47" s="4123" t="s">
        <v>2253</v>
      </c>
      <c r="E47" s="4555" t="s">
        <v>2259</v>
      </c>
      <c r="F47" s="4556"/>
    </row>
    <row r="48" spans="2:7" x14ac:dyDescent="0.2">
      <c r="B48" s="875"/>
      <c r="C48" s="4123" t="s">
        <v>2234</v>
      </c>
      <c r="D48" s="4123" t="s">
        <v>2235</v>
      </c>
      <c r="E48" s="4555" t="s">
        <v>2260</v>
      </c>
      <c r="F48" s="4556"/>
    </row>
    <row r="49" spans="2:6" ht="18" customHeight="1" x14ac:dyDescent="0.2">
      <c r="B49" s="874" t="s">
        <v>2004</v>
      </c>
      <c r="C49" s="4123"/>
      <c r="D49" s="4123"/>
      <c r="E49" s="4555"/>
      <c r="F49" s="4556"/>
    </row>
    <row r="50" spans="2:6" ht="18" customHeight="1" x14ac:dyDescent="0.2">
      <c r="B50" s="875"/>
      <c r="C50" s="4123"/>
      <c r="D50" s="4123"/>
      <c r="E50" s="4555"/>
      <c r="F50" s="4556"/>
    </row>
    <row r="51" spans="2:6" ht="18" customHeight="1" x14ac:dyDescent="0.2">
      <c r="B51" s="874" t="s">
        <v>1971</v>
      </c>
      <c r="C51" s="4123"/>
      <c r="D51" s="4123"/>
      <c r="E51" s="4555"/>
      <c r="F51" s="4556"/>
    </row>
    <row r="52" spans="2:6" ht="18" customHeight="1" x14ac:dyDescent="0.2">
      <c r="B52" s="875"/>
      <c r="C52" s="4123"/>
      <c r="D52" s="4123"/>
      <c r="E52" s="4555"/>
      <c r="F52" s="4556"/>
    </row>
    <row r="53" spans="2:6" ht="18" customHeight="1" x14ac:dyDescent="0.2">
      <c r="B53" s="2578" t="s">
        <v>2261</v>
      </c>
      <c r="C53" s="4123"/>
      <c r="D53" s="4123"/>
      <c r="E53" s="4555"/>
      <c r="F53" s="4556"/>
    </row>
    <row r="54" spans="2:6" ht="18" customHeight="1" x14ac:dyDescent="0.2">
      <c r="B54" s="2579" t="s">
        <v>2262</v>
      </c>
      <c r="C54" s="4123"/>
      <c r="D54" s="4123"/>
      <c r="E54" s="4555"/>
      <c r="F54" s="4556"/>
    </row>
    <row r="55" spans="2:6" ht="18" customHeight="1" x14ac:dyDescent="0.2">
      <c r="B55" s="2578" t="s">
        <v>905</v>
      </c>
      <c r="C55" s="4123"/>
      <c r="D55" s="4123"/>
      <c r="E55" s="4555"/>
      <c r="F55" s="4556"/>
    </row>
    <row r="56" spans="2:6" ht="18" customHeight="1" x14ac:dyDescent="0.2">
      <c r="B56" s="2579"/>
      <c r="C56" s="4123"/>
      <c r="D56" s="4123"/>
      <c r="E56" s="4555"/>
      <c r="F56" s="4556"/>
    </row>
    <row r="57" spans="2:6" ht="18" customHeight="1" x14ac:dyDescent="0.2">
      <c r="B57" s="2580" t="s">
        <v>2263</v>
      </c>
      <c r="C57" s="4123"/>
      <c r="D57" s="4123"/>
      <c r="E57" s="4555"/>
      <c r="F57" s="4556"/>
    </row>
    <row r="58" spans="2:6" ht="18" customHeight="1" thickBot="1" x14ac:dyDescent="0.25">
      <c r="B58" s="2581"/>
      <c r="C58" s="4125"/>
      <c r="D58" s="4125"/>
      <c r="E58" s="4557"/>
      <c r="F58" s="455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AB10" sqref="AB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1344779.5165077562</v>
      </c>
      <c r="D10" s="1938" t="s">
        <v>97</v>
      </c>
      <c r="E10" s="615"/>
      <c r="F10" s="615"/>
      <c r="G10" s="615"/>
      <c r="H10" s="1851">
        <f>IF(SUM(H11:H14)=0,"NO",SUM(H11:H14))</f>
        <v>91143.808302532998</v>
      </c>
      <c r="I10" s="1851">
        <f>IF(SUM(I11:I15)=0,"NO",SUM(I11:I15))</f>
        <v>15.864149704567854</v>
      </c>
      <c r="J10" s="2217">
        <f>IF(SUM(J11:J15)=0,"NO",SUM(J11:J15))</f>
        <v>5.8347641882832981</v>
      </c>
    </row>
    <row r="11" spans="2:11" ht="18" customHeight="1" x14ac:dyDescent="0.2">
      <c r="B11" s="282" t="s">
        <v>243</v>
      </c>
      <c r="C11" s="1938">
        <f>IF(SUM(C17:C18,C21:C24,C82,C89:C92,C100)=0,"NO",SUM(C17:C18,C21:C24,C82,C89:C92,C100))</f>
        <v>1323985.906187292</v>
      </c>
      <c r="D11" s="1934" t="s">
        <v>97</v>
      </c>
      <c r="E11" s="1938">
        <f>IFERROR(H11*1000/$C11,"NA")</f>
        <v>68.303587452071667</v>
      </c>
      <c r="F11" s="1938">
        <f t="shared" ref="F11:G15" si="0">IFERROR(I11*1000000/$C11,"NA")</f>
        <v>11.442956357642215</v>
      </c>
      <c r="G11" s="1938">
        <f t="shared" si="0"/>
        <v>4.3649019821849864</v>
      </c>
      <c r="H11" s="1938">
        <f>IF(SUM(H17:H18,H21:H24,H82,H89:H92,H100)=0,"NO",SUM(H17:H18,H21:H24,H82,H89:H92,H100))</f>
        <v>90432.987128574037</v>
      </c>
      <c r="I11" s="1938">
        <f>IF(SUM(I17:I18,I21:I24,I82,I89:I92,I100)=0,"NO",SUM(I17:I18,I21:I24,I82,I89:I92,I100))</f>
        <v>15.150312942634562</v>
      </c>
      <c r="J11" s="3064">
        <f>IF(SUM(J17:J18,J21:J24,J82,J89:J92,J100)=0,"NO",SUM(J17:J18,J21:J24,J82,J89:J92,J100))</f>
        <v>5.7790687063018957</v>
      </c>
    </row>
    <row r="12" spans="2:11" ht="18" customHeight="1" x14ac:dyDescent="0.2">
      <c r="B12" s="282" t="s">
        <v>245</v>
      </c>
      <c r="C12" s="1938" t="str">
        <f>IF(SUM(C83,C101,C97)=0,"NO",SUM(C83,C101,C97))</f>
        <v>NO</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13802.610705097552</v>
      </c>
      <c r="D13" s="1934" t="s">
        <v>97</v>
      </c>
      <c r="E13" s="1938">
        <f t="shared" si="1"/>
        <v>51.411918339264993</v>
      </c>
      <c r="F13" s="1938">
        <f t="shared" si="0"/>
        <v>31.30286854040013</v>
      </c>
      <c r="G13" s="1938">
        <f t="shared" si="0"/>
        <v>0.30497298627301966</v>
      </c>
      <c r="H13" s="1938">
        <f>IF(SUM(H26,H84,H94,H102)=0,"NO",SUM(H26,H84,H94,H102))</f>
        <v>709.6186944391402</v>
      </c>
      <c r="I13" s="1938">
        <f>IF(SUM(I26,I84,I94,I102)=0,"NO",SUM(I26,I84,I94,I102))</f>
        <v>0.43206130841598822</v>
      </c>
      <c r="J13" s="3064">
        <f>IF(SUM(J26,J84,J94,J102)=0,"NO",SUM(J26,J84,J94,J102))</f>
        <v>4.2094234050975505E-3</v>
      </c>
    </row>
    <row r="14" spans="2:11" ht="18" customHeight="1" x14ac:dyDescent="0.2">
      <c r="B14" s="282" t="s">
        <v>290</v>
      </c>
      <c r="C14" s="1938">
        <f>IF(SUM(C28,C86,C96,C103)=0,"NO",SUM(C28,C86,C96,C103))</f>
        <v>16.404904772534412</v>
      </c>
      <c r="D14" s="1934" t="s">
        <v>97</v>
      </c>
      <c r="E14" s="1938">
        <f t="shared" si="1"/>
        <v>73.299999999999983</v>
      </c>
      <c r="F14" s="1938" t="str">
        <f t="shared" si="0"/>
        <v>NA</v>
      </c>
      <c r="G14" s="1938" t="str">
        <f t="shared" si="0"/>
        <v>NA</v>
      </c>
      <c r="H14" s="1938">
        <f>IF(SUM(H28,H86,H96,H103)=0,"NO",SUM(H28,H86,H96,H103))</f>
        <v>1.2024795198267721</v>
      </c>
      <c r="I14" s="1938" t="str">
        <f>IF(SUM(I28,I86,I96,I103)=0,"NO",SUM(I28,I86,I96,I103))</f>
        <v>NO</v>
      </c>
      <c r="J14" s="3064" t="str">
        <f>IF(SUM(J28,J86,J96,J103)=0,"NO",SUM(J28,J86,J96,J103))</f>
        <v>NO</v>
      </c>
    </row>
    <row r="15" spans="2:11" ht="18" customHeight="1" x14ac:dyDescent="0.2">
      <c r="B15" s="282" t="s">
        <v>249</v>
      </c>
      <c r="C15" s="1938">
        <f>IF(SUM(C19,C27,C85,C95,C104)=0,"NO",SUM(C19,C27,C85,C95,C104))</f>
        <v>6974.594710594205</v>
      </c>
      <c r="D15" s="1938" t="s">
        <v>97</v>
      </c>
      <c r="E15" s="1938">
        <f t="shared" si="1"/>
        <v>67.260000000000005</v>
      </c>
      <c r="F15" s="1938">
        <f t="shared" si="0"/>
        <v>40.400261980713381</v>
      </c>
      <c r="G15" s="1938">
        <f t="shared" si="0"/>
        <v>7.3819427096027947</v>
      </c>
      <c r="H15" s="1938">
        <f>IF(SUM(H19,H27,H85,H95,H104)=0,"NO",SUM(H19,H27,H85,H95,H104))</f>
        <v>469.11124023456625</v>
      </c>
      <c r="I15" s="1938">
        <f>IF(SUM(I19,I27,I85,I95,I104)=0,"NO",SUM(I19,I27,I85,I95,I104))</f>
        <v>0.28177545351730371</v>
      </c>
      <c r="J15" s="3064">
        <f>IF(SUM(J19,J27,J85,J95,J104)=0,"NO",SUM(J19,J27,J85,J95,J104))</f>
        <v>5.1486058576305109E-2</v>
      </c>
    </row>
    <row r="16" spans="2:11" ht="18" customHeight="1" x14ac:dyDescent="0.2">
      <c r="B16" s="1240" t="s">
        <v>291</v>
      </c>
      <c r="C16" s="1938">
        <f>IF(SUM(C17:C19)=0,"NO",SUM(C17:C19))</f>
        <v>120948.23551340001</v>
      </c>
      <c r="D16" s="1934" t="s">
        <v>97</v>
      </c>
      <c r="E16" s="615"/>
      <c r="F16" s="615"/>
      <c r="G16" s="615"/>
      <c r="H16" s="1938">
        <f>IF(SUM(H17:H18)=0,"NO",SUM(H17:H18))</f>
        <v>8410.9062753977978</v>
      </c>
      <c r="I16" s="1938">
        <f>IF(SUM(I17:I19)=0,"NO",SUM(I17:I19))</f>
        <v>3.7961749158125183E-2</v>
      </c>
      <c r="J16" s="3064">
        <f>IF(SUM(J17:J19)=0,"NO",SUM(J17:J19))</f>
        <v>6.2522690563317065E-2</v>
      </c>
    </row>
    <row r="17" spans="2:10" ht="18" customHeight="1" x14ac:dyDescent="0.2">
      <c r="B17" s="282" t="s">
        <v>292</v>
      </c>
      <c r="C17" s="699">
        <v>2727.2755134000004</v>
      </c>
      <c r="D17" s="1934" t="s">
        <v>97</v>
      </c>
      <c r="E17" s="1938">
        <f t="shared" ref="E17:E19" si="2">IFERROR(H17*1000/$C17,"NA")</f>
        <v>66.999999999999986</v>
      </c>
      <c r="F17" s="1938">
        <f t="shared" ref="F17:G19" si="3">IFERROR(I17*1000000/$C17,"NA")</f>
        <v>0.49999999999999989</v>
      </c>
      <c r="G17" s="1938">
        <f t="shared" si="3"/>
        <v>2</v>
      </c>
      <c r="H17" s="699">
        <v>182.7274593978</v>
      </c>
      <c r="I17" s="699">
        <v>1.3636377567E-3</v>
      </c>
      <c r="J17" s="2921">
        <v>5.4545510268000008E-3</v>
      </c>
    </row>
    <row r="18" spans="2:10" ht="18" customHeight="1" x14ac:dyDescent="0.2">
      <c r="B18" s="282" t="s">
        <v>293</v>
      </c>
      <c r="C18" s="699">
        <v>118220.96</v>
      </c>
      <c r="D18" s="1934" t="s">
        <v>97</v>
      </c>
      <c r="E18" s="1938">
        <f t="shared" si="2"/>
        <v>69.59999999999998</v>
      </c>
      <c r="F18" s="1938">
        <f t="shared" si="3"/>
        <v>0.30957379640146027</v>
      </c>
      <c r="G18" s="1938">
        <f t="shared" si="3"/>
        <v>0.48272437930225798</v>
      </c>
      <c r="H18" s="699">
        <v>8228.1788159999978</v>
      </c>
      <c r="I18" s="699">
        <v>3.659811140142518E-2</v>
      </c>
      <c r="J18" s="2921">
        <v>5.7068139536517071E-2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1149789.3084945278</v>
      </c>
      <c r="D20" s="1934" t="s">
        <v>97</v>
      </c>
      <c r="E20" s="615"/>
      <c r="F20" s="615"/>
      <c r="G20" s="615"/>
      <c r="H20" s="1938">
        <f>IF(SUM(H21:H24,H26,H28)=0,"NO",SUM(H21:H24,H26,H28))</f>
        <v>77790.283905850883</v>
      </c>
      <c r="I20" s="1938">
        <f>IF(SUM(I21:I24,I26:I28)=0,"NO",SUM(I21:I24,I26:I28))</f>
        <v>10.909320670935367</v>
      </c>
      <c r="J20" s="3064">
        <f>IF(SUM(J21:J24,J26:J28)=0,"NO",SUM(J21:J24,J26:J28))</f>
        <v>4.4887174740224038</v>
      </c>
    </row>
    <row r="21" spans="2:10" ht="18" customHeight="1" x14ac:dyDescent="0.2">
      <c r="B21" s="282" t="s">
        <v>281</v>
      </c>
      <c r="C21" s="1938">
        <f>IF(SUM(C31,C41,C51,C61,C72)=0,"NO",SUM(C31,C41,C51,C61,C72))</f>
        <v>618278.40610980953</v>
      </c>
      <c r="D21" s="1934" t="s">
        <v>97</v>
      </c>
      <c r="E21" s="1938">
        <f t="shared" ref="E21:E23" si="4">IFERROR(H21*1000/$C21,"NA")</f>
        <v>67.40000000000002</v>
      </c>
      <c r="F21" s="1938">
        <f t="shared" ref="F21:G23" si="5">IFERROR(I21*1000000/$C21,"NA")</f>
        <v>10.335028515195399</v>
      </c>
      <c r="G21" s="1938">
        <f t="shared" si="5"/>
        <v>5.6983445012900757</v>
      </c>
      <c r="H21" s="1938">
        <f t="shared" ref="H21:J23" si="6">IF(SUM(H31,H41,H51,H61,H72)=0,"NO",SUM(H31,H41,H51,H61,H72))</f>
        <v>41671.964571801174</v>
      </c>
      <c r="I21" s="1938">
        <f t="shared" si="6"/>
        <v>6.3899249574744426</v>
      </c>
      <c r="J21" s="3064">
        <f t="shared" si="6"/>
        <v>3.5231633557222253</v>
      </c>
    </row>
    <row r="22" spans="2:10" ht="18" customHeight="1" x14ac:dyDescent="0.2">
      <c r="B22" s="282" t="s">
        <v>282</v>
      </c>
      <c r="C22" s="1938">
        <f>IF(SUM(C32,C42,C52,C62,C73)=0,"NO",SUM(C32,C42,C52,C62,C73))</f>
        <v>470131.31028807274</v>
      </c>
      <c r="D22" s="1934" t="s">
        <v>97</v>
      </c>
      <c r="E22" s="1938">
        <f t="shared" si="4"/>
        <v>69.900000000000006</v>
      </c>
      <c r="F22" s="1938">
        <f t="shared" si="5"/>
        <v>5.7155983785434215</v>
      </c>
      <c r="G22" s="1938">
        <f t="shared" si="5"/>
        <v>1.6724741677049293</v>
      </c>
      <c r="H22" s="1938">
        <f t="shared" si="6"/>
        <v>32862.178589136289</v>
      </c>
      <c r="I22" s="1938">
        <f t="shared" si="6"/>
        <v>2.6870817547850026</v>
      </c>
      <c r="J22" s="3064">
        <f t="shared" si="6"/>
        <v>0.78628247188607236</v>
      </c>
    </row>
    <row r="23" spans="2:10" ht="18" customHeight="1" x14ac:dyDescent="0.2">
      <c r="B23" s="282" t="s">
        <v>283</v>
      </c>
      <c r="C23" s="1938">
        <f>IF(SUM(C33,C43,C53,C63,C74)=0,"NO",SUM(C33,C43,C53,C63,C74))</f>
        <v>51485</v>
      </c>
      <c r="D23" s="1934" t="s">
        <v>97</v>
      </c>
      <c r="E23" s="1938">
        <f t="shared" si="4"/>
        <v>60.2</v>
      </c>
      <c r="F23" s="1938">
        <f t="shared" si="5"/>
        <v>25.656205683811294</v>
      </c>
      <c r="G23" s="1938">
        <f t="shared" si="5"/>
        <v>2.4349590771944225</v>
      </c>
      <c r="H23" s="1938">
        <f t="shared" si="6"/>
        <v>3099.3969999999999</v>
      </c>
      <c r="I23" s="1938">
        <f t="shared" si="6"/>
        <v>1.3209097496310245</v>
      </c>
      <c r="J23" s="3064">
        <f t="shared" si="6"/>
        <v>0.12536386808935485</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3043.5137050975509</v>
      </c>
      <c r="D26" s="1934" t="s">
        <v>97</v>
      </c>
      <c r="E26" s="1938">
        <f t="shared" si="7"/>
        <v>51.411918339264993</v>
      </c>
      <c r="F26" s="1938">
        <f t="shared" si="8"/>
        <v>106.50300961360965</v>
      </c>
      <c r="G26" s="1938">
        <f t="shared" si="8"/>
        <v>0.99999999999999989</v>
      </c>
      <c r="H26" s="1938">
        <f t="shared" ref="H26:J29" si="10">IF(SUM(H36,H46,H56,H66,H77)=0,"NO",SUM(H36,H46,H56,H66,H77))</f>
        <v>156.47287807090913</v>
      </c>
      <c r="I26" s="1938">
        <f t="shared" si="10"/>
        <v>0.32414336939315719</v>
      </c>
      <c r="J26" s="3064">
        <f t="shared" si="10"/>
        <v>3.0435137050975505E-3</v>
      </c>
    </row>
    <row r="27" spans="2:10" ht="18" customHeight="1" x14ac:dyDescent="0.2">
      <c r="B27" s="282" t="s">
        <v>249</v>
      </c>
      <c r="C27" s="1938">
        <f t="shared" si="9"/>
        <v>6847.3830730963837</v>
      </c>
      <c r="D27" s="1934" t="s">
        <v>97</v>
      </c>
      <c r="E27" s="1938">
        <f t="shared" si="7"/>
        <v>67.259999999999991</v>
      </c>
      <c r="F27" s="1938">
        <f t="shared" si="8"/>
        <v>27.347796618462066</v>
      </c>
      <c r="G27" s="1938">
        <f t="shared" si="8"/>
        <v>7.4282779386916982</v>
      </c>
      <c r="H27" s="1938">
        <f t="shared" si="10"/>
        <v>460.55498549646273</v>
      </c>
      <c r="I27" s="1938">
        <f t="shared" si="10"/>
        <v>0.18726083965173967</v>
      </c>
      <c r="J27" s="3064">
        <f t="shared" si="10"/>
        <v>5.0864264619652828E-2</v>
      </c>
    </row>
    <row r="28" spans="2:10" ht="18" customHeight="1" x14ac:dyDescent="0.2">
      <c r="B28" s="282" t="s">
        <v>290</v>
      </c>
      <c r="C28" s="1938">
        <f>C29</f>
        <v>3.6953184517165996</v>
      </c>
      <c r="D28" s="1934" t="s">
        <v>97</v>
      </c>
      <c r="E28" s="615"/>
      <c r="F28" s="615"/>
      <c r="G28" s="615"/>
      <c r="H28" s="1938">
        <f>H29</f>
        <v>0.27086684251082671</v>
      </c>
      <c r="I28" s="1938" t="str">
        <f>I29</f>
        <v>NE</v>
      </c>
      <c r="J28" s="3064" t="str">
        <f>J29</f>
        <v>NE</v>
      </c>
    </row>
    <row r="29" spans="2:10" ht="18" customHeight="1" x14ac:dyDescent="0.2">
      <c r="B29" s="3083" t="s">
        <v>297</v>
      </c>
      <c r="C29" s="1938">
        <f t="shared" si="9"/>
        <v>3.6953184517165996</v>
      </c>
      <c r="D29" s="1934" t="s">
        <v>97</v>
      </c>
      <c r="E29" s="3081">
        <f t="shared" ref="E29" si="11">IFERROR(H29*1000/$C29,"NA")</f>
        <v>73.299999999999983</v>
      </c>
      <c r="F29" s="3081" t="str">
        <f>IFERROR(I29*1000000/$C29,"NA")</f>
        <v>NA</v>
      </c>
      <c r="G29" s="3081" t="str">
        <f>IFERROR(J29*1000000/$C29,"NA")</f>
        <v>NA</v>
      </c>
      <c r="H29" s="1938">
        <f t="shared" si="10"/>
        <v>0.27086684251082671</v>
      </c>
      <c r="I29" s="1938" t="str">
        <f>IF(SUM(I39,I49,I59,I69,I80)=0,"NE",SUM(I39,I49,I59,I69,I80))</f>
        <v>NE</v>
      </c>
      <c r="J29" s="3064" t="str">
        <f>IF(SUM(J39,J49,J59,J69,J80)=0,"NE",SUM(J39,J49,J59,J69,J80))</f>
        <v>NE</v>
      </c>
    </row>
    <row r="30" spans="2:10" ht="18" customHeight="1" x14ac:dyDescent="0.2">
      <c r="B30" s="1241" t="s">
        <v>298</v>
      </c>
      <c r="C30" s="1938">
        <f>IF(SUM(C31:C34,C36:C38)=0,"NO",SUM(C31:C34,C36:C38))</f>
        <v>649744.73390982836</v>
      </c>
      <c r="D30" s="1934" t="s">
        <v>97</v>
      </c>
      <c r="E30" s="615"/>
      <c r="F30" s="615"/>
      <c r="G30" s="615"/>
      <c r="H30" s="1938">
        <f>IF(SUM(H31:H34,H36,H38)=0,"NO",SUM(H31:H34,H36,H38))</f>
        <v>43328.37534691755</v>
      </c>
      <c r="I30" s="1938">
        <f>IF(SUM(I31:I34,I36:I38)=0,"NO",SUM(I31:I34,I36:I38))</f>
        <v>6.6448634804002733</v>
      </c>
      <c r="J30" s="3064">
        <f>IF(SUM(J31:J34,J36:J38)=0,"NO",SUM(J31:J34,J36:J38))</f>
        <v>3.4111360168886482</v>
      </c>
    </row>
    <row r="31" spans="2:10" ht="18" customHeight="1" x14ac:dyDescent="0.2">
      <c r="B31" s="282" t="s">
        <v>281</v>
      </c>
      <c r="C31" s="699">
        <v>534450.69629174925</v>
      </c>
      <c r="D31" s="1934" t="s">
        <v>97</v>
      </c>
      <c r="E31" s="1938">
        <f t="shared" ref="E31:E33" si="12">IFERROR(H31*1000/$C31,"NA")</f>
        <v>67.40000000000002</v>
      </c>
      <c r="F31" s="1938">
        <f t="shared" ref="F31:G33" si="13">IFERROR(I31*1000000/$C31,"NA")</f>
        <v>9.6699865269723464</v>
      </c>
      <c r="G31" s="1938">
        <f t="shared" si="13"/>
        <v>5.9861723147462733</v>
      </c>
      <c r="H31" s="699">
        <v>36021.976930063909</v>
      </c>
      <c r="I31" s="699">
        <v>5.1681310324722043</v>
      </c>
      <c r="J31" s="2921">
        <v>3.1993139617385382</v>
      </c>
    </row>
    <row r="32" spans="2:10" ht="18" customHeight="1" x14ac:dyDescent="0.2">
      <c r="B32" s="282" t="s">
        <v>282</v>
      </c>
      <c r="C32" s="699">
        <v>74760.611104244133</v>
      </c>
      <c r="D32" s="1934" t="s">
        <v>97</v>
      </c>
      <c r="E32" s="1938">
        <f t="shared" si="12"/>
        <v>69.900000000000006</v>
      </c>
      <c r="F32" s="1938">
        <f t="shared" si="13"/>
        <v>4.6066635537034388</v>
      </c>
      <c r="G32" s="1938">
        <f t="shared" si="13"/>
        <v>1.160473526922261</v>
      </c>
      <c r="H32" s="699">
        <v>5225.7667161866648</v>
      </c>
      <c r="I32" s="699">
        <v>0.34439698242651806</v>
      </c>
      <c r="J32" s="2921">
        <v>8.6757710043005726E-2</v>
      </c>
    </row>
    <row r="33" spans="2:10" ht="18" customHeight="1" x14ac:dyDescent="0.2">
      <c r="B33" s="282" t="s">
        <v>283</v>
      </c>
      <c r="C33" s="699">
        <v>34526.170618990735</v>
      </c>
      <c r="D33" s="1934" t="s">
        <v>97</v>
      </c>
      <c r="E33" s="1938">
        <f t="shared" si="12"/>
        <v>60.2</v>
      </c>
      <c r="F33" s="1938">
        <f t="shared" si="13"/>
        <v>27.951360290694932</v>
      </c>
      <c r="G33" s="1938">
        <f t="shared" si="13"/>
        <v>2.4542897852989491</v>
      </c>
      <c r="H33" s="699">
        <v>2078.4754712632425</v>
      </c>
      <c r="I33" s="699">
        <v>0.96505343442941571</v>
      </c>
      <c r="J33" s="2921">
        <v>8.4737227875677654E-2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41.940263530037328</v>
      </c>
      <c r="D36" s="1934" t="s">
        <v>97</v>
      </c>
      <c r="E36" s="1938">
        <f t="shared" si="14"/>
        <v>51.411918339265</v>
      </c>
      <c r="F36" s="1938">
        <f t="shared" si="15"/>
        <v>261</v>
      </c>
      <c r="G36" s="1938">
        <f t="shared" si="15"/>
        <v>1</v>
      </c>
      <c r="H36" s="699">
        <v>2.156229403733533</v>
      </c>
      <c r="I36" s="699">
        <v>1.0946408781339742E-2</v>
      </c>
      <c r="J36" s="2921">
        <v>4.1940263530037326E-5</v>
      </c>
    </row>
    <row r="37" spans="2:10" ht="18" customHeight="1" x14ac:dyDescent="0.2">
      <c r="B37" s="282" t="s">
        <v>249</v>
      </c>
      <c r="C37" s="699">
        <v>5965.3156313142008</v>
      </c>
      <c r="D37" s="1934" t="s">
        <v>97</v>
      </c>
      <c r="E37" s="1938">
        <f t="shared" si="14"/>
        <v>67.259999999999991</v>
      </c>
      <c r="F37" s="1938">
        <f t="shared" si="15"/>
        <v>26.207435105383222</v>
      </c>
      <c r="G37" s="1938">
        <f t="shared" si="15"/>
        <v>6.7532347754449669</v>
      </c>
      <c r="H37" s="699">
        <v>401.22712936219312</v>
      </c>
      <c r="I37" s="699">
        <v>0.15633562229079506</v>
      </c>
      <c r="J37" s="2921">
        <v>4.0285176967896505E-2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199760.13873551227</v>
      </c>
      <c r="D40" s="1934" t="s">
        <v>97</v>
      </c>
      <c r="E40" s="615"/>
      <c r="F40" s="615"/>
      <c r="G40" s="615"/>
      <c r="H40" s="1938">
        <f>IF(SUM(H41:H44,H46,H48)=0,"NO",SUM(H41:H44,H46,H48))</f>
        <v>13585.086065472087</v>
      </c>
      <c r="I40" s="1938">
        <f>IF(SUM(I41:I44,I46:I48)=0,"NO",SUM(I41:I44,I46:I48))</f>
        <v>2.2822314358052433</v>
      </c>
      <c r="J40" s="3064">
        <f>IF(SUM(J41:J44,J46:J48)=0,"NO",SUM(J41:J44,J46:J48))</f>
        <v>0.5264524928711759</v>
      </c>
    </row>
    <row r="41" spans="2:10" ht="18" customHeight="1" x14ac:dyDescent="0.2">
      <c r="B41" s="282" t="s">
        <v>281</v>
      </c>
      <c r="C41" s="699">
        <v>78014.613813567601</v>
      </c>
      <c r="D41" s="1934" t="s">
        <v>97</v>
      </c>
      <c r="E41" s="1938">
        <f t="shared" ref="E41:E43" si="17">IFERROR(H41*1000/$C41,"NA")</f>
        <v>67.400000000000034</v>
      </c>
      <c r="F41" s="1938">
        <f t="shared" ref="F41:G43" si="18">IFERROR(I41*1000000/$C41,"NA")</f>
        <v>11.416816748530797</v>
      </c>
      <c r="G41" s="1938">
        <f t="shared" si="18"/>
        <v>4.0761449355363313</v>
      </c>
      <c r="H41" s="699">
        <v>5258.1849710344586</v>
      </c>
      <c r="I41" s="699">
        <v>0.89067854961690074</v>
      </c>
      <c r="J41" s="2921">
        <v>0.31799887299399632</v>
      </c>
    </row>
    <row r="42" spans="2:10" ht="18" customHeight="1" x14ac:dyDescent="0.2">
      <c r="B42" s="282" t="s">
        <v>282</v>
      </c>
      <c r="C42" s="699">
        <v>108399.20605851254</v>
      </c>
      <c r="D42" s="1934" t="s">
        <v>97</v>
      </c>
      <c r="E42" s="1938">
        <f t="shared" si="17"/>
        <v>69.900000000000034</v>
      </c>
      <c r="F42" s="1938">
        <f t="shared" si="18"/>
        <v>9.4864889329510085</v>
      </c>
      <c r="G42" s="1938">
        <f t="shared" si="18"/>
        <v>1.5021765002874836</v>
      </c>
      <c r="H42" s="699">
        <v>7577.1045034900299</v>
      </c>
      <c r="I42" s="699">
        <v>1.0283278686147552</v>
      </c>
      <c r="J42" s="2921">
        <v>0.16283473999091816</v>
      </c>
    </row>
    <row r="43" spans="2:10" ht="18" customHeight="1" x14ac:dyDescent="0.2">
      <c r="B43" s="282" t="s">
        <v>283</v>
      </c>
      <c r="C43" s="699">
        <v>12401.513652815584</v>
      </c>
      <c r="D43" s="1934" t="s">
        <v>97</v>
      </c>
      <c r="E43" s="1938">
        <f t="shared" si="17"/>
        <v>60.199999999999996</v>
      </c>
      <c r="F43" s="1938">
        <f t="shared" si="18"/>
        <v>25.474732471479161</v>
      </c>
      <c r="G43" s="1938">
        <f t="shared" si="18"/>
        <v>2.8203859177891357</v>
      </c>
      <c r="H43" s="699">
        <v>746.57112189949805</v>
      </c>
      <c r="I43" s="699">
        <v>0.31592524254687326</v>
      </c>
      <c r="J43" s="2921">
        <v>3.497705446567078E-2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62.737768834366328</v>
      </c>
      <c r="D46" s="1934" t="s">
        <v>97</v>
      </c>
      <c r="E46" s="1938">
        <f t="shared" si="19"/>
        <v>51.411918339265014</v>
      </c>
      <c r="F46" s="1938">
        <f t="shared" si="20"/>
        <v>261.00000000000006</v>
      </c>
      <c r="G46" s="1938">
        <f t="shared" si="20"/>
        <v>1.0000000000000002</v>
      </c>
      <c r="H46" s="699">
        <v>3.2254690481001269</v>
      </c>
      <c r="I46" s="699">
        <v>1.6374557665769614E-2</v>
      </c>
      <c r="J46" s="2921">
        <v>6.2737768834366335E-5</v>
      </c>
    </row>
    <row r="47" spans="2:10" ht="18" customHeight="1" x14ac:dyDescent="0.2">
      <c r="B47" s="282" t="s">
        <v>249</v>
      </c>
      <c r="C47" s="699">
        <v>882.06744178218275</v>
      </c>
      <c r="D47" s="1934" t="s">
        <v>97</v>
      </c>
      <c r="E47" s="1938">
        <f t="shared" si="19"/>
        <v>67.260000000000005</v>
      </c>
      <c r="F47" s="1938">
        <f t="shared" si="20"/>
        <v>35.059923874371137</v>
      </c>
      <c r="G47" s="1938">
        <f t="shared" si="20"/>
        <v>11.993513364898368</v>
      </c>
      <c r="H47" s="699">
        <v>59.327856134269609</v>
      </c>
      <c r="I47" s="699">
        <v>3.0925217360944623E-2</v>
      </c>
      <c r="J47" s="2921">
        <v>1.0579087651756322E-2</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296274.10377372633</v>
      </c>
      <c r="D50" s="1934" t="s">
        <v>97</v>
      </c>
      <c r="E50" s="615"/>
      <c r="F50" s="615"/>
      <c r="G50" s="615"/>
      <c r="H50" s="1938">
        <f>IF(SUM(H51:H54,H56,H58)=0,"NO",SUM(H51:H54,H56,H58))</f>
        <v>20606.504309196316</v>
      </c>
      <c r="I50" s="1938">
        <f>IF(SUM(I51:I54,I56:I58)=0,"NO",SUM(I51:I54,I56:I58))</f>
        <v>1.6843788355349976</v>
      </c>
      <c r="J50" s="3064">
        <f>IF(SUM(J51:J54,J56:J58)=0,"NO",SUM(J51:J54,J56:J58))</f>
        <v>0.54715767200664722</v>
      </c>
    </row>
    <row r="51" spans="2:10" ht="18" customHeight="1" x14ac:dyDescent="0.2">
      <c r="B51" s="282" t="s">
        <v>281</v>
      </c>
      <c r="C51" s="699">
        <v>1806.459247483474</v>
      </c>
      <c r="D51" s="1934" t="s">
        <v>97</v>
      </c>
      <c r="E51" s="1938">
        <f t="shared" ref="E51:E53" si="22">IFERROR(H51*1000/$C51,"NA")</f>
        <v>67.40000000000002</v>
      </c>
      <c r="F51" s="1938">
        <f t="shared" ref="F51:G53" si="23">IFERROR(I51*1000000/$C51,"NA")</f>
        <v>18.416388986814997</v>
      </c>
      <c r="G51" s="1938">
        <f t="shared" si="23"/>
        <v>1.0402829382269076</v>
      </c>
      <c r="H51" s="699">
        <v>121.75535328038617</v>
      </c>
      <c r="I51" s="699">
        <v>3.3268456190484755E-2</v>
      </c>
      <c r="J51" s="2921">
        <v>1.8792287337592768E-3</v>
      </c>
    </row>
    <row r="52" spans="2:10" ht="18" customHeight="1" x14ac:dyDescent="0.2">
      <c r="B52" s="282" t="s">
        <v>282</v>
      </c>
      <c r="C52" s="699">
        <v>286971.49312531605</v>
      </c>
      <c r="D52" s="1934" t="s">
        <v>97</v>
      </c>
      <c r="E52" s="1938">
        <f t="shared" si="22"/>
        <v>69.90000000000002</v>
      </c>
      <c r="F52" s="1938">
        <f t="shared" si="23"/>
        <v>4.5800957071710604</v>
      </c>
      <c r="G52" s="1938">
        <f t="shared" si="23"/>
        <v>1.870185836255813</v>
      </c>
      <c r="H52" s="699">
        <v>20059.307369459595</v>
      </c>
      <c r="I52" s="699">
        <v>1.3143569037437295</v>
      </c>
      <c r="J52" s="2921">
        <v>0.53669002185214842</v>
      </c>
    </row>
    <row r="53" spans="2:10" ht="18" customHeight="1" x14ac:dyDescent="0.2">
      <c r="B53" s="282" t="s">
        <v>283</v>
      </c>
      <c r="C53" s="699">
        <v>4557.3157281936801</v>
      </c>
      <c r="D53" s="1934" t="s">
        <v>97</v>
      </c>
      <c r="E53" s="1938">
        <f t="shared" si="22"/>
        <v>60.20000000000001</v>
      </c>
      <c r="F53" s="1938">
        <f t="shared" si="23"/>
        <v>8.761971966897816</v>
      </c>
      <c r="G53" s="1938">
        <f t="shared" si="23"/>
        <v>1.2396739846342963</v>
      </c>
      <c r="H53" s="699">
        <v>274.35040683725958</v>
      </c>
      <c r="I53" s="699">
        <v>3.9931072654735528E-2</v>
      </c>
      <c r="J53" s="2921">
        <v>5.6495857480064098E-3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2938.835672733147</v>
      </c>
      <c r="D56" s="1934" t="s">
        <v>97</v>
      </c>
      <c r="E56" s="1938">
        <f t="shared" si="24"/>
        <v>51.411918339265</v>
      </c>
      <c r="F56" s="1938">
        <f t="shared" si="25"/>
        <v>101</v>
      </c>
      <c r="G56" s="1938">
        <f t="shared" si="25"/>
        <v>1</v>
      </c>
      <c r="H56" s="699">
        <v>151.09117961907546</v>
      </c>
      <c r="I56" s="699">
        <v>0.29682240294604784</v>
      </c>
      <c r="J56" s="2921">
        <v>2.9388356727331469E-3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4010.332075460869</v>
      </c>
      <c r="D60" s="1934" t="s">
        <v>97</v>
      </c>
      <c r="E60" s="615"/>
      <c r="F60" s="615"/>
      <c r="G60" s="615"/>
      <c r="H60" s="1938">
        <f>IF(SUM(H61:H64,H66,H68)=0,"NO",SUM(H61:H64,H66,H68))</f>
        <v>270.31818426492771</v>
      </c>
      <c r="I60" s="1938">
        <f>IF(SUM(I61:I64,I66:I68)=0,"NO",SUM(I61:I64,I66:I68))</f>
        <v>0.29784691919485218</v>
      </c>
      <c r="J60" s="3064">
        <f>IF(SUM(J61:J64,J66:J68)=0,"NO",SUM(J61:J64,J66:J68))</f>
        <v>3.9712922559313633E-3</v>
      </c>
    </row>
    <row r="61" spans="2:10" ht="18" customHeight="1" x14ac:dyDescent="0.2">
      <c r="B61" s="282" t="s">
        <v>281</v>
      </c>
      <c r="C61" s="699">
        <v>4006.6367570091525</v>
      </c>
      <c r="D61" s="1934" t="s">
        <v>97</v>
      </c>
      <c r="E61" s="1938">
        <f t="shared" ref="E61:E63" si="27">IFERROR(H61*1000/$C61,"NA")</f>
        <v>67.400000000000006</v>
      </c>
      <c r="F61" s="1938">
        <f t="shared" ref="F61:G63" si="28">IFERROR(I61*1000000/$C61,"NA")</f>
        <v>74.338388343740689</v>
      </c>
      <c r="G61" s="1938">
        <f t="shared" si="28"/>
        <v>0.9911785112498761</v>
      </c>
      <c r="H61" s="699">
        <v>270.04731742241688</v>
      </c>
      <c r="I61" s="699">
        <v>0.29784691919485218</v>
      </c>
      <c r="J61" s="2921">
        <v>3.9712922559313633E-3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3.6953184517165996</v>
      </c>
      <c r="D68" s="1934" t="s">
        <v>97</v>
      </c>
      <c r="E68" s="615"/>
      <c r="F68" s="615"/>
      <c r="G68" s="615"/>
      <c r="H68" s="1938">
        <f>H69</f>
        <v>0.27086684251082671</v>
      </c>
      <c r="I68" s="1938" t="str">
        <f>I69</f>
        <v>NE</v>
      </c>
      <c r="J68" s="3064" t="str">
        <f>J69</f>
        <v>NE</v>
      </c>
    </row>
    <row r="69" spans="2:10" ht="18" customHeight="1" x14ac:dyDescent="0.2">
      <c r="B69" s="3083" t="s">
        <v>297</v>
      </c>
      <c r="C69" s="699">
        <v>3.6953184517165996</v>
      </c>
      <c r="D69" s="1934" t="s">
        <v>97</v>
      </c>
      <c r="E69" s="3081">
        <f t="shared" ref="E69" si="31">IFERROR(H69*1000/$C69,"NA")</f>
        <v>73.299999999999983</v>
      </c>
      <c r="F69" s="3081" t="str">
        <f>IFERROR(I69*1000000/$C69,"NA")</f>
        <v>NA</v>
      </c>
      <c r="G69" s="3081" t="str">
        <f>IFERROR(J69*1000000/$C69,"NA")</f>
        <v>NA</v>
      </c>
      <c r="H69" s="699">
        <v>0.27086684251082671</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41796.205000000002</v>
      </c>
      <c r="D81" s="1934" t="s">
        <v>97</v>
      </c>
      <c r="E81" s="615"/>
      <c r="F81" s="615"/>
      <c r="G81" s="615"/>
      <c r="H81" s="1938">
        <f>IF(SUM(H82:H84,H86)=0,"NO",SUM(H82:H84,H86))</f>
        <v>2921.5628880000004</v>
      </c>
      <c r="I81" s="1938">
        <f>IF(SUM(I82:I86)=0,"NO",SUM(I82:I86))</f>
        <v>0.16717599999999999</v>
      </c>
      <c r="J81" s="3064">
        <f>IF(SUM(J82:J86)=0,"NO",SUM(J82:J86))</f>
        <v>1.2538200000000002</v>
      </c>
    </row>
    <row r="82" spans="2:10" ht="18" customHeight="1" x14ac:dyDescent="0.2">
      <c r="B82" s="282" t="s">
        <v>243</v>
      </c>
      <c r="C82" s="699">
        <v>41796.205000000002</v>
      </c>
      <c r="D82" s="1934" t="s">
        <v>97</v>
      </c>
      <c r="E82" s="1938">
        <f t="shared" ref="E82:E85" si="37">IFERROR(H82*1000/$C82,"NA")</f>
        <v>69.900195197147681</v>
      </c>
      <c r="F82" s="1938">
        <f t="shared" ref="F82:G85" si="38">IFERROR(I82*1000000/$C82,"NA")</f>
        <v>3.9997889760565579</v>
      </c>
      <c r="G82" s="1938">
        <f t="shared" si="38"/>
        <v>29.998417320424192</v>
      </c>
      <c r="H82" s="699">
        <v>2921.5628880000004</v>
      </c>
      <c r="I82" s="699">
        <v>0.16717599999999999</v>
      </c>
      <c r="J82" s="2921">
        <v>1.2538200000000002</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20924.464367336095</v>
      </c>
      <c r="D88" s="1934" t="s">
        <v>97</v>
      </c>
      <c r="E88" s="615"/>
      <c r="F88" s="615"/>
      <c r="G88" s="615"/>
      <c r="H88" s="1938">
        <f>IF(SUM(H89:H92,H94,H96)=0,"NO",SUM(H89:H92,H94,H96))</f>
        <v>1428.8332128626528</v>
      </c>
      <c r="I88" s="3299">
        <f>IF(SUM(I89:I92,I94:I96)=0,"NE",SUM(I89:I92,I94:I96))</f>
        <v>4.628218174838798</v>
      </c>
      <c r="J88" s="3300">
        <f>IF(SUM(J89:J92,J94:J96)=0,"NE",SUM(J89:J92,J94:J96))</f>
        <v>2.8487920038979091E-2</v>
      </c>
    </row>
    <row r="89" spans="2:10" ht="18" customHeight="1" x14ac:dyDescent="0.2">
      <c r="B89" s="282" t="s">
        <v>306</v>
      </c>
      <c r="C89" s="699">
        <v>2000</v>
      </c>
      <c r="D89" s="1934" t="s">
        <v>97</v>
      </c>
      <c r="E89" s="1938">
        <f t="shared" ref="E89:E91" si="40">IFERROR(H89*1000/$C89,"NA")</f>
        <v>73.599999999999994</v>
      </c>
      <c r="F89" s="1938">
        <f t="shared" ref="F89:G91" si="41">IFERROR(I89*1000000/$C89,"NA")</f>
        <v>7</v>
      </c>
      <c r="G89" s="1938">
        <f t="shared" si="41"/>
        <v>2</v>
      </c>
      <c r="H89" s="699">
        <v>147.19999999999999</v>
      </c>
      <c r="I89" s="4435">
        <v>1.4E-2</v>
      </c>
      <c r="J89" s="4436">
        <v>4.0000000000000001E-3</v>
      </c>
    </row>
    <row r="90" spans="2:10" ht="18" customHeight="1" x14ac:dyDescent="0.2">
      <c r="B90" s="282" t="s">
        <v>307</v>
      </c>
      <c r="C90" s="699">
        <v>6322.7612142910257</v>
      </c>
      <c r="D90" s="1934" t="s">
        <v>97</v>
      </c>
      <c r="E90" s="1938">
        <f t="shared" si="40"/>
        <v>69.900000000000006</v>
      </c>
      <c r="F90" s="1938">
        <f t="shared" si="41"/>
        <v>7.0000000000000009</v>
      </c>
      <c r="G90" s="1938">
        <f t="shared" si="41"/>
        <v>2</v>
      </c>
      <c r="H90" s="699">
        <v>441.96100887894272</v>
      </c>
      <c r="I90" s="4435">
        <v>4.4259328500037186E-2</v>
      </c>
      <c r="J90" s="4436">
        <v>1.2645522428582051E-2</v>
      </c>
    </row>
    <row r="91" spans="2:10" ht="18" customHeight="1" x14ac:dyDescent="0.2">
      <c r="B91" s="282" t="s">
        <v>281</v>
      </c>
      <c r="C91" s="699">
        <v>12379.999999999998</v>
      </c>
      <c r="D91" s="1934" t="s">
        <v>97</v>
      </c>
      <c r="E91" s="1938">
        <f t="shared" si="40"/>
        <v>67.400000000000006</v>
      </c>
      <c r="F91" s="1938">
        <f t="shared" si="41"/>
        <v>360</v>
      </c>
      <c r="G91" s="1938">
        <f t="shared" si="41"/>
        <v>0.90000000000000013</v>
      </c>
      <c r="H91" s="699">
        <v>834.41200000000003</v>
      </c>
      <c r="I91" s="4435">
        <v>4.4567999999999994</v>
      </c>
      <c r="J91" s="4436">
        <v>1.1142000000000001E-2</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100.00000000000001</v>
      </c>
      <c r="D94" s="1934" t="s">
        <v>97</v>
      </c>
      <c r="E94" s="1938">
        <f t="shared" ref="E94:E95" si="44">IFERROR(H94*1000/$C94,"NA")</f>
        <v>51.411918339265007</v>
      </c>
      <c r="F94" s="1938">
        <f t="shared" si="43"/>
        <v>243.00000000000003</v>
      </c>
      <c r="G94" s="1938">
        <f t="shared" si="43"/>
        <v>1</v>
      </c>
      <c r="H94" s="699">
        <v>5.1411918339265013</v>
      </c>
      <c r="I94" s="3301">
        <v>2.4300000000000006E-2</v>
      </c>
      <c r="J94" s="3302">
        <v>1.0000000000000002E-4</v>
      </c>
    </row>
    <row r="95" spans="2:10" ht="18" customHeight="1" x14ac:dyDescent="0.2">
      <c r="B95" s="282" t="s">
        <v>249</v>
      </c>
      <c r="C95" s="699">
        <v>120.07952207940721</v>
      </c>
      <c r="D95" s="1934" t="s">
        <v>97</v>
      </c>
      <c r="E95" s="1938">
        <f t="shared" si="44"/>
        <v>67.260000000000005</v>
      </c>
      <c r="F95" s="1938">
        <f t="shared" si="43"/>
        <v>740.00000000000011</v>
      </c>
      <c r="G95" s="1938">
        <f t="shared" si="43"/>
        <v>5.0000000000000009</v>
      </c>
      <c r="H95" s="699">
        <v>8.0765486550609307</v>
      </c>
      <c r="I95" s="3301">
        <v>8.8858846338761344E-2</v>
      </c>
      <c r="J95" s="3302">
        <v>6.003976103970361E-4</v>
      </c>
    </row>
    <row r="96" spans="2:10" ht="18" customHeight="1" x14ac:dyDescent="0.2">
      <c r="B96" s="282" t="s">
        <v>299</v>
      </c>
      <c r="C96" s="1938">
        <f>IF(SUM(C97:C98)=0,"NO",SUM(C97:C98))</f>
        <v>1.6236309656680132</v>
      </c>
      <c r="D96" s="1934" t="s">
        <v>97</v>
      </c>
      <c r="E96" s="615"/>
      <c r="F96" s="615"/>
      <c r="G96" s="615"/>
      <c r="H96" s="1938">
        <f>IF(SUM(H97:H98)=0,"NO",SUM(H97:H98))</f>
        <v>0.11901214978346535</v>
      </c>
      <c r="I96" s="3299" t="str">
        <f>IF(SUM(I97:I98)=0,"NE",SUM(I97:I98))</f>
        <v>NE</v>
      </c>
      <c r="J96" s="3300" t="str">
        <f>IF(SUM(J97:J98)=0,"NE",SUM(J97:J98))</f>
        <v>NE</v>
      </c>
    </row>
    <row r="97" spans="2:10" ht="18" customHeight="1" x14ac:dyDescent="0.2">
      <c r="B97" s="2592" t="s">
        <v>309</v>
      </c>
      <c r="C97" s="699" t="s">
        <v>199</v>
      </c>
      <c r="D97" s="1934" t="s">
        <v>97</v>
      </c>
      <c r="E97" s="3081" t="str">
        <f t="shared" ref="E97" si="45">IFERROR(H97*1000/$C97,"NA")</f>
        <v>NA</v>
      </c>
      <c r="F97" s="3081" t="str">
        <f>IFERROR(I97*1000000/$C97,"NA")</f>
        <v>NA</v>
      </c>
      <c r="G97" s="3081" t="str">
        <f>IFERROR(J97*1000000/$C97,"NA")</f>
        <v>NA</v>
      </c>
      <c r="H97" s="699" t="s">
        <v>199</v>
      </c>
      <c r="I97" s="3301" t="s">
        <v>199</v>
      </c>
      <c r="J97" s="3302" t="s">
        <v>199</v>
      </c>
    </row>
    <row r="98" spans="2:10" ht="18" customHeight="1" x14ac:dyDescent="0.2">
      <c r="B98" s="2592" t="s">
        <v>297</v>
      </c>
      <c r="C98" s="699">
        <v>1.6236309656680132</v>
      </c>
      <c r="D98" s="1934" t="s">
        <v>97</v>
      </c>
      <c r="E98" s="3081">
        <f t="shared" ref="E98" si="46">IFERROR(H98*1000/$C98,"NA")</f>
        <v>73.299999999999983</v>
      </c>
      <c r="F98" s="3081" t="str">
        <f>IFERROR(I98*1000000/$C98,"NA")</f>
        <v>NA</v>
      </c>
      <c r="G98" s="3081" t="str">
        <f>IFERROR(J98*1000000/$C98,"NA")</f>
        <v>NA</v>
      </c>
      <c r="H98" s="699">
        <v>0.11901214978346535</v>
      </c>
      <c r="I98" s="3301" t="s">
        <v>221</v>
      </c>
      <c r="J98" s="3302" t="s">
        <v>221</v>
      </c>
    </row>
    <row r="99" spans="2:10" ht="18" customHeight="1" x14ac:dyDescent="0.2">
      <c r="B99" s="1240" t="s">
        <v>310</v>
      </c>
      <c r="C99" s="1938">
        <f>IF(SUM(C100:C104)=0,"NO",SUM(C100:C104))</f>
        <v>11321.303132492227</v>
      </c>
      <c r="D99" s="1934" t="s">
        <v>97</v>
      </c>
      <c r="E99" s="615"/>
      <c r="F99" s="615"/>
      <c r="G99" s="615"/>
      <c r="H99" s="1938">
        <f>IF(SUM(H100:H103)=0,"NO",SUM(H100:H103))</f>
        <v>592.22202042167487</v>
      </c>
      <c r="I99" s="1938">
        <f>IF(SUM(I100:I104)=0,"NO",SUM(I100:I104))</f>
        <v>0.12147310963556687</v>
      </c>
      <c r="J99" s="3064">
        <f>IF(SUM(J100:J104)=0,"NO",SUM(J100:J104))</f>
        <v>1.2161036585989758E-3</v>
      </c>
    </row>
    <row r="100" spans="2:10" ht="18" customHeight="1" x14ac:dyDescent="0.2">
      <c r="B100" s="282" t="s">
        <v>243</v>
      </c>
      <c r="C100" s="1938">
        <f>IF(SUM(C106,C113:C116)=0,"NO",SUM(C106,C113:C116))</f>
        <v>643.98806171866192</v>
      </c>
      <c r="D100" s="1934" t="s">
        <v>97</v>
      </c>
      <c r="E100" s="3081">
        <f t="shared" ref="E100:E104" si="47">IFERROR(H100*1000/$C100,"NA")</f>
        <v>67.40000000000002</v>
      </c>
      <c r="F100" s="3081">
        <f t="shared" ref="F100:G104" si="48">IFERROR(I100*1000000/$C100,"NA")</f>
        <v>50.000000000000014</v>
      </c>
      <c r="G100" s="3081">
        <f t="shared" si="48"/>
        <v>0.19999999999999998</v>
      </c>
      <c r="H100" s="1938">
        <f>IF(SUM(H106,H113:H116)=0,"NO",SUM(H106,H113:H116))</f>
        <v>43.40479535983782</v>
      </c>
      <c r="I100" s="1938">
        <f>IF(SUM(I106,I113:I116)=0,"NO",SUM(I106,I113:I116))</f>
        <v>3.2199403085933102E-2</v>
      </c>
      <c r="J100" s="3064">
        <f>IF(SUM(J106,J113:J116)=0,"NO",SUM(J106,J113:J116))</f>
        <v>1.2879761234373238E-4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10659.097</v>
      </c>
      <c r="D102" s="1934" t="s">
        <v>97</v>
      </c>
      <c r="E102" s="3081">
        <f t="shared" si="47"/>
        <v>51.411918339264993</v>
      </c>
      <c r="F102" s="3081">
        <f t="shared" si="48"/>
        <v>7.84474885844749</v>
      </c>
      <c r="G102" s="3081">
        <f t="shared" si="48"/>
        <v>9.9999999999999992E-2</v>
      </c>
      <c r="H102" s="1938">
        <f t="shared" si="49"/>
        <v>548.00462453430453</v>
      </c>
      <c r="I102" s="1938">
        <f t="shared" si="49"/>
        <v>8.3617939022831073E-2</v>
      </c>
      <c r="J102" s="3064">
        <f t="shared" si="49"/>
        <v>1.0659096999999999E-3</v>
      </c>
    </row>
    <row r="103" spans="2:10" ht="18" customHeight="1" x14ac:dyDescent="0.2">
      <c r="B103" s="282" t="s">
        <v>290</v>
      </c>
      <c r="C103" s="1938">
        <f>IF(SUM(C109,C120)=0,"NO",SUM(C109,C120))</f>
        <v>11.085955355149798</v>
      </c>
      <c r="D103" s="1934" t="s">
        <v>97</v>
      </c>
      <c r="E103" s="3081">
        <f t="shared" si="47"/>
        <v>73.3</v>
      </c>
      <c r="F103" s="3081" t="str">
        <f t="shared" si="48"/>
        <v>NA</v>
      </c>
      <c r="G103" s="3081" t="str">
        <f t="shared" si="48"/>
        <v>NA</v>
      </c>
      <c r="H103" s="1938">
        <f t="shared" si="49"/>
        <v>0.81260052753248013</v>
      </c>
      <c r="I103" s="1938" t="str">
        <f t="shared" si="49"/>
        <v>NO</v>
      </c>
      <c r="J103" s="3064" t="str">
        <f t="shared" si="49"/>
        <v>NO</v>
      </c>
    </row>
    <row r="104" spans="2:10" ht="18" customHeight="1" x14ac:dyDescent="0.2">
      <c r="B104" s="282" t="s">
        <v>249</v>
      </c>
      <c r="C104" s="1938">
        <f>IF(SUM(C110,C121)=0,"NO",SUM(C110,C121))</f>
        <v>7.1321154184144993</v>
      </c>
      <c r="D104" s="1934" t="s">
        <v>97</v>
      </c>
      <c r="E104" s="3081">
        <f t="shared" si="47"/>
        <v>67.260000000000005</v>
      </c>
      <c r="F104" s="3081">
        <f t="shared" si="48"/>
        <v>793</v>
      </c>
      <c r="G104" s="3081">
        <f t="shared" si="48"/>
        <v>2.9999999999999996</v>
      </c>
      <c r="H104" s="1938">
        <f t="shared" si="49"/>
        <v>0.47970608304255929</v>
      </c>
      <c r="I104" s="1938">
        <f t="shared" si="49"/>
        <v>5.6557675268026977E-3</v>
      </c>
      <c r="J104" s="3064">
        <f t="shared" si="49"/>
        <v>2.1396346255243495E-5</v>
      </c>
    </row>
    <row r="105" spans="2:10" ht="18" customHeight="1" x14ac:dyDescent="0.2">
      <c r="B105" s="1243" t="s">
        <v>311</v>
      </c>
      <c r="C105" s="1938">
        <f>IF(SUM(C106:C110)=0,"NO",SUM(C106:C110))</f>
        <v>10659.097</v>
      </c>
      <c r="D105" s="1934" t="s">
        <v>97</v>
      </c>
      <c r="E105" s="615"/>
      <c r="F105" s="615"/>
      <c r="G105" s="615"/>
      <c r="H105" s="1938">
        <f>IF(SUM(H106:H109)=0,"NO",SUM(H106:H109))</f>
        <v>548.00462453430453</v>
      </c>
      <c r="I105" s="1938">
        <f>IF(SUM(I106:I110)=0,"NO",SUM(I106:I110))</f>
        <v>8.3617939022831073E-2</v>
      </c>
      <c r="J105" s="3064">
        <f>IF(SUM(J106:J110)=0,"NO",SUM(J106:J110))</f>
        <v>1.0659096999999999E-3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10659.097</v>
      </c>
      <c r="D108" s="1934" t="s">
        <v>97</v>
      </c>
      <c r="E108" s="3081">
        <f t="shared" si="50"/>
        <v>51.411918339264993</v>
      </c>
      <c r="F108" s="3081">
        <f t="shared" si="51"/>
        <v>7.84474885844749</v>
      </c>
      <c r="G108" s="3081">
        <f t="shared" si="51"/>
        <v>9.9999999999999992E-2</v>
      </c>
      <c r="H108" s="699">
        <v>548.00462453430453</v>
      </c>
      <c r="I108" s="699">
        <v>8.3617939022831073E-2</v>
      </c>
      <c r="J108" s="2921">
        <v>1.0659096999999999E-3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662.20613249222629</v>
      </c>
      <c r="D111" s="1934" t="s">
        <v>97</v>
      </c>
      <c r="E111" s="615"/>
      <c r="F111" s="615"/>
      <c r="G111" s="615"/>
      <c r="H111" s="1938">
        <f>H112</f>
        <v>44.217395887370301</v>
      </c>
      <c r="I111" s="1938">
        <f>I112</f>
        <v>3.78551706127358E-2</v>
      </c>
      <c r="J111" s="3064">
        <f>J112</f>
        <v>1.5019395859897588E-4</v>
      </c>
    </row>
    <row r="112" spans="2:10" ht="18" customHeight="1" x14ac:dyDescent="0.2">
      <c r="B112" s="3068" t="s">
        <v>313</v>
      </c>
      <c r="C112" s="3077">
        <f>IF(SUM(C113:C116,C118:C121)=0,"NO",SUM(C113:C116,C118:C121))</f>
        <v>662.20613249222629</v>
      </c>
      <c r="D112" s="3077" t="s">
        <v>97</v>
      </c>
      <c r="E112" s="615"/>
      <c r="F112" s="615"/>
      <c r="G112" s="615"/>
      <c r="H112" s="3077">
        <f>IF(SUM(H113:H116,H118:H120)=0,"NO",SUM(H113:H116,H118:H120))</f>
        <v>44.217395887370301</v>
      </c>
      <c r="I112" s="3077">
        <f>IF(SUM(I113:I116,I118:I121)=0,"NO",SUM(I113:I116,I118:I121))</f>
        <v>3.78551706127358E-2</v>
      </c>
      <c r="J112" s="3078">
        <f>IF(SUM(J113:J116,J118:J121)=0,"NO",SUM(J113:J116,J118:J121))</f>
        <v>1.5019395859897588E-4</v>
      </c>
    </row>
    <row r="113" spans="2:10" ht="18" customHeight="1" x14ac:dyDescent="0.2">
      <c r="B113" s="282" t="s">
        <v>281</v>
      </c>
      <c r="C113" s="699">
        <v>643.98806171866192</v>
      </c>
      <c r="D113" s="1938" t="s">
        <v>97</v>
      </c>
      <c r="E113" s="1938">
        <f t="shared" ref="E113:E115" si="52">IFERROR(H113*1000/$C113,"NA")</f>
        <v>67.40000000000002</v>
      </c>
      <c r="F113" s="1938">
        <f t="shared" ref="F113:G115" si="53">IFERROR(I113*1000000/$C113,"NA")</f>
        <v>50.000000000000014</v>
      </c>
      <c r="G113" s="1938">
        <f t="shared" si="53"/>
        <v>0.19999999999999998</v>
      </c>
      <c r="H113" s="699">
        <v>43.40479535983782</v>
      </c>
      <c r="I113" s="699">
        <v>3.2199403085933102E-2</v>
      </c>
      <c r="J113" s="2921">
        <v>1.2879761234373238E-4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11.085955355149798</v>
      </c>
      <c r="D120" s="1934" t="s">
        <v>97</v>
      </c>
      <c r="E120" s="3081">
        <f t="shared" si="54"/>
        <v>73.3</v>
      </c>
      <c r="F120" s="3081" t="str">
        <f t="shared" si="55"/>
        <v>NA</v>
      </c>
      <c r="G120" s="3081" t="str">
        <f t="shared" si="55"/>
        <v>NA</v>
      </c>
      <c r="H120" s="699">
        <v>0.81260052753248013</v>
      </c>
      <c r="I120" s="699" t="s">
        <v>221</v>
      </c>
      <c r="J120" s="2921" t="s">
        <v>221</v>
      </c>
    </row>
    <row r="121" spans="2:10" ht="18" customHeight="1" thickBot="1" x14ac:dyDescent="0.25">
      <c r="B121" s="2210" t="s">
        <v>249</v>
      </c>
      <c r="C121" s="1562">
        <v>7.1321154184144993</v>
      </c>
      <c r="D121" s="2891" t="s">
        <v>97</v>
      </c>
      <c r="E121" s="3082">
        <f t="shared" si="54"/>
        <v>67.260000000000005</v>
      </c>
      <c r="F121" s="3082">
        <f t="shared" si="55"/>
        <v>793</v>
      </c>
      <c r="G121" s="3082">
        <f t="shared" si="55"/>
        <v>2.9999999999999996</v>
      </c>
      <c r="H121" s="1562">
        <v>0.47970608304255929</v>
      </c>
      <c r="I121" s="1562">
        <v>5.6557675268026977E-3</v>
      </c>
      <c r="J121" s="1564">
        <v>2.1396346255243495E-5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414003.56856665615</v>
      </c>
      <c r="D10" s="3087" t="s">
        <v>97</v>
      </c>
      <c r="E10" s="2161"/>
      <c r="F10" s="2161"/>
      <c r="G10" s="2161"/>
      <c r="H10" s="3087">
        <f>IF(SUM(H11:H15)=0,"NO",SUM(H11:H15))</f>
        <v>21040.688190571178</v>
      </c>
      <c r="I10" s="3087">
        <f>IF(SUM(I11:I16)=0,"NO",SUM(I11:I16))</f>
        <v>39.276417338321799</v>
      </c>
      <c r="J10" s="3087">
        <f>IF(SUM(J11:J16)=0,"NO",SUM(J11:J16))</f>
        <v>0.67625281011968374</v>
      </c>
      <c r="K10" s="416" t="str">
        <f>IF(SUM(K11:K16)=0,"NO",SUM(K11:K16))</f>
        <v>NO</v>
      </c>
    </row>
    <row r="11" spans="2:12" ht="18" customHeight="1" x14ac:dyDescent="0.2">
      <c r="B11" s="282" t="s">
        <v>243</v>
      </c>
      <c r="C11" s="1938">
        <f>IF(SUM(C18,C39,C60)=0,"NO",SUM(C18,C39,C60))</f>
        <v>151177.51918284732</v>
      </c>
      <c r="D11" s="3087" t="s">
        <v>97</v>
      </c>
      <c r="E11" s="1938">
        <f t="shared" ref="E11:E16" si="0">IFERROR(H11*1000/$C11,"NA")</f>
        <v>68.256359967275628</v>
      </c>
      <c r="F11" s="1938">
        <f t="shared" ref="F11:G16" si="1">IFERROR(I11*1000000/$C11,"NA")</f>
        <v>9.3767364344766513</v>
      </c>
      <c r="G11" s="1938">
        <f t="shared" si="1"/>
        <v>2.5512327265150039</v>
      </c>
      <c r="H11" s="1938">
        <f>IF(SUM(H18,H39,H60)=0,"NO",SUM(H18,H39,H60))</f>
        <v>10318.827168304144</v>
      </c>
      <c r="I11" s="1938">
        <f>IF(SUM(I18,I39,I60)=0,"NO",SUM(I18,I39,I60))</f>
        <v>1.4175517521955974</v>
      </c>
      <c r="J11" s="1938">
        <f>IF(SUM(J18,J39,J60)=0,"NO",SUM(J18,J39,J60))</f>
        <v>0.38568903445262986</v>
      </c>
      <c r="K11" s="3064" t="str">
        <f>IF(SUM(K18,K39,K60)=0,"NO",SUM(K18,K39,K60))</f>
        <v>NO</v>
      </c>
    </row>
    <row r="12" spans="2:12" ht="18" customHeight="1" x14ac:dyDescent="0.2">
      <c r="B12" s="282" t="s">
        <v>245</v>
      </c>
      <c r="C12" s="1938">
        <f t="shared" ref="C12:C16" si="2">IF(SUM(C19,C40,C61)=0,"NO",SUM(C19,C40,C61))</f>
        <v>943.75732875510289</v>
      </c>
      <c r="D12" s="3087" t="s">
        <v>97</v>
      </c>
      <c r="E12" s="1938">
        <f t="shared" si="0"/>
        <v>94.408091454801095</v>
      </c>
      <c r="F12" s="1938">
        <f t="shared" si="1"/>
        <v>0.95238095238095211</v>
      </c>
      <c r="G12" s="1938">
        <f t="shared" si="1"/>
        <v>0.66666666666666652</v>
      </c>
      <c r="H12" s="1938">
        <f t="shared" ref="H12:K16" si="3">IF(SUM(H19,H40,H61)=0,"NO",SUM(H19,H40,H61))</f>
        <v>89.098328204250535</v>
      </c>
      <c r="I12" s="1938">
        <f t="shared" si="3"/>
        <v>8.9881650357628829E-4</v>
      </c>
      <c r="J12" s="1938">
        <f t="shared" si="3"/>
        <v>6.2917155250340185E-4</v>
      </c>
      <c r="K12" s="3064" t="str">
        <f t="shared" si="3"/>
        <v>NO</v>
      </c>
    </row>
    <row r="13" spans="2:12" ht="18" customHeight="1" x14ac:dyDescent="0.2">
      <c r="B13" s="282" t="s">
        <v>246</v>
      </c>
      <c r="C13" s="1938">
        <f t="shared" si="2"/>
        <v>206796.60631539539</v>
      </c>
      <c r="D13" s="3087" t="s">
        <v>97</v>
      </c>
      <c r="E13" s="1938">
        <f t="shared" si="0"/>
        <v>51.41652410797424</v>
      </c>
      <c r="F13" s="1938">
        <f t="shared" si="1"/>
        <v>0.90909090909090895</v>
      </c>
      <c r="G13" s="1938">
        <f t="shared" si="1"/>
        <v>0.90909090909090895</v>
      </c>
      <c r="H13" s="1938">
        <f t="shared" si="3"/>
        <v>10632.762694062785</v>
      </c>
      <c r="I13" s="1938">
        <f t="shared" si="3"/>
        <v>0.18799691483217759</v>
      </c>
      <c r="J13" s="1938">
        <f t="shared" si="3"/>
        <v>0.18799691483217759</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55085.68573965838</v>
      </c>
      <c r="D16" s="3087" t="s">
        <v>97</v>
      </c>
      <c r="E16" s="1938">
        <f t="shared" si="0"/>
        <v>76.767167725442022</v>
      </c>
      <c r="F16" s="1938">
        <f t="shared" si="1"/>
        <v>683.8431681294353</v>
      </c>
      <c r="G16" s="1938">
        <f t="shared" si="1"/>
        <v>1.850529550710192</v>
      </c>
      <c r="H16" s="1938">
        <f t="shared" si="3"/>
        <v>4228.7720764473443</v>
      </c>
      <c r="I16" s="1938">
        <f t="shared" si="3"/>
        <v>37.669969854790445</v>
      </c>
      <c r="J16" s="1938">
        <f t="shared" si="3"/>
        <v>0.10193768928237286</v>
      </c>
      <c r="K16" s="3064" t="str">
        <f t="shared" si="3"/>
        <v>NO</v>
      </c>
    </row>
    <row r="17" spans="2:11" ht="18" customHeight="1" x14ac:dyDescent="0.2">
      <c r="B17" s="1240" t="s">
        <v>322</v>
      </c>
      <c r="C17" s="3087">
        <f>IF(SUM(C18:C23)=0,"NO",SUM(C18:C23))</f>
        <v>94214.257085866702</v>
      </c>
      <c r="D17" s="3087" t="s">
        <v>97</v>
      </c>
      <c r="E17" s="615"/>
      <c r="F17" s="615"/>
      <c r="G17" s="615"/>
      <c r="H17" s="3057">
        <f>IF(SUM(H18:H22)=0,"NO",SUM(H18:H22))</f>
        <v>5452.2667571034799</v>
      </c>
      <c r="I17" s="3057">
        <f>IF(SUM(I18:I23)=0,"NO",SUM(I18:I23))</f>
        <v>0.12028741094565343</v>
      </c>
      <c r="J17" s="3088">
        <f>IF(SUM(J18:J23)=0,"NO",SUM(J18:J23))</f>
        <v>9.9708299838268885E-2</v>
      </c>
      <c r="K17" s="3064" t="str">
        <f>IF(SUM(K18:K23)=0,"NO",SUM(K18:K23))</f>
        <v>NO</v>
      </c>
    </row>
    <row r="18" spans="2:11" ht="18" customHeight="1" x14ac:dyDescent="0.2">
      <c r="B18" s="282" t="s">
        <v>243</v>
      </c>
      <c r="C18" s="3087">
        <f>IF(SUM(C26,C33)=0,"NO",SUM(C26,C33))</f>
        <v>39993.45134190136</v>
      </c>
      <c r="D18" s="3087" t="s">
        <v>97</v>
      </c>
      <c r="E18" s="1938">
        <f t="shared" ref="E18" si="4">IFERROR(H18*1000/$C18,"NA")</f>
        <v>68.495657836435939</v>
      </c>
      <c r="F18" s="1938">
        <f t="shared" ref="F18:G23" si="5">IFERROR(I18*1000000/$C18,"NA")</f>
        <v>1.6927656458601708</v>
      </c>
      <c r="G18" s="1938">
        <f t="shared" si="5"/>
        <v>1.2300033265387305</v>
      </c>
      <c r="H18" s="3087">
        <f>IF(SUM(H26,H33)=0,"NO",SUM(H26,H33))</f>
        <v>2739.3777588130256</v>
      </c>
      <c r="I18" s="3087">
        <f>IF(SUM(I26,I33)=0,"NO",SUM(I26,I33))</f>
        <v>6.7699540490950963E-2</v>
      </c>
      <c r="J18" s="3087">
        <f>IF(SUM(J26,J33)=0,"NO",SUM(J26,J33))</f>
        <v>4.9192078190303523E-2</v>
      </c>
      <c r="K18" s="3064" t="str">
        <f>IF(SUM(K26,K33)=0,"NO",SUM(K26,K33))</f>
        <v>NO</v>
      </c>
    </row>
    <row r="19" spans="2:11" ht="18" customHeight="1" x14ac:dyDescent="0.2">
      <c r="B19" s="282" t="s">
        <v>245</v>
      </c>
      <c r="C19" s="3087">
        <f t="shared" ref="C19:C21" si="6">IF(SUM(C27,C34)=0,"NO",SUM(C27,C34))</f>
        <v>926.6078882850743</v>
      </c>
      <c r="D19" s="3087" t="s">
        <v>97</v>
      </c>
      <c r="E19" s="1938">
        <f t="shared" ref="E19:E23" si="7">IFERROR(H19*1000/$C19,"NA")</f>
        <v>94.397136550911412</v>
      </c>
      <c r="F19" s="1938">
        <f t="shared" si="5"/>
        <v>0.95238095238095222</v>
      </c>
      <c r="G19" s="1938">
        <f t="shared" si="5"/>
        <v>0.66666666666666652</v>
      </c>
      <c r="H19" s="3087">
        <f t="shared" ref="H19:K21" si="8">IF(SUM(H27,H34)=0,"NO",SUM(H27,H34))</f>
        <v>87.469131359597824</v>
      </c>
      <c r="I19" s="3087">
        <f t="shared" si="8"/>
        <v>8.8248370312864199E-4</v>
      </c>
      <c r="J19" s="3087">
        <f t="shared" si="8"/>
        <v>6.1773859219004944E-4</v>
      </c>
      <c r="K19" s="3064" t="str">
        <f t="shared" si="8"/>
        <v>NO</v>
      </c>
    </row>
    <row r="20" spans="2:11" ht="18" customHeight="1" x14ac:dyDescent="0.2">
      <c r="B20" s="282" t="s">
        <v>246</v>
      </c>
      <c r="C20" s="3087">
        <f t="shared" si="6"/>
        <v>51057.550146940703</v>
      </c>
      <c r="D20" s="3087" t="s">
        <v>97</v>
      </c>
      <c r="E20" s="1938">
        <f t="shared" si="7"/>
        <v>51.420795932727849</v>
      </c>
      <c r="F20" s="1938">
        <f t="shared" si="5"/>
        <v>0.90909090909090917</v>
      </c>
      <c r="G20" s="1938">
        <f t="shared" si="5"/>
        <v>0.90909090909090917</v>
      </c>
      <c r="H20" s="3087">
        <f t="shared" si="8"/>
        <v>2625.4198669308566</v>
      </c>
      <c r="I20" s="3087">
        <f t="shared" si="8"/>
        <v>4.641595467903701E-2</v>
      </c>
      <c r="J20" s="3087">
        <f t="shared" si="8"/>
        <v>4.641595467903701E-2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2236.6477087395547</v>
      </c>
      <c r="D23" s="3087" t="s">
        <v>97</v>
      </c>
      <c r="E23" s="1938">
        <f t="shared" si="7"/>
        <v>58.874990931039051</v>
      </c>
      <c r="F23" s="1938">
        <f t="shared" si="5"/>
        <v>2.3648928044719399</v>
      </c>
      <c r="G23" s="1938">
        <f t="shared" si="5"/>
        <v>1.5570303553530391</v>
      </c>
      <c r="H23" s="3087">
        <f>IF(SUM(H31,H37)=0,"NO",SUM(H31,H37))</f>
        <v>131.68261356797055</v>
      </c>
      <c r="I23" s="3087">
        <f>IF(SUM(I31,I37)=0,"NO",SUM(I31,I37))</f>
        <v>5.2894320725368239E-3</v>
      </c>
      <c r="J23" s="3087">
        <f>IF(SUM(J31,J37)=0,"NO",SUM(J31,J37))</f>
        <v>3.4825283767383097E-3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94214.257085866702</v>
      </c>
      <c r="D25" s="3057" t="s">
        <v>97</v>
      </c>
      <c r="E25" s="615"/>
      <c r="F25" s="615"/>
      <c r="G25" s="615"/>
      <c r="H25" s="3057">
        <f>IF(SUM(H26:H30)=0,"NO",SUM(H26:H30))</f>
        <v>5452.2667571034799</v>
      </c>
      <c r="I25" s="3057">
        <f>IF(SUM(I26:I31)=0,"NO",SUM(I26:I31))</f>
        <v>0.12028741094565343</v>
      </c>
      <c r="J25" s="3088">
        <f>IF(SUM(J26:J31)=0,"NO",SUM(J26:J31))</f>
        <v>9.9708299838268885E-2</v>
      </c>
      <c r="K25" s="3064" t="str">
        <f>IF(SUM(K26:K31)=0,"NO",SUM(K26:K31))</f>
        <v>NO</v>
      </c>
    </row>
    <row r="26" spans="2:11" ht="18" customHeight="1" x14ac:dyDescent="0.2">
      <c r="B26" s="282" t="s">
        <v>243</v>
      </c>
      <c r="C26" s="699">
        <v>39993.45134190136</v>
      </c>
      <c r="D26" s="3057" t="s">
        <v>97</v>
      </c>
      <c r="E26" s="1938">
        <f t="shared" ref="E26:E31" si="9">IFERROR(H26*1000/$C26,"NA")</f>
        <v>68.495657836435939</v>
      </c>
      <c r="F26" s="1938">
        <f t="shared" ref="F26:G31" si="10">IFERROR(I26*1000000/$C26,"NA")</f>
        <v>1.6927656458601708</v>
      </c>
      <c r="G26" s="1938">
        <f t="shared" si="10"/>
        <v>1.2300033265387305</v>
      </c>
      <c r="H26" s="699">
        <v>2739.3777588130256</v>
      </c>
      <c r="I26" s="699">
        <v>6.7699540490950963E-2</v>
      </c>
      <c r="J26" s="699">
        <v>4.9192078190303523E-2</v>
      </c>
      <c r="K26" s="2921" t="s">
        <v>199</v>
      </c>
    </row>
    <row r="27" spans="2:11" ht="18" customHeight="1" x14ac:dyDescent="0.2">
      <c r="B27" s="282" t="s">
        <v>245</v>
      </c>
      <c r="C27" s="699">
        <v>926.6078882850743</v>
      </c>
      <c r="D27" s="3057" t="s">
        <v>97</v>
      </c>
      <c r="E27" s="1938">
        <f t="shared" si="9"/>
        <v>94.397136550911412</v>
      </c>
      <c r="F27" s="1938">
        <f t="shared" si="10"/>
        <v>0.95238095238095222</v>
      </c>
      <c r="G27" s="1938">
        <f t="shared" si="10"/>
        <v>0.66666666666666652</v>
      </c>
      <c r="H27" s="699">
        <v>87.469131359597824</v>
      </c>
      <c r="I27" s="699">
        <v>8.8248370312864199E-4</v>
      </c>
      <c r="J27" s="699">
        <v>6.1773859219004944E-4</v>
      </c>
      <c r="K27" s="2921" t="s">
        <v>199</v>
      </c>
    </row>
    <row r="28" spans="2:11" ht="18" customHeight="1" x14ac:dyDescent="0.2">
      <c r="B28" s="282" t="s">
        <v>246</v>
      </c>
      <c r="C28" s="699">
        <v>51057.550146940703</v>
      </c>
      <c r="D28" s="3057" t="s">
        <v>97</v>
      </c>
      <c r="E28" s="1938">
        <f t="shared" si="9"/>
        <v>51.420795932727849</v>
      </c>
      <c r="F28" s="1938">
        <f t="shared" si="10"/>
        <v>0.90909090909090917</v>
      </c>
      <c r="G28" s="1938">
        <f t="shared" si="10"/>
        <v>0.90909090909090917</v>
      </c>
      <c r="H28" s="699">
        <v>2625.4198669308566</v>
      </c>
      <c r="I28" s="699">
        <v>4.641595467903701E-2</v>
      </c>
      <c r="J28" s="699">
        <v>4.641595467903701E-2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2236.6477087395547</v>
      </c>
      <c r="D31" s="3057" t="s">
        <v>97</v>
      </c>
      <c r="E31" s="1938">
        <f t="shared" si="9"/>
        <v>58.874990931039051</v>
      </c>
      <c r="F31" s="1938">
        <f t="shared" si="10"/>
        <v>2.3648928044719399</v>
      </c>
      <c r="G31" s="1938">
        <f t="shared" si="10"/>
        <v>1.5570303553530391</v>
      </c>
      <c r="H31" s="699">
        <v>131.68261356797055</v>
      </c>
      <c r="I31" s="699">
        <v>5.2894320725368239E-3</v>
      </c>
      <c r="J31" s="699">
        <v>3.4825283767383097E-3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228476.3114807895</v>
      </c>
      <c r="D38" s="3057" t="s">
        <v>97</v>
      </c>
      <c r="E38" s="615"/>
      <c r="F38" s="615"/>
      <c r="G38" s="615"/>
      <c r="H38" s="1938">
        <f>IF(SUM(H39:H43)=0,"NO",SUM(H39:H43))</f>
        <v>9256.2036887004961</v>
      </c>
      <c r="I38" s="1938">
        <f>IF(SUM(I39:I44)=0,"NO",SUM(I39:I44))</f>
        <v>38.54388866330688</v>
      </c>
      <c r="J38" s="1938">
        <f>IF(SUM(J39:J44)=0,"NO",SUM(J39:J44))</f>
        <v>0.25131647478357932</v>
      </c>
      <c r="K38" s="3064" t="str">
        <f>IF(SUM(K39:K44)=0,"NO",SUM(K39:K44))</f>
        <v>NO</v>
      </c>
    </row>
    <row r="39" spans="2:11" ht="18" customHeight="1" x14ac:dyDescent="0.2">
      <c r="B39" s="282" t="s">
        <v>243</v>
      </c>
      <c r="C39" s="3087">
        <f>IF(SUM(C47,C54)=0,"NO",SUM(C47,C54))</f>
        <v>20748.267840945977</v>
      </c>
      <c r="D39" s="3057" t="s">
        <v>97</v>
      </c>
      <c r="E39" s="1938">
        <f t="shared" ref="E39:E44" si="13">IFERROR(H39*1000/$C39,"NA")</f>
        <v>62.286172966243939</v>
      </c>
      <c r="F39" s="1938">
        <f t="shared" ref="F39:G44" si="14">IFERROR(I39*1000000/$C39,"NA")</f>
        <v>35.588917968545488</v>
      </c>
      <c r="G39" s="1938">
        <f t="shared" si="14"/>
        <v>0.58156061038179019</v>
      </c>
      <c r="H39" s="1938">
        <f>IF(SUM(H47,H54)=0,"NO",SUM(H47,H54))</f>
        <v>1292.3301994911178</v>
      </c>
      <c r="I39" s="1938">
        <f>IF(SUM(I47,I54)=0,"NO",SUM(I47,I54))</f>
        <v>0.73840840218083681</v>
      </c>
      <c r="J39" s="1938">
        <f>IF(SUM(J47,J54)=0,"NO",SUM(J47,J54))</f>
        <v>1.206637530994541E-2</v>
      </c>
      <c r="K39" s="3064" t="str">
        <f>IF(SUM(K47,K54)=0,"NO",SUM(K47,K54))</f>
        <v>NO</v>
      </c>
    </row>
    <row r="40" spans="2:11" ht="18" customHeight="1" x14ac:dyDescent="0.2">
      <c r="B40" s="282" t="s">
        <v>245</v>
      </c>
      <c r="C40" s="3087">
        <f t="shared" ref="C40:C42" si="15">IF(SUM(C48,C55)=0,"NO",SUM(C48,C55))</f>
        <v>17.149440470028591</v>
      </c>
      <c r="D40" s="3057" t="s">
        <v>97</v>
      </c>
      <c r="E40" s="1938">
        <f t="shared" si="13"/>
        <v>95</v>
      </c>
      <c r="F40" s="1938">
        <f t="shared" si="14"/>
        <v>0.95238095238095244</v>
      </c>
      <c r="G40" s="1938">
        <f t="shared" si="14"/>
        <v>0.66666666666666674</v>
      </c>
      <c r="H40" s="1938">
        <f t="shared" ref="H40:K42" si="16">IF(SUM(H48,H55)=0,"NO",SUM(H48,H55))</f>
        <v>1.6291968446527163</v>
      </c>
      <c r="I40" s="1938">
        <f t="shared" si="16"/>
        <v>1.6332800447646278E-5</v>
      </c>
      <c r="J40" s="1938">
        <f t="shared" si="16"/>
        <v>1.1432960313352394E-5</v>
      </c>
      <c r="K40" s="3064" t="str">
        <f t="shared" si="16"/>
        <v>NO</v>
      </c>
    </row>
    <row r="41" spans="2:11" ht="18" customHeight="1" x14ac:dyDescent="0.2">
      <c r="B41" s="282" t="s">
        <v>246</v>
      </c>
      <c r="C41" s="3087">
        <f t="shared" si="15"/>
        <v>154861.85616845466</v>
      </c>
      <c r="D41" s="3057" t="s">
        <v>97</v>
      </c>
      <c r="E41" s="1938">
        <f t="shared" si="13"/>
        <v>51.415141787423785</v>
      </c>
      <c r="F41" s="1938">
        <f t="shared" si="14"/>
        <v>0.90909090909090895</v>
      </c>
      <c r="G41" s="1938">
        <f t="shared" si="14"/>
        <v>0.90909090909090895</v>
      </c>
      <c r="H41" s="1938">
        <f t="shared" si="16"/>
        <v>7962.244292364725</v>
      </c>
      <c r="I41" s="1938">
        <f t="shared" si="16"/>
        <v>0.14078350560768604</v>
      </c>
      <c r="J41" s="1938">
        <f t="shared" si="16"/>
        <v>0.14078350560768604</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52849.038030918826</v>
      </c>
      <c r="D44" s="3057" t="s">
        <v>97</v>
      </c>
      <c r="E44" s="1938">
        <f t="shared" si="13"/>
        <v>77.524390519320548</v>
      </c>
      <c r="F44" s="1938">
        <f t="shared" si="14"/>
        <v>712.68431415312693</v>
      </c>
      <c r="G44" s="1938">
        <f t="shared" si="14"/>
        <v>1.8629508610551113</v>
      </c>
      <c r="H44" s="1938">
        <f>IF(SUM(H52,H58)=0,"NO",SUM(H52,H58))</f>
        <v>4097.089462879374</v>
      </c>
      <c r="I44" s="1938">
        <f>IF(SUM(I52,I58)=0,"NO",SUM(I52,I58))</f>
        <v>37.664680422717908</v>
      </c>
      <c r="J44" s="1938">
        <f>IF(SUM(J52,J58)=0,"NO",SUM(J52,J58))</f>
        <v>9.8455160905634553E-2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224424.8970452699</v>
      </c>
      <c r="D46" s="3057" t="s">
        <v>97</v>
      </c>
      <c r="E46" s="615"/>
      <c r="F46" s="615"/>
      <c r="G46" s="615"/>
      <c r="H46" s="1938">
        <f>IF(SUM(H47:H51)=0,"NO",SUM(H47:H51))</f>
        <v>8981.7955369813317</v>
      </c>
      <c r="I46" s="1938">
        <f>IF(SUM(I47:I52)=0,"NO",SUM(I47:I52))</f>
        <v>37.789782604966518</v>
      </c>
      <c r="J46" s="1938">
        <f>IF(SUM(J47:J52)=0,"NO",SUM(J47:J52))</f>
        <v>0.24949177201695114</v>
      </c>
      <c r="K46" s="3064" t="str">
        <f>IF(SUM(K47:K52)=0,"NO",SUM(K47:K52))</f>
        <v>NO</v>
      </c>
    </row>
    <row r="47" spans="2:11" ht="18" customHeight="1" x14ac:dyDescent="0.2">
      <c r="B47" s="282" t="s">
        <v>243</v>
      </c>
      <c r="C47" s="699">
        <v>16741.231012474302</v>
      </c>
      <c r="D47" s="3057" t="s">
        <v>97</v>
      </c>
      <c r="E47" s="1938">
        <f t="shared" ref="E47:E52" si="17">IFERROR(H47*1000/$C47,"NA")</f>
        <v>60.803297380788479</v>
      </c>
      <c r="F47" s="1938">
        <f t="shared" ref="F47:G52" si="18">IFERROR(I47*1000000/$C47,"NA")</f>
        <v>1.0239254833269129</v>
      </c>
      <c r="G47" s="1938">
        <f t="shared" si="18"/>
        <v>0.62501739392760813</v>
      </c>
      <c r="H47" s="699">
        <v>1017.9220477719535</v>
      </c>
      <c r="I47" s="699">
        <v>1.7141773055935252E-2</v>
      </c>
      <c r="J47" s="699">
        <v>1.0463560578556741E-2</v>
      </c>
      <c r="K47" s="2921" t="s">
        <v>199</v>
      </c>
    </row>
    <row r="48" spans="2:11" ht="18" customHeight="1" x14ac:dyDescent="0.2">
      <c r="B48" s="282" t="s">
        <v>245</v>
      </c>
      <c r="C48" s="699">
        <v>17.149440470028591</v>
      </c>
      <c r="D48" s="3057" t="s">
        <v>97</v>
      </c>
      <c r="E48" s="1938">
        <f t="shared" si="17"/>
        <v>95</v>
      </c>
      <c r="F48" s="1938">
        <f t="shared" si="18"/>
        <v>0.95238095238095244</v>
      </c>
      <c r="G48" s="1938">
        <f t="shared" si="18"/>
        <v>0.66666666666666674</v>
      </c>
      <c r="H48" s="699">
        <v>1.6291968446527163</v>
      </c>
      <c r="I48" s="699">
        <v>1.6332800447646278E-5</v>
      </c>
      <c r="J48" s="699">
        <v>1.1432960313352394E-5</v>
      </c>
      <c r="K48" s="2921" t="s">
        <v>199</v>
      </c>
    </row>
    <row r="49" spans="2:11" ht="18" customHeight="1" x14ac:dyDescent="0.2">
      <c r="B49" s="282" t="s">
        <v>246</v>
      </c>
      <c r="C49" s="699">
        <v>154861.85616845466</v>
      </c>
      <c r="D49" s="3057" t="s">
        <v>97</v>
      </c>
      <c r="E49" s="1938">
        <f t="shared" si="17"/>
        <v>51.415141787423785</v>
      </c>
      <c r="F49" s="1938">
        <f t="shared" si="18"/>
        <v>0.90909090909090895</v>
      </c>
      <c r="G49" s="1938">
        <f t="shared" si="18"/>
        <v>0.90909090909090895</v>
      </c>
      <c r="H49" s="699">
        <v>7962.244292364725</v>
      </c>
      <c r="I49" s="699">
        <v>0.14078350560768604</v>
      </c>
      <c r="J49" s="699">
        <v>0.14078350560768604</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52804.660423870911</v>
      </c>
      <c r="D52" s="3057" t="s">
        <v>97</v>
      </c>
      <c r="E52" s="1938">
        <f t="shared" si="17"/>
        <v>77.533016823995098</v>
      </c>
      <c r="F52" s="1938">
        <f t="shared" si="18"/>
        <v>712.66135775566079</v>
      </c>
      <c r="G52" s="1938">
        <f t="shared" si="18"/>
        <v>1.860314451070451</v>
      </c>
      <c r="H52" s="699">
        <v>4094.1046250293316</v>
      </c>
      <c r="I52" s="699">
        <v>37.63184099350245</v>
      </c>
      <c r="J52" s="699">
        <v>9.8233272870394989E-2</v>
      </c>
      <c r="K52" s="2921" t="s">
        <v>199</v>
      </c>
    </row>
    <row r="53" spans="2:11" ht="18" customHeight="1" x14ac:dyDescent="0.2">
      <c r="B53" s="1241" t="s">
        <v>329</v>
      </c>
      <c r="C53" s="3057">
        <f>IF(SUM(C54:C58)=0,"NO",SUM(C54:C58))</f>
        <v>4051.414435519589</v>
      </c>
      <c r="D53" s="3057" t="s">
        <v>97</v>
      </c>
      <c r="E53" s="615"/>
      <c r="F53" s="615"/>
      <c r="G53" s="615"/>
      <c r="H53" s="3057">
        <f>IF(SUM(H54:H57)=0,"NO",SUM(H54:H57))</f>
        <v>274.40815171916421</v>
      </c>
      <c r="I53" s="3057">
        <f>IF(SUM(I54:I58)=0,"NO",SUM(I54:I58))</f>
        <v>0.75410605834035682</v>
      </c>
      <c r="J53" s="3057">
        <f>IF(SUM(J54:J58)=0,"NO",SUM(J54:J58))</f>
        <v>1.8247027666282326E-3</v>
      </c>
      <c r="K53" s="2931"/>
    </row>
    <row r="54" spans="2:11" ht="18" customHeight="1" x14ac:dyDescent="0.2">
      <c r="B54" s="282" t="s">
        <v>243</v>
      </c>
      <c r="C54" s="699">
        <v>4007.0368284716765</v>
      </c>
      <c r="D54" s="3057" t="s">
        <v>97</v>
      </c>
      <c r="E54" s="1938">
        <f t="shared" ref="E54:E58" si="19">IFERROR(H54*1000/$C54,"NA")</f>
        <v>68.48156467377072</v>
      </c>
      <c r="F54" s="1938">
        <f t="shared" ref="F54:G58" si="20">IFERROR(I54*1000000/$C54,"NA")</f>
        <v>179.99999999999997</v>
      </c>
      <c r="G54" s="1938">
        <f t="shared" si="20"/>
        <v>0.39999999999999991</v>
      </c>
      <c r="H54" s="699">
        <v>274.40815171916421</v>
      </c>
      <c r="I54" s="699">
        <v>0.72126662912490158</v>
      </c>
      <c r="J54" s="699">
        <v>1.6028147313886703E-3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44.377607047912441</v>
      </c>
      <c r="D58" s="3057" t="s">
        <v>97</v>
      </c>
      <c r="E58" s="1938">
        <f t="shared" si="19"/>
        <v>67.260000000000019</v>
      </c>
      <c r="F58" s="1938">
        <f t="shared" si="20"/>
        <v>740.00000000000011</v>
      </c>
      <c r="G58" s="1938">
        <f t="shared" si="20"/>
        <v>5.0000000000000018</v>
      </c>
      <c r="H58" s="699">
        <v>2.9848378500425916</v>
      </c>
      <c r="I58" s="699">
        <v>3.2839429215455213E-2</v>
      </c>
      <c r="J58" s="699">
        <v>2.2188803523956227E-4</v>
      </c>
      <c r="K58" s="2931"/>
    </row>
    <row r="59" spans="2:11" ht="18" customHeight="1" x14ac:dyDescent="0.2">
      <c r="B59" s="1244" t="s">
        <v>330</v>
      </c>
      <c r="C59" s="3057">
        <f>IF(SUM(C60:C65)=0,"NO",SUM(C60:C65))</f>
        <v>91312.999999999985</v>
      </c>
      <c r="D59" s="3057" t="s">
        <v>97</v>
      </c>
      <c r="E59" s="615"/>
      <c r="F59" s="615"/>
      <c r="G59" s="615"/>
      <c r="H59" s="1938">
        <f>IF(SUM(H60:H64)=0,"NO",SUM(H60:H64))</f>
        <v>6332.2177447672038</v>
      </c>
      <c r="I59" s="1938">
        <f>IF(SUM(I60:I65)=0,"NO",SUM(I60:I65))</f>
        <v>0.61224126406926405</v>
      </c>
      <c r="J59" s="1938">
        <f>IF(SUM(J60:J65)=0,"NO",SUM(J60:J65))</f>
        <v>0.32522803549783547</v>
      </c>
      <c r="K59" s="3064" t="str">
        <f>IF(SUM(K60:K65)=0,"NO",SUM(K60:K65))</f>
        <v>NO</v>
      </c>
    </row>
    <row r="60" spans="2:11" ht="18" customHeight="1" x14ac:dyDescent="0.2">
      <c r="B60" s="282" t="s">
        <v>243</v>
      </c>
      <c r="C60" s="1938">
        <f>IF(SUM(C67,C74:C77,C84:C87)=0,"NO",SUM(C67,C74:C77,C84:C87))</f>
        <v>90435.799999999988</v>
      </c>
      <c r="D60" s="3057" t="s">
        <v>97</v>
      </c>
      <c r="E60" s="1938">
        <f t="shared" ref="E60:E65" si="21">IFERROR(H60*1000/$C60,"NA")</f>
        <v>69.520247623175791</v>
      </c>
      <c r="F60" s="1938">
        <f t="shared" ref="F60:G65" si="22">IFERROR(I60*1000000/$C60,"NA")</f>
        <v>6.7610814469912306</v>
      </c>
      <c r="G60" s="1938">
        <f t="shared" si="22"/>
        <v>3.5874131809790031</v>
      </c>
      <c r="H60" s="1938">
        <f>IF(SUM(H67,H74:H77,H84:H87)=0,"NO",SUM(H67,H74:H77,H84:H87))</f>
        <v>6287.1192100000007</v>
      </c>
      <c r="I60" s="1938">
        <f>IF(SUM(I67,I74:I77,I84:I87)=0,"NO",SUM(I67,I74:I77,I84:I87))</f>
        <v>0.6114438095238095</v>
      </c>
      <c r="J60" s="1938">
        <f>IF(SUM(J67,J74:J77,J84:J87)=0,"NO",SUM(J67,J74:J77,J84:J87))</f>
        <v>0.32443058095238092</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877.19999999999993</v>
      </c>
      <c r="D62" s="3057" t="s">
        <v>97</v>
      </c>
      <c r="E62" s="1938">
        <f t="shared" si="21"/>
        <v>51.411918339265007</v>
      </c>
      <c r="F62" s="1938">
        <f t="shared" si="22"/>
        <v>0.90909090909090895</v>
      </c>
      <c r="G62" s="1938">
        <f t="shared" si="22"/>
        <v>0.90909090909090895</v>
      </c>
      <c r="H62" s="1938">
        <f>IF(SUM(H69,H79,H89)=0,"NO",SUM(H69,H79,H89))</f>
        <v>45.098534767203262</v>
      </c>
      <c r="I62" s="1938">
        <f>IF(SUM(I69,I79,I89)=0,"NO",SUM(I69,I79,I89))</f>
        <v>7.9745454545454531E-4</v>
      </c>
      <c r="J62" s="1938">
        <f>IF(SUM(J69,J79,J89)=0,"NO",SUM(J69,J79,J89))</f>
        <v>7.9745454545454531E-4</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91312.999999999985</v>
      </c>
      <c r="D66" s="3057" t="s">
        <v>97</v>
      </c>
      <c r="E66" s="2135"/>
      <c r="F66" s="2135"/>
      <c r="G66" s="2135"/>
      <c r="H66" s="1938">
        <f>IF(SUM(H67:H71)=0,"NO",SUM(H67:H71))</f>
        <v>6332.2177447672038</v>
      </c>
      <c r="I66" s="1938">
        <f>IF(SUM(I67:I72)=0,"NO",SUM(I67:I72))</f>
        <v>0.61224126406926405</v>
      </c>
      <c r="J66" s="1938">
        <f>IF(SUM(J67:J72)=0,"NO",SUM(J67:J72))</f>
        <v>0.32522803549783547</v>
      </c>
      <c r="K66" s="3064" t="str">
        <f>IF(SUM(K67:K72)=0,"NO",SUM(K67:K72))</f>
        <v>NO</v>
      </c>
    </row>
    <row r="67" spans="2:11" ht="18" customHeight="1" x14ac:dyDescent="0.2">
      <c r="B67" s="282" t="s">
        <v>243</v>
      </c>
      <c r="C67" s="699">
        <v>90435.799999999988</v>
      </c>
      <c r="D67" s="3057" t="s">
        <v>97</v>
      </c>
      <c r="E67" s="1938">
        <f t="shared" ref="E67:E72" si="23">IFERROR(H67*1000/$C67,"NA")</f>
        <v>69.520247623175791</v>
      </c>
      <c r="F67" s="1938">
        <f t="shared" ref="F67:G72" si="24">IFERROR(I67*1000000/$C67,"NA")</f>
        <v>6.7610814469912306</v>
      </c>
      <c r="G67" s="1938">
        <f t="shared" si="24"/>
        <v>3.5874131809790031</v>
      </c>
      <c r="H67" s="699">
        <v>6287.1192100000007</v>
      </c>
      <c r="I67" s="699">
        <v>0.6114438095238095</v>
      </c>
      <c r="J67" s="699">
        <v>0.32443058095238092</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877.19999999999993</v>
      </c>
      <c r="D69" s="3057" t="s">
        <v>97</v>
      </c>
      <c r="E69" s="1938">
        <f t="shared" si="23"/>
        <v>51.411918339265007</v>
      </c>
      <c r="F69" s="1938">
        <f t="shared" si="24"/>
        <v>0.90909090909090895</v>
      </c>
      <c r="G69" s="1938">
        <f t="shared" si="24"/>
        <v>0.90909090909090895</v>
      </c>
      <c r="H69" s="699">
        <v>45.098534767203262</v>
      </c>
      <c r="I69" s="699">
        <v>7.9745454545454531E-4</v>
      </c>
      <c r="J69" s="699">
        <v>7.9745454545454531E-4</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12967.322297638701</v>
      </c>
      <c r="D93" s="3057" t="s">
        <v>97</v>
      </c>
      <c r="E93" s="2160"/>
      <c r="F93" s="2160"/>
      <c r="G93" s="2160"/>
      <c r="H93" s="3087">
        <f>IF(SUM(H94:H98)=0,"NO",SUM(H94:H98))</f>
        <v>903.51625558477349</v>
      </c>
      <c r="I93" s="3087">
        <f>IF(SUM(I94:I99)=0,"NO",SUM(I94:I99))</f>
        <v>2.7712151249619763E-2</v>
      </c>
      <c r="J93" s="3091">
        <f>IF(SUM(J94:J99)=0,"NO",SUM(J94:J99))</f>
        <v>2.5560040590508946E-2</v>
      </c>
      <c r="K93" s="442" t="str">
        <f>IF(SUM(K94:K99)=0,"NO",SUM(K94:K99))</f>
        <v>NO</v>
      </c>
    </row>
    <row r="94" spans="2:11" ht="18" customHeight="1" x14ac:dyDescent="0.2">
      <c r="B94" s="282" t="s">
        <v>243</v>
      </c>
      <c r="C94" s="1938">
        <f>IF(SUM(C102,C110)=0,"NO",SUM(C102,C110))</f>
        <v>12967.094497636244</v>
      </c>
      <c r="D94" s="1938" t="s">
        <v>97</v>
      </c>
      <c r="E94" s="1938">
        <f t="shared" ref="E94:E99" si="32">IFERROR(H94*1000/$C94,"NA")</f>
        <v>69.677617892695579</v>
      </c>
      <c r="F94" s="1938">
        <f t="shared" ref="F94:G99" si="33">IFERROR(I94*1000000/$C94,"NA")</f>
        <v>2.1231823252842466</v>
      </c>
      <c r="G94" s="1938">
        <f t="shared" si="33"/>
        <v>1.9710936166279009</v>
      </c>
      <c r="H94" s="1938">
        <f t="shared" ref="H94:K97" si="34">IF(SUM(H102,H110)=0,"NO",SUM(H102,H110))</f>
        <v>903.51625558477349</v>
      </c>
      <c r="I94" s="1938">
        <f t="shared" si="34"/>
        <v>2.7531505847671882E-2</v>
      </c>
      <c r="J94" s="1938">
        <f t="shared" si="34"/>
        <v>2.5559357190501578E-2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0.22780000245634499</v>
      </c>
      <c r="D99" s="1938" t="s">
        <v>97</v>
      </c>
      <c r="E99" s="1938">
        <f t="shared" si="32"/>
        <v>67.259999999999934</v>
      </c>
      <c r="F99" s="1938">
        <f t="shared" si="33"/>
        <v>792.9999999999992</v>
      </c>
      <c r="G99" s="1938">
        <f t="shared" si="33"/>
        <v>2.9999999999999973</v>
      </c>
      <c r="H99" s="1938">
        <f>IF(SUM(H107,H114)=0,"NO",SUM(H107,H114))</f>
        <v>1.532182816521375E-2</v>
      </c>
      <c r="I99" s="1938">
        <f>IF(SUM(I107,I114)=0,"NO",SUM(I107,I114))</f>
        <v>1.8064540194788139E-4</v>
      </c>
      <c r="J99" s="1938">
        <f>IF(SUM(J107,J114)=0,"NO",SUM(J107,J114))</f>
        <v>6.8340000736903438E-7</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12967.322297638701</v>
      </c>
      <c r="D108" s="1938" t="s">
        <v>97</v>
      </c>
      <c r="E108" s="1957"/>
      <c r="F108" s="1957"/>
      <c r="G108" s="1957"/>
      <c r="H108" s="3057">
        <f>H109</f>
        <v>903.51625558477349</v>
      </c>
      <c r="I108" s="3057">
        <f>I109</f>
        <v>2.7712151249619763E-2</v>
      </c>
      <c r="J108" s="3088">
        <f>J109</f>
        <v>2.5560040590508946E-2</v>
      </c>
      <c r="K108" s="2931"/>
    </row>
    <row r="109" spans="2:11" ht="18" customHeight="1" x14ac:dyDescent="0.2">
      <c r="B109" s="3103" t="s">
        <v>339</v>
      </c>
      <c r="C109" s="3077">
        <f>IF(SUM(C110:C114)=0,"NO",SUM(C110:C114))</f>
        <v>12967.322297638701</v>
      </c>
      <c r="D109" s="1938" t="s">
        <v>97</v>
      </c>
      <c r="E109" s="615"/>
      <c r="F109" s="615"/>
      <c r="G109" s="615"/>
      <c r="H109" s="3077">
        <f>IF(SUM(H110:H113)=0,"NO",SUM(H110:H113))</f>
        <v>903.51625558477349</v>
      </c>
      <c r="I109" s="3077">
        <f>IF(SUM(I110:I114)=0,"NO",SUM(I110:I114))</f>
        <v>2.7712151249619763E-2</v>
      </c>
      <c r="J109" s="3077">
        <f>IF(SUM(J110:J114)=0,"NO",SUM(J110:J114))</f>
        <v>2.5560040590508946E-2</v>
      </c>
      <c r="K109" s="2931"/>
    </row>
    <row r="110" spans="2:11" ht="18" customHeight="1" x14ac:dyDescent="0.2">
      <c r="B110" s="282" t="s">
        <v>243</v>
      </c>
      <c r="C110" s="699">
        <v>12967.094497636244</v>
      </c>
      <c r="D110" s="1938" t="s">
        <v>97</v>
      </c>
      <c r="E110" s="1938">
        <f t="shared" ref="E110:E114" si="37">IFERROR(H110*1000/$C110,"NA")</f>
        <v>69.677617892695579</v>
      </c>
      <c r="F110" s="1938">
        <f t="shared" ref="F110:G114" si="38">IFERROR(I110*1000000/$C110,"NA")</f>
        <v>2.1231823252842466</v>
      </c>
      <c r="G110" s="1938">
        <f t="shared" si="38"/>
        <v>1.9710936166279009</v>
      </c>
      <c r="H110" s="699">
        <v>903.51625558477349</v>
      </c>
      <c r="I110" s="699">
        <v>2.7531505847671882E-2</v>
      </c>
      <c r="J110" s="699">
        <v>2.5559357190501578E-2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0.22780000245634499</v>
      </c>
      <c r="D114" s="2891" t="s">
        <v>97</v>
      </c>
      <c r="E114" s="2891">
        <f t="shared" si="37"/>
        <v>67.259999999999934</v>
      </c>
      <c r="F114" s="2891">
        <f t="shared" si="38"/>
        <v>792.9999999999992</v>
      </c>
      <c r="G114" s="2891">
        <f t="shared" si="38"/>
        <v>2.9999999999999973</v>
      </c>
      <c r="H114" s="1562">
        <v>1.532182816521375E-2</v>
      </c>
      <c r="I114" s="1562">
        <v>1.8064540194788139E-4</v>
      </c>
      <c r="J114" s="1562">
        <v>6.8340000736903438E-7</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787507.63000000012</v>
      </c>
      <c r="G11" s="3326">
        <v>1159700</v>
      </c>
      <c r="H11" s="3326">
        <v>583200</v>
      </c>
      <c r="I11" s="3346"/>
      <c r="J11" s="3326">
        <v>-7053.4863300000152</v>
      </c>
      <c r="K11" s="3334">
        <f t="shared" ref="K11:K28" si="0">IF((SUM(F11:G11)-SUM(H11:J11))=0,"NO",(SUM(F11:G11)-SUM(H11:J11)))</f>
        <v>1371061.1163300001</v>
      </c>
      <c r="L11" s="2597">
        <f>IF(K11="NO","NA",1)</f>
        <v>1</v>
      </c>
      <c r="M11" s="5" t="s">
        <v>97</v>
      </c>
      <c r="N11" s="3334">
        <f>K11</f>
        <v>1371061.1163300001</v>
      </c>
      <c r="O11" s="3307">
        <v>18.980716253443529</v>
      </c>
      <c r="P11" s="3334">
        <f>IFERROR(N11*O11/1000,"NA")</f>
        <v>26023.722015189262</v>
      </c>
      <c r="Q11" s="3334" t="str">
        <f>'Table1.A(d)'!G11</f>
        <v>NA</v>
      </c>
      <c r="R11" s="3334">
        <f>IF(SUM(P11,-SUM(Q11))=0,"NO",SUM(P11,-SUM(Q11)))</f>
        <v>26023.722015189262</v>
      </c>
      <c r="S11" s="2597">
        <f>IF(R11="NO","NA",1)</f>
        <v>1</v>
      </c>
      <c r="T11" s="3340">
        <f>IF(R11="NO","NO",R11*S11*44/12)</f>
        <v>95420.314055693962</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119510.27899999998</v>
      </c>
      <c r="G13" s="3326" t="s">
        <v>199</v>
      </c>
      <c r="H13" s="3326" t="s">
        <v>199</v>
      </c>
      <c r="I13" s="3346"/>
      <c r="J13" s="3326" t="s">
        <v>199</v>
      </c>
      <c r="K13" s="3334">
        <f t="shared" si="0"/>
        <v>119510.27899999998</v>
      </c>
      <c r="L13" s="2597">
        <f t="shared" si="1"/>
        <v>1</v>
      </c>
      <c r="M13" s="5" t="s">
        <v>97</v>
      </c>
      <c r="N13" s="3334">
        <f t="shared" si="2"/>
        <v>119510.27899999998</v>
      </c>
      <c r="O13" s="3307">
        <v>16.214600735610059</v>
      </c>
      <c r="P13" s="3334">
        <f t="shared" si="3"/>
        <v>1937.811457786363</v>
      </c>
      <c r="Q13" s="3334" t="str">
        <f>'Table1.A(d)'!G13</f>
        <v>NA</v>
      </c>
      <c r="R13" s="3334">
        <f>IF(SUM(P13,-SUM(Q13))=0,"NO",SUM(P13,-SUM(Q13)))</f>
        <v>1937.811457786363</v>
      </c>
      <c r="S13" s="2597">
        <f t="shared" si="4"/>
        <v>1</v>
      </c>
      <c r="T13" s="3340">
        <f t="shared" si="5"/>
        <v>7105.3086785499981</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122700.34424000001</v>
      </c>
      <c r="H15" s="3326">
        <v>4100</v>
      </c>
      <c r="I15" s="3326" t="s">
        <v>199</v>
      </c>
      <c r="J15" s="3326">
        <v>3472.1404000000002</v>
      </c>
      <c r="K15" s="3334">
        <f t="shared" si="0"/>
        <v>115128.20384</v>
      </c>
      <c r="L15" s="2597">
        <f>IF(K15="NO","NA",1)</f>
        <v>1</v>
      </c>
      <c r="M15" s="5" t="s">
        <v>97</v>
      </c>
      <c r="N15" s="3334">
        <f t="shared" si="2"/>
        <v>115128.20384</v>
      </c>
      <c r="O15" s="3307">
        <v>18.38237009700071</v>
      </c>
      <c r="P15" s="3334">
        <f t="shared" si="3"/>
        <v>2116.3292515898183</v>
      </c>
      <c r="Q15" s="3334" t="str">
        <f>'Table1.A(d)'!G15</f>
        <v>NA</v>
      </c>
      <c r="R15" s="3334">
        <f>IF(SUM(P15,-SUM(Q15))=0,"NO",SUM(P15,-SUM(Q15)))</f>
        <v>2116.3292515898183</v>
      </c>
      <c r="S15" s="2597">
        <f>IF(R15="NO","NA",1)</f>
        <v>1</v>
      </c>
      <c r="T15" s="3340">
        <f>IF(R15="NO","NO",R15*S15*44/12)</f>
        <v>7759.8739224960009</v>
      </c>
    </row>
    <row r="16" spans="2:20" ht="18" customHeight="1" x14ac:dyDescent="0.2">
      <c r="B16" s="1730"/>
      <c r="C16" s="1570"/>
      <c r="D16" s="36" t="s">
        <v>293</v>
      </c>
      <c r="E16" s="2595" t="s">
        <v>374</v>
      </c>
      <c r="F16" s="3347"/>
      <c r="G16" s="3326">
        <v>117800</v>
      </c>
      <c r="H16" s="3326">
        <v>500</v>
      </c>
      <c r="I16" s="3326">
        <v>158420.00000000003</v>
      </c>
      <c r="J16" s="3326">
        <v>1277.8792000000003</v>
      </c>
      <c r="K16" s="3334">
        <f t="shared" si="0"/>
        <v>-42397.879200000025</v>
      </c>
      <c r="L16" s="2597">
        <f t="shared" ref="L16:L28" si="6">IF(K16="NO","NA",1)</f>
        <v>1</v>
      </c>
      <c r="M16" s="5" t="s">
        <v>97</v>
      </c>
      <c r="N16" s="3334">
        <f t="shared" si="2"/>
        <v>-42397.879200000025</v>
      </c>
      <c r="O16" s="3307">
        <v>18.981818181818181</v>
      </c>
      <c r="P16" s="3334">
        <f t="shared" si="3"/>
        <v>-804.78883426909135</v>
      </c>
      <c r="Q16" s="3334" t="str">
        <f>'Table1.A(d)'!G16</f>
        <v>NA</v>
      </c>
      <c r="R16" s="3334">
        <f t="shared" ref="R16:R44" si="7">IF(SUM(P16,-SUM(Q16))=0,"NO",SUM(P16,-SUM(Q16)))</f>
        <v>-804.78883426909135</v>
      </c>
      <c r="S16" s="2597">
        <f t="shared" ref="S16:S28" si="8">IF(R16="NO","NA",1)</f>
        <v>1</v>
      </c>
      <c r="T16" s="3340">
        <f t="shared" ref="T16:T28" si="9">IF(R16="NO","NO",R16*S16*44/12)</f>
        <v>-2950.8923923200018</v>
      </c>
    </row>
    <row r="17" spans="2:20" ht="18" customHeight="1" x14ac:dyDescent="0.2">
      <c r="B17" s="1730"/>
      <c r="C17" s="1570"/>
      <c r="D17" s="36" t="s">
        <v>379</v>
      </c>
      <c r="E17" s="2595" t="s">
        <v>374</v>
      </c>
      <c r="F17" s="3346"/>
      <c r="G17" s="3326">
        <v>10.64625</v>
      </c>
      <c r="H17" s="3326" t="s">
        <v>199</v>
      </c>
      <c r="I17" s="3326" t="s">
        <v>199</v>
      </c>
      <c r="J17" s="3326">
        <v>-6.7006500000000004</v>
      </c>
      <c r="K17" s="3334">
        <f t="shared" si="0"/>
        <v>17.346900000000002</v>
      </c>
      <c r="L17" s="2597">
        <f t="shared" si="6"/>
        <v>1</v>
      </c>
      <c r="M17" s="5" t="s">
        <v>97</v>
      </c>
      <c r="N17" s="3334">
        <f t="shared" si="2"/>
        <v>17.346900000000002</v>
      </c>
      <c r="O17" s="3307">
        <v>18.790909090909089</v>
      </c>
      <c r="P17" s="3334">
        <f t="shared" si="3"/>
        <v>0.32596402090909088</v>
      </c>
      <c r="Q17" s="3334" t="str">
        <f>'Table1.A(d)'!G17</f>
        <v>NA</v>
      </c>
      <c r="R17" s="3334">
        <f t="shared" si="7"/>
        <v>0.32596402090909088</v>
      </c>
      <c r="S17" s="2597">
        <f t="shared" si="8"/>
        <v>1</v>
      </c>
      <c r="T17" s="3340">
        <f t="shared" si="9"/>
        <v>1.1952014099999999</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482700</v>
      </c>
      <c r="H19" s="3326">
        <v>3500</v>
      </c>
      <c r="I19" s="3326">
        <v>1325</v>
      </c>
      <c r="J19" s="3326">
        <v>4483.2688800000024</v>
      </c>
      <c r="K19" s="3334">
        <f t="shared" si="0"/>
        <v>473391.73112000001</v>
      </c>
      <c r="L19" s="2597">
        <f t="shared" si="6"/>
        <v>1</v>
      </c>
      <c r="M19" s="5" t="s">
        <v>97</v>
      </c>
      <c r="N19" s="3334">
        <f t="shared" si="2"/>
        <v>473391.73112000001</v>
      </c>
      <c r="O19" s="3307">
        <v>19.06363636363637</v>
      </c>
      <c r="P19" s="3334">
        <f t="shared" si="3"/>
        <v>9024.5678196240024</v>
      </c>
      <c r="Q19" s="3334" t="str">
        <f>'Table1.A(d)'!G19</f>
        <v>NA</v>
      </c>
      <c r="R19" s="3334">
        <f t="shared" si="7"/>
        <v>9024.5678196240024</v>
      </c>
      <c r="S19" s="2597">
        <f t="shared" si="8"/>
        <v>1</v>
      </c>
      <c r="T19" s="3340">
        <f t="shared" si="9"/>
        <v>33090.082005288008</v>
      </c>
    </row>
    <row r="20" spans="2:20" ht="18" customHeight="1" x14ac:dyDescent="0.2">
      <c r="B20" s="1730"/>
      <c r="C20" s="1570"/>
      <c r="D20" s="36" t="s">
        <v>306</v>
      </c>
      <c r="E20" s="2595" t="s">
        <v>374</v>
      </c>
      <c r="F20" s="3346"/>
      <c r="G20" s="3326">
        <v>66600</v>
      </c>
      <c r="H20" s="3326">
        <v>8700</v>
      </c>
      <c r="I20" s="3326">
        <v>25160.000000000004</v>
      </c>
      <c r="J20" s="3326">
        <v>1712.9212499999996</v>
      </c>
      <c r="K20" s="3334">
        <f t="shared" si="0"/>
        <v>31027.078750000001</v>
      </c>
      <c r="L20" s="2597">
        <f t="shared" si="6"/>
        <v>1</v>
      </c>
      <c r="M20" s="5" t="s">
        <v>97</v>
      </c>
      <c r="N20" s="3334">
        <f t="shared" si="2"/>
        <v>31027.078750000001</v>
      </c>
      <c r="O20" s="3307">
        <v>20.072727272727271</v>
      </c>
      <c r="P20" s="3334">
        <f t="shared" si="3"/>
        <v>622.79808981818178</v>
      </c>
      <c r="Q20" s="3334" t="str">
        <f>'Table1.A(d)'!G20</f>
        <v>NA</v>
      </c>
      <c r="R20" s="3334">
        <f t="shared" si="7"/>
        <v>622.79808981818178</v>
      </c>
      <c r="S20" s="2597">
        <f t="shared" si="8"/>
        <v>1</v>
      </c>
      <c r="T20" s="3340">
        <f t="shared" si="9"/>
        <v>2283.5929959999999</v>
      </c>
    </row>
    <row r="21" spans="2:20" ht="18" customHeight="1" x14ac:dyDescent="0.2">
      <c r="B21" s="1730"/>
      <c r="C21" s="1570"/>
      <c r="D21" s="36" t="s">
        <v>283</v>
      </c>
      <c r="E21" s="2595" t="s">
        <v>374</v>
      </c>
      <c r="F21" s="3346"/>
      <c r="G21" s="3326">
        <v>24800</v>
      </c>
      <c r="H21" s="3326">
        <v>64400.000000000007</v>
      </c>
      <c r="I21" s="3346"/>
      <c r="J21" s="3326">
        <v>-3618.875520000001</v>
      </c>
      <c r="K21" s="3334">
        <f t="shared" si="0"/>
        <v>-35981.124480000006</v>
      </c>
      <c r="L21" s="2597">
        <f t="shared" si="6"/>
        <v>1</v>
      </c>
      <c r="M21" s="5" t="s">
        <v>97</v>
      </c>
      <c r="N21" s="3334">
        <f t="shared" si="2"/>
        <v>-35981.124480000006</v>
      </c>
      <c r="O21" s="3307">
        <v>16.418181818181822</v>
      </c>
      <c r="P21" s="3334">
        <f t="shared" si="3"/>
        <v>-590.74464373527292</v>
      </c>
      <c r="Q21" s="3334" t="str">
        <f>'Table1.A(d)'!G21</f>
        <v>NA</v>
      </c>
      <c r="R21" s="3334">
        <f t="shared" si="7"/>
        <v>-590.74464373527292</v>
      </c>
      <c r="S21" s="2597">
        <f t="shared" si="8"/>
        <v>1</v>
      </c>
      <c r="T21" s="3340">
        <f t="shared" si="9"/>
        <v>-2166.0636936960004</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317.7975683570055</v>
      </c>
      <c r="R22" s="3334">
        <f t="shared" si="7"/>
        <v>-317.7975683570055</v>
      </c>
      <c r="S22" s="2597">
        <f t="shared" si="8"/>
        <v>1</v>
      </c>
      <c r="T22" s="3340">
        <f t="shared" si="9"/>
        <v>-1165.2577506423534</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29500</v>
      </c>
      <c r="H24" s="3326">
        <v>138.18384</v>
      </c>
      <c r="I24" s="3346"/>
      <c r="J24" s="3326">
        <v>-123.94955999999998</v>
      </c>
      <c r="K24" s="3334">
        <f t="shared" si="0"/>
        <v>29485.765719999999</v>
      </c>
      <c r="L24" s="2597">
        <f t="shared" si="6"/>
        <v>1</v>
      </c>
      <c r="M24" s="5" t="s">
        <v>97</v>
      </c>
      <c r="N24" s="3334">
        <f t="shared" si="2"/>
        <v>29485.765719999999</v>
      </c>
      <c r="O24" s="3307">
        <v>22.009090909090911</v>
      </c>
      <c r="P24" s="3334">
        <f t="shared" si="3"/>
        <v>648.95489825563641</v>
      </c>
      <c r="Q24" s="3334">
        <f>'Table1.A(d)'!G24</f>
        <v>710.89363636363623</v>
      </c>
      <c r="R24" s="3334">
        <f t="shared" si="7"/>
        <v>-61.938738107999825</v>
      </c>
      <c r="S24" s="2597">
        <f t="shared" si="8"/>
        <v>1</v>
      </c>
      <c r="T24" s="3340">
        <f t="shared" si="9"/>
        <v>-227.10870639599935</v>
      </c>
    </row>
    <row r="25" spans="2:20" ht="18" customHeight="1" x14ac:dyDescent="0.2">
      <c r="B25" s="1730"/>
      <c r="C25" s="1570"/>
      <c r="D25" s="36" t="s">
        <v>297</v>
      </c>
      <c r="E25" s="2595" t="s">
        <v>374</v>
      </c>
      <c r="F25" s="3346"/>
      <c r="G25" s="3326">
        <v>20400</v>
      </c>
      <c r="H25" s="3326">
        <v>16600</v>
      </c>
      <c r="I25" s="3326" t="s">
        <v>199</v>
      </c>
      <c r="J25" s="3326">
        <v>-5.6116200000000296</v>
      </c>
      <c r="K25" s="3334">
        <f t="shared" si="0"/>
        <v>3805.6116199999997</v>
      </c>
      <c r="L25" s="2597">
        <f t="shared" si="6"/>
        <v>1</v>
      </c>
      <c r="M25" s="5" t="s">
        <v>97</v>
      </c>
      <c r="N25" s="3334">
        <f t="shared" si="2"/>
        <v>3805.6116199999997</v>
      </c>
      <c r="O25" s="3307">
        <v>18.991363636363641</v>
      </c>
      <c r="P25" s="3334">
        <f t="shared" si="3"/>
        <v>72.273754134190924</v>
      </c>
      <c r="Q25" s="3334">
        <f>'Table1.A(d)'!G25</f>
        <v>254.48427272727275</v>
      </c>
      <c r="R25" s="3334">
        <f t="shared" si="7"/>
        <v>-182.21051859308182</v>
      </c>
      <c r="S25" s="2597">
        <f t="shared" si="8"/>
        <v>1</v>
      </c>
      <c r="T25" s="3340">
        <f t="shared" si="9"/>
        <v>-668.10523484129999</v>
      </c>
    </row>
    <row r="26" spans="2:20" ht="18" customHeight="1" x14ac:dyDescent="0.2">
      <c r="B26" s="1730"/>
      <c r="C26" s="1570"/>
      <c r="D26" s="36" t="s">
        <v>384</v>
      </c>
      <c r="E26" s="2595" t="s">
        <v>374</v>
      </c>
      <c r="F26" s="3346"/>
      <c r="G26" s="3326">
        <v>22714.426057999997</v>
      </c>
      <c r="H26" s="3326" t="s">
        <v>199</v>
      </c>
      <c r="I26" s="3346"/>
      <c r="J26" s="3326" t="s">
        <v>199</v>
      </c>
      <c r="K26" s="3334">
        <f t="shared" si="0"/>
        <v>22714.426057999997</v>
      </c>
      <c r="L26" s="2597">
        <f t="shared" si="6"/>
        <v>1</v>
      </c>
      <c r="M26" s="5" t="s">
        <v>97</v>
      </c>
      <c r="N26" s="3334">
        <f t="shared" si="2"/>
        <v>22714.426057999997</v>
      </c>
      <c r="O26" s="3307">
        <v>25.26136363636364</v>
      </c>
      <c r="P26" s="3334">
        <f t="shared" si="3"/>
        <v>573.79737644243187</v>
      </c>
      <c r="Q26" s="3334">
        <f>'Table1.A(d)'!G26</f>
        <v>573.79737644243176</v>
      </c>
      <c r="R26" s="3334">
        <f t="shared" si="7"/>
        <v>1.1368683772161603E-13</v>
      </c>
      <c r="S26" s="2597">
        <f t="shared" si="8"/>
        <v>1</v>
      </c>
      <c r="T26" s="3340">
        <f t="shared" si="9"/>
        <v>4.1685173831259209E-13</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15900</v>
      </c>
      <c r="H28" s="3326">
        <v>1500</v>
      </c>
      <c r="I28" s="3346"/>
      <c r="J28" s="3326">
        <v>-3841.0604200000002</v>
      </c>
      <c r="K28" s="3334">
        <f t="shared" si="0"/>
        <v>18241.060420000002</v>
      </c>
      <c r="L28" s="2597">
        <f t="shared" si="6"/>
        <v>1</v>
      </c>
      <c r="M28" s="5" t="s">
        <v>97</v>
      </c>
      <c r="N28" s="3334">
        <f t="shared" si="2"/>
        <v>18241.060420000002</v>
      </c>
      <c r="O28" s="3307">
        <v>19.036132663607511</v>
      </c>
      <c r="P28" s="3334">
        <f t="shared" si="3"/>
        <v>347.23924608000021</v>
      </c>
      <c r="Q28" s="3334">
        <f>'Table1.A(d)'!G28</f>
        <v>640.85783384727279</v>
      </c>
      <c r="R28" s="3334">
        <f t="shared" si="7"/>
        <v>-293.61858776727257</v>
      </c>
      <c r="S28" s="2597">
        <f t="shared" si="8"/>
        <v>1</v>
      </c>
      <c r="T28" s="3340">
        <f t="shared" si="9"/>
        <v>-1076.6014884799995</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2106003.6160780005</v>
      </c>
      <c r="O31" s="3329"/>
      <c r="P31" s="3336">
        <f>SUM(P11:P29)</f>
        <v>39972.28639493644</v>
      </c>
      <c r="Q31" s="3336">
        <f>SUM(Q11:Q29)</f>
        <v>2497.830687737619</v>
      </c>
      <c r="R31" s="3334">
        <f t="shared" si="7"/>
        <v>37474.455707198824</v>
      </c>
      <c r="S31" s="2598"/>
      <c r="T31" s="3342">
        <f>SUM(T11:T29)</f>
        <v>137406.33759306234</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10898314.588931562</v>
      </c>
      <c r="G35" s="3326" t="s">
        <v>199</v>
      </c>
      <c r="H35" s="3326">
        <v>9466531.5906949993</v>
      </c>
      <c r="I35" s="3326" t="s">
        <v>199</v>
      </c>
      <c r="J35" s="3326">
        <v>107190</v>
      </c>
      <c r="K35" s="3334">
        <f t="shared" si="10"/>
        <v>1324592.9982365631</v>
      </c>
      <c r="L35" s="2597">
        <f t="shared" si="11"/>
        <v>1</v>
      </c>
      <c r="M35" s="55" t="s">
        <v>97</v>
      </c>
      <c r="N35" s="3334">
        <f t="shared" si="12"/>
        <v>1324592.9982365631</v>
      </c>
      <c r="O35" s="3307">
        <v>24.357313920959989</v>
      </c>
      <c r="P35" s="3334">
        <f t="shared" si="13"/>
        <v>32263.527475553568</v>
      </c>
      <c r="Q35" s="3334">
        <f>'Table1.A(d)'!G35</f>
        <v>456.74316847636362</v>
      </c>
      <c r="R35" s="3334">
        <f t="shared" si="7"/>
        <v>31806.784307077203</v>
      </c>
      <c r="S35" s="2597">
        <f t="shared" si="14"/>
        <v>1</v>
      </c>
      <c r="T35" s="3340">
        <f t="shared" si="15"/>
        <v>116624.87579261641</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646758.70325568889</v>
      </c>
      <c r="G37" s="3326" t="s">
        <v>199</v>
      </c>
      <c r="H37" s="3326" t="s">
        <v>199</v>
      </c>
      <c r="I37" s="3346"/>
      <c r="J37" s="3326">
        <v>-860</v>
      </c>
      <c r="K37" s="3334">
        <f t="shared" si="10"/>
        <v>647618.70325568889</v>
      </c>
      <c r="L37" s="2597">
        <f t="shared" si="11"/>
        <v>1</v>
      </c>
      <c r="M37" s="55" t="s">
        <v>97</v>
      </c>
      <c r="N37" s="3334">
        <f t="shared" si="12"/>
        <v>647618.70325568889</v>
      </c>
      <c r="O37" s="3307">
        <v>25.207127385312749</v>
      </c>
      <c r="P37" s="3334">
        <f t="shared" si="13"/>
        <v>16324.607150077205</v>
      </c>
      <c r="Q37" s="3334">
        <f>'Table1.A(d)'!G37</f>
        <v>2.1739816711363602</v>
      </c>
      <c r="R37" s="3334">
        <f t="shared" si="7"/>
        <v>16322.433168406069</v>
      </c>
      <c r="S37" s="2597">
        <f t="shared" si="14"/>
        <v>1</v>
      </c>
      <c r="T37" s="3340">
        <f t="shared" si="15"/>
        <v>59848.921617488922</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1242.9711000000002</v>
      </c>
      <c r="H41" s="3326">
        <v>31180</v>
      </c>
      <c r="I41" s="3346"/>
      <c r="J41" s="3326" t="s">
        <v>199</v>
      </c>
      <c r="K41" s="3334">
        <f t="shared" si="16"/>
        <v>-29937.028900000001</v>
      </c>
      <c r="L41" s="2597">
        <f t="shared" si="17"/>
        <v>1</v>
      </c>
      <c r="M41" s="55" t="s">
        <v>97</v>
      </c>
      <c r="N41" s="3334">
        <f t="shared" si="18"/>
        <v>-29937.028900000001</v>
      </c>
      <c r="O41" s="3307">
        <v>29.027510200667919</v>
      </c>
      <c r="P41" s="3334">
        <f t="shared" si="19"/>
        <v>-868.99741177244027</v>
      </c>
      <c r="Q41" s="3334">
        <f>'Table1.A(d)'!G41</f>
        <v>1550.1369530058271</v>
      </c>
      <c r="R41" s="3334">
        <f t="shared" si="7"/>
        <v>-2419.1343647782674</v>
      </c>
      <c r="S41" s="2597">
        <f t="shared" si="20"/>
        <v>1</v>
      </c>
      <c r="T41" s="3340">
        <f t="shared" si="21"/>
        <v>-8870.1593375203138</v>
      </c>
    </row>
    <row r="42" spans="2:20" ht="18" customHeight="1" x14ac:dyDescent="0.2">
      <c r="B42" s="1730"/>
      <c r="C42" s="1571"/>
      <c r="D42" s="31" t="s">
        <v>398</v>
      </c>
      <c r="E42" s="2595" t="s">
        <v>374</v>
      </c>
      <c r="F42" s="3346"/>
      <c r="G42" s="3326" t="s">
        <v>199</v>
      </c>
      <c r="H42" s="3326" t="s">
        <v>199</v>
      </c>
      <c r="I42" s="3346"/>
      <c r="J42" s="3326">
        <v>70</v>
      </c>
      <c r="K42" s="3334">
        <f t="shared" si="16"/>
        <v>-70</v>
      </c>
      <c r="L42" s="2597">
        <f t="shared" si="17"/>
        <v>1</v>
      </c>
      <c r="M42" s="55" t="s">
        <v>97</v>
      </c>
      <c r="N42" s="3334">
        <f t="shared" si="18"/>
        <v>-70</v>
      </c>
      <c r="O42" s="3307">
        <v>22.309090909090909</v>
      </c>
      <c r="P42" s="3334">
        <f t="shared" si="19"/>
        <v>-1.5616363636363635</v>
      </c>
      <c r="Q42" s="3334">
        <f>'Table1.A(d)'!G42</f>
        <v>375.43453784938259</v>
      </c>
      <c r="R42" s="3334">
        <f t="shared" si="7"/>
        <v>-376.99617421301895</v>
      </c>
      <c r="S42" s="2597">
        <f t="shared" si="20"/>
        <v>1</v>
      </c>
      <c r="T42" s="3340">
        <f t="shared" si="21"/>
        <v>-1382.319305447736</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1942204.6725922518</v>
      </c>
      <c r="O45" s="3329"/>
      <c r="P45" s="3336">
        <f>SUM(P33:P43)</f>
        <v>47717.575577494696</v>
      </c>
      <c r="Q45" s="3336">
        <f>SUM(Q33:Q43)</f>
        <v>2384.4886410027098</v>
      </c>
      <c r="R45" s="3336">
        <f>SUM(R33:R43)</f>
        <v>45333.086936491985</v>
      </c>
      <c r="S45" s="41"/>
      <c r="T45" s="3342">
        <f>SUM(T33:T43)</f>
        <v>166221.31876713727</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2413161.2250000001</v>
      </c>
      <c r="G47" s="3326">
        <v>244377.94638389998</v>
      </c>
      <c r="H47" s="3326">
        <v>1278563.2</v>
      </c>
      <c r="I47" s="3326" t="s">
        <v>199</v>
      </c>
      <c r="J47" s="3326">
        <v>34341.659580656138</v>
      </c>
      <c r="K47" s="3334">
        <f t="shared" ref="K47" si="22">IF((SUM(F47:G47)-SUM(H47:J47))=0,"NO",(SUM(F47:G47)-SUM(H47:J47)))</f>
        <v>1344634.3118032441</v>
      </c>
      <c r="L47" s="2597">
        <f t="shared" ref="L47" si="23">IF(K47="NO","NA",1)</f>
        <v>1</v>
      </c>
      <c r="M47" s="55" t="s">
        <v>97</v>
      </c>
      <c r="N47" s="3334">
        <f t="shared" ref="N47" si="24">K47</f>
        <v>1344634.3118032441</v>
      </c>
      <c r="O47" s="3307">
        <v>13.932032484173339</v>
      </c>
      <c r="P47" s="3334">
        <f t="shared" ref="P47" si="25">IFERROR(N47*O47/1000,"NA")</f>
        <v>18733.488911376859</v>
      </c>
      <c r="Q47" s="3334">
        <f>'Table1.A(d)'!G47</f>
        <v>683.28987531684663</v>
      </c>
      <c r="R47" s="3334">
        <f t="shared" ref="R47" si="26">IF(SUM(P47,-SUM(Q47))=0,"NO",SUM(P47,-SUM(Q47)))</f>
        <v>18050.19903606001</v>
      </c>
      <c r="S47" s="2597">
        <f t="shared" ref="S47" si="27">IF(R47="NO","NA",1)</f>
        <v>1</v>
      </c>
      <c r="T47" s="3340">
        <f t="shared" ref="T47" si="28">IF(R47="NO","NO",R47*S47*44/12)</f>
        <v>66184.063132220035</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1344634.3118032441</v>
      </c>
      <c r="O50" s="3331"/>
      <c r="P50" s="3336">
        <f>SUM(P47:P48)</f>
        <v>18733.488911376859</v>
      </c>
      <c r="Q50" s="3336">
        <f>SUM(Q47:Q48)</f>
        <v>683.28987531684663</v>
      </c>
      <c r="R50" s="3336">
        <f>SUM(R47:R48)</f>
        <v>18050.19903606001</v>
      </c>
      <c r="S50" s="2379"/>
      <c r="T50" s="3342">
        <f>SUM(T47:T48)</f>
        <v>66184.063132220035</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274</v>
      </c>
      <c r="G52" s="3355" t="s">
        <v>274</v>
      </c>
      <c r="H52" s="3355" t="s">
        <v>274</v>
      </c>
      <c r="I52" s="3326" t="s">
        <v>199</v>
      </c>
      <c r="J52" s="3355">
        <v>-409.93</v>
      </c>
      <c r="K52" s="3334">
        <f t="shared" ref="K52:K53" si="29">IF((SUM(F52:G52)-SUM(H52:J52))=0,"NO",(SUM(F52:G52)-SUM(H52:J52)))</f>
        <v>409.93</v>
      </c>
      <c r="L52" s="2597">
        <f t="shared" ref="L52:L53" si="30">IF(K52="NO","NA",1)</f>
        <v>1</v>
      </c>
      <c r="M52" s="55" t="s">
        <v>97</v>
      </c>
      <c r="N52" s="3334">
        <f t="shared" ref="N52:N53" si="31">K52</f>
        <v>409.93</v>
      </c>
      <c r="O52" s="3307">
        <v>0.64733890265078498</v>
      </c>
      <c r="P52" s="3334">
        <f t="shared" ref="P52:P53" si="32">IFERROR(N52*O52/1000,"NA")</f>
        <v>0.2653636363636363</v>
      </c>
      <c r="Q52" s="3339" t="str">
        <f>'Table1.A(d)'!G52</f>
        <v>NA</v>
      </c>
      <c r="R52" s="3334">
        <f t="shared" ref="R52:R53" si="33">IF(SUM(P52,-SUM(Q52))=0,"NO",SUM(P52,-SUM(Q52)))</f>
        <v>0.2653636363636363</v>
      </c>
      <c r="S52" s="2597">
        <f t="shared" ref="S52:S53" si="34">IF(R52="NO","NA",1)</f>
        <v>1</v>
      </c>
      <c r="T52" s="3340">
        <f t="shared" ref="T52:T53" si="35">IF(R52="NO","NO",R52*S52*44/12)</f>
        <v>0.97299999999999975</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409.93</v>
      </c>
      <c r="O54" s="3332"/>
      <c r="P54" s="3338">
        <f>SUM(P51:P53)</f>
        <v>0.2653636363636363</v>
      </c>
      <c r="Q54" s="3338">
        <f>SUM(Q51:Q53)</f>
        <v>0</v>
      </c>
      <c r="R54" s="3338">
        <f>SUM(R51:R53)</f>
        <v>0.2653636363636363</v>
      </c>
      <c r="S54" s="2399"/>
      <c r="T54" s="3344">
        <f>SUM(T51:T53)</f>
        <v>0.97299999999999975</v>
      </c>
    </row>
    <row r="55" spans="2:20" ht="18" customHeight="1" thickBot="1" x14ac:dyDescent="0.25">
      <c r="B55" s="2395" t="s">
        <v>409</v>
      </c>
      <c r="C55" s="2396"/>
      <c r="D55" s="2396"/>
      <c r="E55" s="100"/>
      <c r="F55" s="3356"/>
      <c r="G55" s="3356"/>
      <c r="H55" s="3356"/>
      <c r="I55" s="3356"/>
      <c r="J55" s="3356"/>
      <c r="K55" s="3357"/>
      <c r="L55" s="2397"/>
      <c r="M55" s="2398"/>
      <c r="N55" s="3338">
        <f>SUM(N31,N45,N50,N54)</f>
        <v>5393252.5304734958</v>
      </c>
      <c r="O55" s="3332"/>
      <c r="P55" s="3338">
        <f>SUM(P31,P45,P50,P54)</f>
        <v>106423.61624744436</v>
      </c>
      <c r="Q55" s="3338">
        <f>SUM(Q31,Q45,Q50,Q54)</f>
        <v>5565.6092040571748</v>
      </c>
      <c r="R55" s="3338">
        <f>SUM(R31,R45,R50,R54)</f>
        <v>100858.00704338719</v>
      </c>
      <c r="S55" s="2399"/>
      <c r="T55" s="3344">
        <f>SUM(T31,T45,T50,T54)</f>
        <v>369812.69249241962</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2106.0036160780005</v>
      </c>
      <c r="D10" s="4127">
        <f>C10-'Table1.A(d)'!E31/1000</f>
        <v>1982.0983104911122</v>
      </c>
      <c r="E10" s="4126">
        <f>'Table1.A(b)'!T31</f>
        <v>137406.33759306234</v>
      </c>
      <c r="F10" s="4126">
        <f>'Table1.A(a)s1'!C11/1000</f>
        <v>1969.4036483331015</v>
      </c>
      <c r="G10" s="4126">
        <f>'Table1.A(a)s1'!H11</f>
        <v>134456.56552328856</v>
      </c>
      <c r="H10" s="4126">
        <f>100*((D10-F10)/F10)</f>
        <v>0.64459422367554997</v>
      </c>
      <c r="I10" s="4128">
        <f>100*((E10-G10)/G10)</f>
        <v>2.1938475509125412</v>
      </c>
      <c r="L10"/>
    </row>
    <row r="11" spans="2:12" ht="18" customHeight="1" x14ac:dyDescent="0.2">
      <c r="B11" s="50" t="s">
        <v>430</v>
      </c>
      <c r="C11" s="4126">
        <f>'Table1.A(b)'!N45/1000</f>
        <v>1942.2046725922519</v>
      </c>
      <c r="D11" s="4126">
        <f>C11-'Table1.A(d)'!E45/1000</f>
        <v>1851.3975870480517</v>
      </c>
      <c r="E11" s="4126">
        <f>'Table1.A(b)'!T45</f>
        <v>166221.31876713727</v>
      </c>
      <c r="F11" s="4126">
        <f>'Table1.A(a)s1'!C12/1000</f>
        <v>1869.413456136698</v>
      </c>
      <c r="G11" s="4126">
        <f>'Table1.A(a)s1'!H12</f>
        <v>168054.00635386418</v>
      </c>
      <c r="H11" s="4126">
        <f t="shared" ref="H11:H13" si="0">100*((D11-F11)/F11)</f>
        <v>-0.96371773881833334</v>
      </c>
      <c r="I11" s="4128">
        <f t="shared" ref="I11:I13" si="1">100*((E11-G11)/G11)</f>
        <v>-1.0905348979707745</v>
      </c>
      <c r="L11"/>
    </row>
    <row r="12" spans="2:12" ht="18" customHeight="1" x14ac:dyDescent="0.2">
      <c r="B12" s="50" t="s">
        <v>431</v>
      </c>
      <c r="C12" s="4126">
        <f>'Table1.A(b)'!N50/1000</f>
        <v>1344.6343118032441</v>
      </c>
      <c r="D12" s="4126">
        <f>C12-'Table1.A(d)'!E50/1000</f>
        <v>1295.9024945432441</v>
      </c>
      <c r="E12" s="4126">
        <f>'Table1.A(b)'!T50</f>
        <v>66184.063132220035</v>
      </c>
      <c r="F12" s="4126">
        <f>'Table1.A(a)s1'!C13/1000</f>
        <v>1285.7239762385814</v>
      </c>
      <c r="G12" s="4126">
        <f>'Table1.A(a)s1'!H13</f>
        <v>65810.973110614344</v>
      </c>
      <c r="H12" s="4126">
        <f t="shared" si="0"/>
        <v>0.79165656803260531</v>
      </c>
      <c r="I12" s="4128">
        <f t="shared" si="1"/>
        <v>0.56691157108193069</v>
      </c>
      <c r="L12"/>
    </row>
    <row r="13" spans="2:12" ht="18" customHeight="1" x14ac:dyDescent="0.2">
      <c r="B13" s="50" t="s">
        <v>432</v>
      </c>
      <c r="C13" s="4126">
        <f>'Table1.A(b)'!N54/1000</f>
        <v>0.40993000000000002</v>
      </c>
      <c r="D13" s="4126">
        <f>C13-SUM('Table1.A(d)'!E54)/1000</f>
        <v>0.40993000000000002</v>
      </c>
      <c r="E13" s="4126">
        <f>'Table1.A(b)'!T54</f>
        <v>0.97299999999999975</v>
      </c>
      <c r="F13" s="4126">
        <f>'Table1.A(a)s1'!C14/1000</f>
        <v>0.4263530256725343</v>
      </c>
      <c r="G13" s="4126">
        <f>'Table1.A(a)s1'!H14</f>
        <v>2.1764881543267718</v>
      </c>
      <c r="H13" s="4126">
        <f t="shared" si="0"/>
        <v>-3.8519782160871054</v>
      </c>
      <c r="I13" s="4128">
        <f t="shared" si="1"/>
        <v>-55.294955404847265</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5393.2525304734963</v>
      </c>
      <c r="D15" s="4196">
        <f>SUM(D10:D14)</f>
        <v>5129.8083220824074</v>
      </c>
      <c r="E15" s="4196">
        <f>SUM(E10:E14)</f>
        <v>369812.69249241962</v>
      </c>
      <c r="F15" s="4196">
        <f>SUM(F10:F14)</f>
        <v>5124.967433734053</v>
      </c>
      <c r="G15" s="4196">
        <f>SUM(G10:G14)</f>
        <v>368323.72147592145</v>
      </c>
      <c r="H15" s="4197">
        <f t="shared" ref="H15" si="2">100*((D15-F15)/F15)</f>
        <v>9.4456958233338675E-2</v>
      </c>
      <c r="I15" s="4198">
        <f t="shared" ref="I15" si="3">100*((E15-G15)/G15)</f>
        <v>0.40425607412187953</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2.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2024-04-12T01:06:25Z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