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5" documentId="13_ncr:1_{E1E05305-4988-4E66-B169-3EF0366CAF2C}" xr6:coauthVersionLast="47" xr6:coauthVersionMax="47" xr10:uidLastSave="{A8700B46-7D0A-458F-B6C9-DB3E2A670659}"/>
  <bookViews>
    <workbookView xWindow="150" yWindow="600" windowWidth="28125" windowHeight="1372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7" i="73" l="1"/>
  <c r="K32" i="114"/>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AL10" i="12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O18" i="70" l="1"/>
  <c r="O22" i="70"/>
  <c r="C30" i="70"/>
  <c r="Q26" i="70"/>
  <c r="I50" i="70"/>
  <c r="I18" i="70"/>
  <c r="I30" i="70"/>
  <c r="I41" i="70" l="1"/>
  <c r="C22" i="70"/>
  <c r="I22" i="70"/>
  <c r="O41" i="70"/>
  <c r="O12" i="70"/>
  <c r="O11" i="70" s="1"/>
  <c r="C41" i="70"/>
  <c r="C18" i="70"/>
  <c r="O50" i="70"/>
  <c r="O30" i="70"/>
  <c r="I12" i="70"/>
  <c r="I11" i="70" s="1"/>
  <c r="I10" i="70" s="1"/>
  <c r="S26" i="70"/>
  <c r="T26" i="70"/>
  <c r="R26" i="70"/>
  <c r="C12" i="70"/>
  <c r="C11" i="70" s="1"/>
  <c r="C10" i="70" s="1"/>
  <c r="O10" i="70" l="1"/>
  <c r="C10" i="73" l="1"/>
  <c r="E34" i="73" s="1"/>
  <c r="E35" i="73" s="1"/>
  <c r="D282" i="56" l="1"/>
  <c r="D281" i="56"/>
  <c r="D302" i="56"/>
  <c r="D423" i="56"/>
  <c r="D415" i="56"/>
  <c r="C17" i="124"/>
  <c r="C11" i="124"/>
  <c r="C10" i="124" s="1"/>
  <c r="D411" i="56" l="1"/>
  <c r="D331" i="56"/>
  <c r="D327" i="56" s="1"/>
  <c r="D277" i="56"/>
  <c r="R18" i="50"/>
  <c r="R13" i="50" s="1"/>
  <c r="R10" i="50" s="1"/>
  <c r="Q17" i="52"/>
  <c r="Q11" i="52" s="1"/>
  <c r="Q10" i="52" s="1"/>
  <c r="Q11" i="53"/>
  <c r="P11" i="53"/>
  <c r="R21" i="51"/>
  <c r="R15" i="51" s="1"/>
  <c r="R10" i="51" s="1"/>
  <c r="K12" i="51" l="1"/>
  <c r="D12" i="51"/>
  <c r="D18" i="52"/>
  <c r="K18" i="52"/>
  <c r="F18" i="50"/>
  <c r="L19" i="50"/>
  <c r="S22" i="51"/>
  <c r="S21" i="51" s="1"/>
  <c r="Q21" i="51"/>
  <c r="N11" i="53"/>
  <c r="K22" i="51"/>
  <c r="E21" i="51"/>
  <c r="D22" i="51"/>
  <c r="F21" i="51"/>
  <c r="L22" i="51"/>
  <c r="K15" i="52"/>
  <c r="D15" i="52"/>
  <c r="E14" i="52"/>
  <c r="D16" i="52"/>
  <c r="K16" i="52"/>
  <c r="I35" i="47"/>
  <c r="Q18" i="50"/>
  <c r="S19" i="50"/>
  <c r="S18" i="50" s="1"/>
  <c r="K19" i="50"/>
  <c r="D19" i="50"/>
  <c r="E18" i="50"/>
  <c r="K18" i="50" s="1"/>
  <c r="P17" i="52"/>
  <c r="P11" i="52" s="1"/>
  <c r="P10" i="52" s="1"/>
  <c r="P11" i="51"/>
  <c r="N11" i="51" l="1"/>
  <c r="M11" i="53"/>
  <c r="O12" i="53"/>
  <c r="N17" i="52"/>
  <c r="N11" i="52" s="1"/>
  <c r="G16" i="52"/>
  <c r="J16" i="52"/>
  <c r="H16" i="52"/>
  <c r="I16" i="52"/>
  <c r="P22" i="49"/>
  <c r="U22" i="49" s="1"/>
  <c r="O18" i="52"/>
  <c r="D18" i="50"/>
  <c r="G19" i="50"/>
  <c r="J19" i="50"/>
  <c r="H19" i="50"/>
  <c r="I19" i="50"/>
  <c r="O18" i="51"/>
  <c r="S18" i="51" s="1"/>
  <c r="K14" i="52"/>
  <c r="O12" i="51"/>
  <c r="M11" i="51"/>
  <c r="J15" i="52"/>
  <c r="D14" i="52"/>
  <c r="G15" i="52"/>
  <c r="I15" i="52"/>
  <c r="H15" i="52"/>
  <c r="F13" i="50"/>
  <c r="L18" i="50"/>
  <c r="P15" i="49"/>
  <c r="U15" i="49" s="1"/>
  <c r="F15" i="51"/>
  <c r="L21" i="51"/>
  <c r="H18" i="52"/>
  <c r="J18" i="52"/>
  <c r="G18" i="52"/>
  <c r="I18" i="52"/>
  <c r="I22" i="51"/>
  <c r="D21" i="51"/>
  <c r="J22" i="51"/>
  <c r="H22" i="51"/>
  <c r="G22" i="51"/>
  <c r="K21" i="51"/>
  <c r="J12" i="51"/>
  <c r="G12" i="51"/>
  <c r="H12" i="51"/>
  <c r="I12" i="51"/>
  <c r="P14" i="49"/>
  <c r="G45" i="59"/>
  <c r="G22" i="59"/>
  <c r="G16" i="59"/>
  <c r="F23" i="59" l="1"/>
  <c r="G23" i="59" s="1"/>
  <c r="G24" i="59"/>
  <c r="G14" i="59"/>
  <c r="H21" i="51"/>
  <c r="G21" i="51"/>
  <c r="I21" i="51"/>
  <c r="J21" i="51"/>
  <c r="F10" i="50"/>
  <c r="L10" i="50" s="1"/>
  <c r="L13" i="50"/>
  <c r="O19" i="52"/>
  <c r="S19" i="52" s="1"/>
  <c r="I14" i="52"/>
  <c r="H14" i="52"/>
  <c r="J14" i="52"/>
  <c r="G14" i="52"/>
  <c r="H18" i="50"/>
  <c r="I18" i="50"/>
  <c r="G18" i="50"/>
  <c r="J18" i="50"/>
  <c r="S12" i="53"/>
  <c r="S11" i="53" s="1"/>
  <c r="O11" i="53"/>
  <c r="L15" i="51"/>
  <c r="F10" i="51"/>
  <c r="L10" i="51" s="1"/>
  <c r="F50" i="59"/>
  <c r="G51" i="59"/>
  <c r="M17" i="52"/>
  <c r="M11" i="52" s="1"/>
  <c r="F17" i="59"/>
  <c r="G17" i="59" s="1"/>
  <c r="G18" i="59"/>
  <c r="F38" i="59"/>
  <c r="G39" i="59"/>
  <c r="S18" i="52"/>
  <c r="S17" i="52" s="1"/>
  <c r="S11" i="52" s="1"/>
  <c r="O17" i="52"/>
  <c r="O11" i="52" s="1"/>
  <c r="S12" i="51"/>
  <c r="O14" i="51"/>
  <c r="S14" i="51" s="1"/>
  <c r="O11" i="51" l="1"/>
  <c r="C21" i="47"/>
  <c r="F49" i="59"/>
  <c r="G50" i="59"/>
  <c r="G38" i="59"/>
  <c r="F37" i="59"/>
  <c r="C24" i="47"/>
  <c r="T23" i="49"/>
  <c r="T16" i="49" s="1"/>
  <c r="T10" i="49" s="1"/>
  <c r="Q16" i="51"/>
  <c r="Q15" i="51" s="1"/>
  <c r="D21" i="49"/>
  <c r="Q14" i="53"/>
  <c r="Q13" i="53" s="1"/>
  <c r="Q10" i="53" s="1"/>
  <c r="R14" i="53"/>
  <c r="R13" i="53" s="1"/>
  <c r="R10" i="53" s="1"/>
  <c r="Q14" i="50"/>
  <c r="Q13" i="50" s="1"/>
  <c r="S25" i="49"/>
  <c r="S17" i="49"/>
  <c r="S11" i="49"/>
  <c r="E16" i="51" l="1"/>
  <c r="D17" i="51"/>
  <c r="K17" i="51"/>
  <c r="L13" i="49"/>
  <c r="D13" i="49"/>
  <c r="F23" i="49"/>
  <c r="D24" i="49"/>
  <c r="M24" i="49"/>
  <c r="E14" i="50"/>
  <c r="K15" i="50"/>
  <c r="D15" i="50"/>
  <c r="G33" i="59"/>
  <c r="F32" i="59"/>
  <c r="G37" i="59"/>
  <c r="K16" i="53"/>
  <c r="D16" i="53"/>
  <c r="E14" i="53"/>
  <c r="D12" i="49"/>
  <c r="L12" i="49"/>
  <c r="D18" i="49"/>
  <c r="E17" i="49"/>
  <c r="L18" i="49"/>
  <c r="G67" i="59"/>
  <c r="F66" i="59"/>
  <c r="F43" i="59"/>
  <c r="G44" i="59"/>
  <c r="G49" i="59"/>
  <c r="F48" i="59"/>
  <c r="G48" i="59" s="1"/>
  <c r="K37" i="52"/>
  <c r="E36" i="52"/>
  <c r="D37" i="52"/>
  <c r="I21" i="59"/>
  <c r="F20" i="59"/>
  <c r="G21" i="59"/>
  <c r="H21" i="59"/>
  <c r="E25" i="49"/>
  <c r="D26" i="49"/>
  <c r="L26" i="49"/>
  <c r="D15" i="53"/>
  <c r="F14" i="53"/>
  <c r="L15" i="53"/>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Q19" i="49"/>
  <c r="J21" i="49"/>
  <c r="N14" i="53"/>
  <c r="N13" i="53" s="1"/>
  <c r="N10" i="53" s="1"/>
  <c r="R23" i="49"/>
  <c r="R19" i="49"/>
  <c r="R16" i="49" s="1"/>
  <c r="K21" i="49"/>
  <c r="L21" i="49"/>
  <c r="Q16" i="49" l="1"/>
  <c r="N11" i="49"/>
  <c r="P12" i="49"/>
  <c r="O17" i="51"/>
  <c r="M16" i="51"/>
  <c r="M15" i="51" s="1"/>
  <c r="M10" i="51" s="1"/>
  <c r="D36" i="52"/>
  <c r="G37" i="52"/>
  <c r="H37" i="52"/>
  <c r="J37" i="52"/>
  <c r="H16" i="53"/>
  <c r="I16" i="53"/>
  <c r="G16" i="53"/>
  <c r="E13" i="50"/>
  <c r="K13" i="50" s="1"/>
  <c r="K14" i="50"/>
  <c r="C23" i="57"/>
  <c r="M14" i="50"/>
  <c r="M13" i="50" s="1"/>
  <c r="O15" i="50"/>
  <c r="E35" i="52"/>
  <c r="K36" i="52"/>
  <c r="F65" i="59"/>
  <c r="G66" i="59"/>
  <c r="E13" i="53"/>
  <c r="K13" i="53" s="1"/>
  <c r="C50" i="57"/>
  <c r="K14" i="53"/>
  <c r="F13" i="53"/>
  <c r="L14" i="53"/>
  <c r="K24" i="49"/>
  <c r="G24" i="49"/>
  <c r="D23" i="49"/>
  <c r="H24" i="49"/>
  <c r="J24" i="49"/>
  <c r="I24" i="49"/>
  <c r="O11" i="49"/>
  <c r="D14" i="53"/>
  <c r="G15" i="53"/>
  <c r="H15" i="53"/>
  <c r="J15" i="53"/>
  <c r="I15" i="53"/>
  <c r="M23" i="49"/>
  <c r="F16" i="49"/>
  <c r="L20" i="49"/>
  <c r="E19" i="49"/>
  <c r="D20" i="49"/>
  <c r="N25" i="49"/>
  <c r="P26" i="49"/>
  <c r="I26" i="49" s="1"/>
  <c r="K13" i="49"/>
  <c r="J13" i="49"/>
  <c r="G13" i="49"/>
  <c r="H13" i="49"/>
  <c r="S19" i="49"/>
  <c r="S16" i="49" s="1"/>
  <c r="S10" i="49" s="1"/>
  <c r="P24" i="49"/>
  <c r="N23" i="49"/>
  <c r="J16" i="53"/>
  <c r="G26" i="49"/>
  <c r="D25" i="49"/>
  <c r="K26" i="49"/>
  <c r="J26" i="49"/>
  <c r="H26" i="49"/>
  <c r="O16" i="53"/>
  <c r="C18" i="57"/>
  <c r="L25" i="49"/>
  <c r="L17" i="49"/>
  <c r="C15" i="57"/>
  <c r="D17" i="49"/>
  <c r="H18" i="49"/>
  <c r="G18" i="49"/>
  <c r="J18" i="49"/>
  <c r="K18" i="49"/>
  <c r="I18" i="49"/>
  <c r="G15" i="59"/>
  <c r="F13" i="59"/>
  <c r="P18" i="49"/>
  <c r="N17" i="49"/>
  <c r="G32" i="59"/>
  <c r="F31" i="59"/>
  <c r="M14" i="53"/>
  <c r="M13" i="53" s="1"/>
  <c r="M10" i="53" s="1"/>
  <c r="O15" i="53"/>
  <c r="P13" i="49"/>
  <c r="U13" i="49" s="1"/>
  <c r="O37" i="52"/>
  <c r="M36" i="52"/>
  <c r="M35" i="52" s="1"/>
  <c r="M23" i="52" s="1"/>
  <c r="M10" i="52" s="1"/>
  <c r="F21" i="52"/>
  <c r="L22" i="52"/>
  <c r="D22" i="52"/>
  <c r="H17" i="51"/>
  <c r="D16" i="51"/>
  <c r="G17" i="51"/>
  <c r="J17" i="51"/>
  <c r="I17" i="51"/>
  <c r="R11" i="49"/>
  <c r="R10" i="49" s="1"/>
  <c r="H21" i="49"/>
  <c r="F19" i="59"/>
  <c r="G20" i="59"/>
  <c r="F42" i="59"/>
  <c r="G43" i="59"/>
  <c r="J12" i="49"/>
  <c r="K12" i="49"/>
  <c r="G12" i="49"/>
  <c r="H12" i="49"/>
  <c r="J15" i="50"/>
  <c r="I15" i="50"/>
  <c r="D14" i="50"/>
  <c r="G15" i="50"/>
  <c r="H15" i="50"/>
  <c r="C32" i="57"/>
  <c r="E15" i="51"/>
  <c r="K15" i="51" s="1"/>
  <c r="K16" i="51"/>
  <c r="H20" i="49" l="1"/>
  <c r="D19" i="49"/>
  <c r="J20" i="49"/>
  <c r="K20" i="49"/>
  <c r="G20" i="49"/>
  <c r="F59" i="59"/>
  <c r="G65" i="59"/>
  <c r="G31" i="59"/>
  <c r="F25" i="59"/>
  <c r="G25" i="59" s="1"/>
  <c r="G42" i="59"/>
  <c r="F36" i="59"/>
  <c r="G36" i="59" s="1"/>
  <c r="P23" i="49"/>
  <c r="I23" i="49" s="1"/>
  <c r="U24" i="49"/>
  <c r="U23" i="49" s="1"/>
  <c r="H23" i="49"/>
  <c r="K23" i="49"/>
  <c r="J23" i="49"/>
  <c r="G23" i="49"/>
  <c r="C30" i="57"/>
  <c r="E16" i="49"/>
  <c r="L16" i="49" s="1"/>
  <c r="L19" i="49"/>
  <c r="C16" i="57"/>
  <c r="G14" i="50"/>
  <c r="D13" i="50"/>
  <c r="H14" i="50"/>
  <c r="J14" i="50"/>
  <c r="I14" i="50"/>
  <c r="D21" i="52"/>
  <c r="I22" i="52"/>
  <c r="J22" i="52"/>
  <c r="G22" i="52"/>
  <c r="H22" i="52"/>
  <c r="F10" i="49"/>
  <c r="M10" i="49" s="1"/>
  <c r="M16" i="49"/>
  <c r="K35" i="52"/>
  <c r="E23" i="52"/>
  <c r="K23" i="52" s="1"/>
  <c r="J36" i="52"/>
  <c r="D35" i="52"/>
  <c r="G36" i="52"/>
  <c r="H36" i="52"/>
  <c r="G17" i="49"/>
  <c r="J17" i="49"/>
  <c r="K17" i="49"/>
  <c r="H17" i="49"/>
  <c r="J16" i="51"/>
  <c r="H16" i="51"/>
  <c r="G16" i="51"/>
  <c r="D15" i="51"/>
  <c r="I16" i="51"/>
  <c r="P17" i="49"/>
  <c r="U18" i="49"/>
  <c r="U17" i="49" s="1"/>
  <c r="S15" i="50"/>
  <c r="S14" i="50" s="1"/>
  <c r="S13" i="50" s="1"/>
  <c r="C16" i="47" s="1"/>
  <c r="O14" i="50"/>
  <c r="O13" i="50" s="1"/>
  <c r="P14" i="53"/>
  <c r="P13" i="53" s="1"/>
  <c r="P10" i="53" s="1"/>
  <c r="P25" i="49"/>
  <c r="I25" i="49" s="1"/>
  <c r="U26" i="49"/>
  <c r="U25" i="49" s="1"/>
  <c r="L21" i="52"/>
  <c r="F17" i="52"/>
  <c r="G13" i="59"/>
  <c r="F12" i="59"/>
  <c r="S16" i="53"/>
  <c r="I13" i="49"/>
  <c r="C21" i="57"/>
  <c r="O16" i="51"/>
  <c r="O15" i="51" s="1"/>
  <c r="O10" i="51" s="1"/>
  <c r="S17" i="51"/>
  <c r="S16" i="51" s="1"/>
  <c r="S15" i="51" s="1"/>
  <c r="C19" i="47" s="1"/>
  <c r="I12" i="49"/>
  <c r="U12" i="49"/>
  <c r="P11" i="49"/>
  <c r="I37" i="52"/>
  <c r="O36" i="52"/>
  <c r="O35" i="52" s="1"/>
  <c r="O23" i="52" s="1"/>
  <c r="O10" i="52" s="1"/>
  <c r="S37" i="52"/>
  <c r="S36" i="52" s="1"/>
  <c r="S35" i="52" s="1"/>
  <c r="S23" i="52" s="1"/>
  <c r="N19" i="49"/>
  <c r="N16" i="49" s="1"/>
  <c r="N10" i="49" s="1"/>
  <c r="P20" i="49"/>
  <c r="I20" i="49" s="1"/>
  <c r="C48" i="57"/>
  <c r="F10" i="53"/>
  <c r="L10" i="53" s="1"/>
  <c r="L13" i="53"/>
  <c r="P21" i="49"/>
  <c r="G21" i="49"/>
  <c r="O19" i="49"/>
  <c r="O16" i="49" s="1"/>
  <c r="O10" i="49" s="1"/>
  <c r="O14" i="53"/>
  <c r="O13" i="53" s="1"/>
  <c r="O10" i="53" s="1"/>
  <c r="S15" i="53"/>
  <c r="H25" i="49"/>
  <c r="K25" i="49"/>
  <c r="J25" i="49"/>
  <c r="G25" i="49"/>
  <c r="G14" i="53"/>
  <c r="D13" i="53"/>
  <c r="H14" i="53"/>
  <c r="J14" i="53"/>
  <c r="I36" i="52" l="1"/>
  <c r="S14" i="53"/>
  <c r="S13" i="53" s="1"/>
  <c r="C22" i="47"/>
  <c r="C20" i="47" s="1"/>
  <c r="S10" i="52"/>
  <c r="J21" i="52"/>
  <c r="G21" i="52"/>
  <c r="H21" i="52"/>
  <c r="I21" i="52"/>
  <c r="I17" i="49"/>
  <c r="P16" i="49"/>
  <c r="I16" i="49" s="1"/>
  <c r="I35" i="52"/>
  <c r="J35" i="52"/>
  <c r="G35" i="52"/>
  <c r="H35" i="52"/>
  <c r="D23" i="52"/>
  <c r="H15" i="51"/>
  <c r="G15" i="51"/>
  <c r="I15" i="51"/>
  <c r="J15" i="51"/>
  <c r="D12" i="53"/>
  <c r="E11" i="53"/>
  <c r="K12" i="53"/>
  <c r="I14" i="53"/>
  <c r="G13" i="50"/>
  <c r="I13" i="50"/>
  <c r="J13" i="50"/>
  <c r="H13" i="50"/>
  <c r="G59" i="59"/>
  <c r="F11" i="59"/>
  <c r="G12" i="59"/>
  <c r="U21" i="49"/>
  <c r="I21" i="49"/>
  <c r="L17" i="52"/>
  <c r="F11" i="52"/>
  <c r="I13" i="53"/>
  <c r="J13" i="53"/>
  <c r="H13" i="53"/>
  <c r="G13" i="53"/>
  <c r="C13" i="57"/>
  <c r="C20" i="57"/>
  <c r="D16" i="49"/>
  <c r="H19" i="49"/>
  <c r="K19" i="49"/>
  <c r="J19" i="49"/>
  <c r="G19" i="49"/>
  <c r="P19" i="49"/>
  <c r="I19" i="49" s="1"/>
  <c r="U20" i="49"/>
  <c r="U19" i="49" s="1"/>
  <c r="U16" i="49" s="1"/>
  <c r="C13" i="47" s="1"/>
  <c r="J20" i="48"/>
  <c r="M17" i="48"/>
  <c r="E20" i="48"/>
  <c r="M12" i="48" l="1"/>
  <c r="D14" i="49"/>
  <c r="L14" i="49"/>
  <c r="E11" i="49"/>
  <c r="E11" i="50"/>
  <c r="D12" i="50"/>
  <c r="K11" i="53"/>
  <c r="C47" i="57"/>
  <c r="E10" i="53"/>
  <c r="K10" i="53" s="1"/>
  <c r="D32" i="57"/>
  <c r="D30" i="57" s="1"/>
  <c r="F30" i="57" s="1"/>
  <c r="H30" i="57"/>
  <c r="D20" i="52"/>
  <c r="K20" i="52"/>
  <c r="E17" i="52"/>
  <c r="M15" i="48"/>
  <c r="F10" i="59"/>
  <c r="D11" i="53"/>
  <c r="H12" i="53"/>
  <c r="J12" i="53"/>
  <c r="I12" i="53"/>
  <c r="G12" i="53"/>
  <c r="E21" i="48"/>
  <c r="J21" i="48"/>
  <c r="M13" i="48"/>
  <c r="K20" i="48"/>
  <c r="M18" i="48"/>
  <c r="C20" i="48"/>
  <c r="M10" i="48"/>
  <c r="E10" i="54"/>
  <c r="D11" i="54"/>
  <c r="D10" i="54" s="1"/>
  <c r="F10" i="52"/>
  <c r="L10" i="52" s="1"/>
  <c r="L11" i="52"/>
  <c r="H23" i="52"/>
  <c r="I23" i="52"/>
  <c r="G23" i="52"/>
  <c r="J23" i="52"/>
  <c r="C46" i="109"/>
  <c r="D13" i="51"/>
  <c r="E11" i="51"/>
  <c r="C25" i="47"/>
  <c r="S10" i="53"/>
  <c r="H16" i="49"/>
  <c r="G16" i="49"/>
  <c r="J16" i="49"/>
  <c r="K16" i="49"/>
  <c r="F20" i="48"/>
  <c r="F21" i="48" s="1"/>
  <c r="H20" i="48"/>
  <c r="H21" i="48" s="1"/>
  <c r="P10" i="49"/>
  <c r="H70" i="34"/>
  <c r="G72" i="34"/>
  <c r="H72" i="34"/>
  <c r="G74" i="34"/>
  <c r="H74" i="34"/>
  <c r="G76" i="34"/>
  <c r="G67" i="34"/>
  <c r="H67" i="34"/>
  <c r="G71" i="34"/>
  <c r="I67" i="34"/>
  <c r="I69" i="34"/>
  <c r="G66" i="34"/>
  <c r="G73" i="34"/>
  <c r="H66" i="34"/>
  <c r="H73" i="34"/>
  <c r="H75" i="34"/>
  <c r="G65" i="34"/>
  <c r="I66" i="34"/>
  <c r="G68" i="34"/>
  <c r="I75" i="34"/>
  <c r="H68" i="34"/>
  <c r="G70" i="34"/>
  <c r="G80" i="34"/>
  <c r="G84" i="34"/>
  <c r="G86" i="34"/>
  <c r="G88" i="34"/>
  <c r="H80" i="34"/>
  <c r="H88" i="34"/>
  <c r="I80" i="34"/>
  <c r="I84" i="34"/>
  <c r="G79" i="34"/>
  <c r="G83" i="34"/>
  <c r="G85" i="34"/>
  <c r="G87" i="34"/>
  <c r="G89" i="34"/>
  <c r="H81" i="34"/>
  <c r="H89" i="34"/>
  <c r="I83" i="34"/>
  <c r="I89" i="34"/>
  <c r="I57" i="34"/>
  <c r="G61" i="34"/>
  <c r="I59" i="34"/>
  <c r="G63" i="34"/>
  <c r="I63" i="34"/>
  <c r="G54" i="34"/>
  <c r="H54" i="34"/>
  <c r="H56" i="34"/>
  <c r="I54" i="34"/>
  <c r="I56" i="34"/>
  <c r="G62" i="34"/>
  <c r="H60" i="34"/>
  <c r="I62" i="34"/>
  <c r="G53" i="34"/>
  <c r="H53" i="34"/>
  <c r="G55" i="34"/>
  <c r="G57" i="34"/>
  <c r="H55" i="34"/>
  <c r="H57" i="34"/>
  <c r="G59" i="34"/>
  <c r="I94" i="34"/>
  <c r="J111" i="34"/>
  <c r="K107" i="34"/>
  <c r="K109" i="34"/>
  <c r="K111" i="34"/>
  <c r="K113" i="34"/>
  <c r="K115" i="34"/>
  <c r="M107" i="34"/>
  <c r="M109" i="34"/>
  <c r="M111" i="34"/>
  <c r="M113" i="34"/>
  <c r="M115" i="34"/>
  <c r="I95" i="34"/>
  <c r="I97" i="34"/>
  <c r="I99" i="34"/>
  <c r="J108" i="34"/>
  <c r="J110" i="34"/>
  <c r="K106" i="34"/>
  <c r="K108" i="34"/>
  <c r="K110" i="34"/>
  <c r="K112" i="34"/>
  <c r="K114" i="34"/>
  <c r="K116" i="34"/>
  <c r="M106" i="34"/>
  <c r="M108" i="34"/>
  <c r="M110" i="34"/>
  <c r="M112" i="34"/>
  <c r="M114" i="34"/>
  <c r="M116" i="34"/>
  <c r="G123" i="34"/>
  <c r="I121" i="34"/>
  <c r="I123" i="34"/>
  <c r="I29" i="25"/>
  <c r="M117" i="34"/>
  <c r="G125" i="34"/>
  <c r="G120" i="34"/>
  <c r="G122" i="34"/>
  <c r="G126" i="34"/>
  <c r="H120" i="34"/>
  <c r="H122" i="34"/>
  <c r="O29" i="25"/>
  <c r="H128" i="34"/>
  <c r="I120" i="34"/>
  <c r="I126" i="34"/>
  <c r="G128" i="34"/>
  <c r="G118" i="34"/>
  <c r="I128" i="34"/>
  <c r="G121" i="34"/>
  <c r="G137" i="34"/>
  <c r="G134" i="34"/>
  <c r="H142" i="34"/>
  <c r="H134" i="34"/>
  <c r="G139" i="34"/>
  <c r="T30" i="25"/>
  <c r="G132" i="34"/>
  <c r="F30" i="25"/>
  <c r="G136" i="34"/>
  <c r="G141" i="34"/>
  <c r="G133" i="34"/>
  <c r="G138" i="34"/>
  <c r="G140" i="34"/>
  <c r="H133" i="34"/>
  <c r="G143" i="34"/>
  <c r="G135" i="34"/>
  <c r="H143" i="34"/>
  <c r="H135" i="34"/>
  <c r="U30" i="25"/>
  <c r="O30" i="25"/>
  <c r="G142" i="34"/>
  <c r="H147" i="34"/>
  <c r="I156" i="34"/>
  <c r="H149" i="34"/>
  <c r="I149" i="34"/>
  <c r="H151" i="34"/>
  <c r="I158" i="34"/>
  <c r="I151" i="34"/>
  <c r="H153" i="34"/>
  <c r="I153" i="34"/>
  <c r="H155" i="34"/>
  <c r="H148" i="34"/>
  <c r="H150" i="34"/>
  <c r="H152" i="34"/>
  <c r="H154" i="34"/>
  <c r="I16" i="59"/>
  <c r="D18" i="57"/>
  <c r="J41" i="34"/>
  <c r="M48" i="34"/>
  <c r="K50" i="34"/>
  <c r="L41" i="34"/>
  <c r="J43" i="34"/>
  <c r="M50" i="34"/>
  <c r="M41" i="34"/>
  <c r="K43" i="34"/>
  <c r="M43" i="34"/>
  <c r="K45" i="34"/>
  <c r="K47" i="34"/>
  <c r="M47" i="34"/>
  <c r="K42" i="34"/>
  <c r="M45" i="34"/>
  <c r="L47" i="34"/>
  <c r="J49" i="34"/>
  <c r="K49" i="34"/>
  <c r="J44" i="34"/>
  <c r="K40" i="34"/>
  <c r="J42" i="34"/>
  <c r="M49" i="34"/>
  <c r="M40" i="34"/>
  <c r="K41" i="34"/>
  <c r="L50" i="34"/>
  <c r="M42" i="34"/>
  <c r="K44" i="34"/>
  <c r="J46" i="34"/>
  <c r="M46" i="34"/>
  <c r="L44" i="34"/>
  <c r="K46" i="34"/>
  <c r="J48" i="34"/>
  <c r="R27" i="25" s="1"/>
  <c r="M44" i="34"/>
  <c r="K48" i="34"/>
  <c r="L42" i="34"/>
  <c r="L45" i="34"/>
  <c r="L43" i="34"/>
  <c r="L48" i="34"/>
  <c r="L49" i="34"/>
  <c r="L46" i="34"/>
  <c r="L40" i="34"/>
  <c r="I27" i="34"/>
  <c r="G33" i="34"/>
  <c r="G35" i="34"/>
  <c r="I31" i="34"/>
  <c r="H35" i="34"/>
  <c r="G37" i="34"/>
  <c r="H26" i="34"/>
  <c r="G28" i="34"/>
  <c r="H28" i="34"/>
  <c r="I28" i="34"/>
  <c r="H30" i="34"/>
  <c r="I30" i="34"/>
  <c r="H34" i="34"/>
  <c r="G36" i="34"/>
  <c r="G26" i="34"/>
  <c r="H37" i="34"/>
  <c r="G27" i="34"/>
  <c r="G29" i="34"/>
  <c r="H27" i="34"/>
  <c r="G31" i="34"/>
  <c r="D16" i="57"/>
  <c r="I22" i="59"/>
  <c r="I45" i="59"/>
  <c r="K20" i="59"/>
  <c r="I15" i="59"/>
  <c r="H16" i="59"/>
  <c r="H22" i="59"/>
  <c r="H15" i="59"/>
  <c r="H45" i="59"/>
  <c r="D12" i="57"/>
  <c r="L20" i="59"/>
  <c r="Q11" i="50"/>
  <c r="Q10" i="50" s="1"/>
  <c r="K13" i="51" l="1"/>
  <c r="S13" i="51"/>
  <c r="S11" i="51" s="1"/>
  <c r="Q11" i="51"/>
  <c r="Q10" i="51" s="1"/>
  <c r="I26" i="34"/>
  <c r="F48" i="34"/>
  <c r="I48" i="34" s="1"/>
  <c r="I22" i="34"/>
  <c r="F46" i="34"/>
  <c r="I46" i="34" s="1"/>
  <c r="I20" i="34"/>
  <c r="H18" i="34"/>
  <c r="E44" i="34"/>
  <c r="H44" i="34" s="1"/>
  <c r="F27" i="25"/>
  <c r="H157" i="34"/>
  <c r="I20" i="59"/>
  <c r="U14" i="49"/>
  <c r="U11" i="49" s="1"/>
  <c r="Q11" i="49"/>
  <c r="Q10" i="49" s="1"/>
  <c r="G34" i="34"/>
  <c r="H31" i="34"/>
  <c r="D43" i="34"/>
  <c r="G43" i="34" s="1"/>
  <c r="G17" i="34"/>
  <c r="M27" i="25"/>
  <c r="T27" i="25"/>
  <c r="F47" i="34"/>
  <c r="I47" i="34" s="1"/>
  <c r="I21" i="34"/>
  <c r="J12" i="34"/>
  <c r="J39" i="34"/>
  <c r="C27" i="25" s="1"/>
  <c r="I152" i="34"/>
  <c r="O31" i="25"/>
  <c r="G155" i="34"/>
  <c r="G149" i="34"/>
  <c r="F31" i="25"/>
  <c r="H156" i="34"/>
  <c r="H126" i="34"/>
  <c r="H129" i="34"/>
  <c r="H118" i="34"/>
  <c r="I103" i="34"/>
  <c r="D116" i="34"/>
  <c r="G116" i="34" s="1"/>
  <c r="G103" i="34"/>
  <c r="I102" i="34"/>
  <c r="D105" i="34"/>
  <c r="G105" i="34" s="1"/>
  <c r="G92" i="34"/>
  <c r="G52" i="34"/>
  <c r="I58" i="34"/>
  <c r="H63" i="34"/>
  <c r="I88" i="34"/>
  <c r="G78" i="34"/>
  <c r="G22" i="34"/>
  <c r="D48" i="34"/>
  <c r="G48" i="34" s="1"/>
  <c r="G13" i="57"/>
  <c r="G11" i="57" s="1"/>
  <c r="I15" i="57"/>
  <c r="E15" i="57"/>
  <c r="I16" i="57"/>
  <c r="E16" i="57"/>
  <c r="G21" i="57"/>
  <c r="I23" i="57"/>
  <c r="E23" i="57"/>
  <c r="G30" i="57"/>
  <c r="I32" i="57"/>
  <c r="E32" i="57"/>
  <c r="I36" i="34"/>
  <c r="M25" i="34"/>
  <c r="H32" i="34"/>
  <c r="I29" i="34"/>
  <c r="I24" i="34"/>
  <c r="F50" i="34"/>
  <c r="I50" i="34" s="1"/>
  <c r="H22" i="34"/>
  <c r="E48" i="34"/>
  <c r="H48" i="34" s="1"/>
  <c r="I19" i="34"/>
  <c r="F45" i="34"/>
  <c r="I45" i="34" s="1"/>
  <c r="J47" i="34"/>
  <c r="O27" i="25" s="1"/>
  <c r="O26" i="25" s="1"/>
  <c r="I150" i="34"/>
  <c r="M146" i="34"/>
  <c r="I154" i="34"/>
  <c r="I118" i="34"/>
  <c r="H124" i="34"/>
  <c r="I127" i="34"/>
  <c r="T29" i="25"/>
  <c r="I101" i="34"/>
  <c r="D114" i="34"/>
  <c r="G114" i="34" s="1"/>
  <c r="G101" i="34"/>
  <c r="I100" i="34"/>
  <c r="G102" i="34"/>
  <c r="D115" i="34"/>
  <c r="G115" i="34" s="1"/>
  <c r="M51" i="34"/>
  <c r="I61" i="34"/>
  <c r="I87" i="34"/>
  <c r="I86" i="34"/>
  <c r="H27" i="25"/>
  <c r="F39" i="34"/>
  <c r="I39" i="34" s="1"/>
  <c r="I13" i="34"/>
  <c r="G148" i="34"/>
  <c r="D31" i="25"/>
  <c r="I31" i="25"/>
  <c r="G152" i="34"/>
  <c r="I124" i="34"/>
  <c r="I125" i="34"/>
  <c r="D112" i="34"/>
  <c r="G112" i="34" s="1"/>
  <c r="G99" i="34"/>
  <c r="I98" i="34"/>
  <c r="G100" i="34"/>
  <c r="D113" i="34"/>
  <c r="G113" i="34" s="1"/>
  <c r="G58" i="34"/>
  <c r="H59" i="34"/>
  <c r="I85" i="34"/>
  <c r="K64" i="34"/>
  <c r="G69" i="34"/>
  <c r="I72" i="34"/>
  <c r="C23" i="47"/>
  <c r="H11" i="53"/>
  <c r="D10" i="53"/>
  <c r="J11" i="53"/>
  <c r="I11" i="53"/>
  <c r="G11" i="53"/>
  <c r="C46" i="57"/>
  <c r="G147" i="34"/>
  <c r="C31" i="25"/>
  <c r="J146" i="34"/>
  <c r="K30" i="25"/>
  <c r="M131" i="34"/>
  <c r="M130" i="34" s="1"/>
  <c r="G30" i="25"/>
  <c r="I122" i="34"/>
  <c r="G119" i="34"/>
  <c r="D110" i="34"/>
  <c r="G110" i="34" s="1"/>
  <c r="G97" i="34"/>
  <c r="I96" i="34"/>
  <c r="D111" i="34"/>
  <c r="G111" i="34" s="1"/>
  <c r="G98" i="34"/>
  <c r="H62" i="34"/>
  <c r="K51" i="34"/>
  <c r="G56" i="34"/>
  <c r="I82" i="34"/>
  <c r="I76" i="34"/>
  <c r="E10" i="51"/>
  <c r="K10" i="51" s="1"/>
  <c r="C29" i="57"/>
  <c r="K11" i="51"/>
  <c r="I18" i="57"/>
  <c r="E18" i="57"/>
  <c r="L25" i="34"/>
  <c r="E40" i="34"/>
  <c r="H40" i="34" s="1"/>
  <c r="H14" i="34"/>
  <c r="I157" i="34"/>
  <c r="D108" i="34"/>
  <c r="G108" i="34" s="1"/>
  <c r="G95" i="34"/>
  <c r="D109" i="34"/>
  <c r="G109" i="34" s="1"/>
  <c r="G96" i="34"/>
  <c r="I55" i="34"/>
  <c r="I81" i="34"/>
  <c r="G81" i="34"/>
  <c r="G82" i="34"/>
  <c r="I71" i="34"/>
  <c r="I65" i="34"/>
  <c r="I68" i="34"/>
  <c r="J13" i="51"/>
  <c r="H13" i="51"/>
  <c r="I13" i="51"/>
  <c r="G13" i="51"/>
  <c r="D11" i="51"/>
  <c r="M20" i="48"/>
  <c r="M21" i="48"/>
  <c r="C21" i="48"/>
  <c r="K12" i="50"/>
  <c r="D15" i="57"/>
  <c r="D13" i="57" s="1"/>
  <c r="F13" i="57" s="1"/>
  <c r="H13" i="57"/>
  <c r="H11" i="57" s="1"/>
  <c r="K23" i="59"/>
  <c r="H23" i="59" s="1"/>
  <c r="H24" i="59"/>
  <c r="G16" i="34"/>
  <c r="D42" i="34"/>
  <c r="G42" i="34" s="1"/>
  <c r="M39" i="34"/>
  <c r="M38" i="34" s="1"/>
  <c r="M12" i="34"/>
  <c r="L38" i="59"/>
  <c r="I39" i="59"/>
  <c r="L43" i="59"/>
  <c r="I44" i="59"/>
  <c r="I32" i="34"/>
  <c r="H33" i="34"/>
  <c r="F44" i="34"/>
  <c r="I44" i="34" s="1"/>
  <c r="I18" i="34"/>
  <c r="F40" i="34"/>
  <c r="I40" i="34" s="1"/>
  <c r="I14" i="34"/>
  <c r="J45" i="34"/>
  <c r="K27" i="25" s="1"/>
  <c r="K26" i="25" s="1"/>
  <c r="E45" i="34"/>
  <c r="H45" i="34" s="1"/>
  <c r="H19" i="34"/>
  <c r="G154" i="34"/>
  <c r="M31" i="25"/>
  <c r="D30" i="25"/>
  <c r="R30" i="25"/>
  <c r="H141" i="34"/>
  <c r="H132" i="34"/>
  <c r="I119" i="34"/>
  <c r="G129" i="34"/>
  <c r="J117" i="34"/>
  <c r="C29" i="25"/>
  <c r="I93" i="34"/>
  <c r="G93" i="34"/>
  <c r="D106" i="34"/>
  <c r="G106" i="34" s="1"/>
  <c r="K105" i="34"/>
  <c r="K104" i="34" s="1"/>
  <c r="K91" i="34"/>
  <c r="I92" i="34"/>
  <c r="G94" i="34"/>
  <c r="D107" i="34"/>
  <c r="G107" i="34" s="1"/>
  <c r="I53" i="34"/>
  <c r="I52" i="34"/>
  <c r="I79" i="34"/>
  <c r="K77" i="34"/>
  <c r="I78" i="34"/>
  <c r="D11" i="50"/>
  <c r="J12" i="50"/>
  <c r="D44" i="34"/>
  <c r="G44" i="34" s="1"/>
  <c r="G18" i="34"/>
  <c r="E42" i="34"/>
  <c r="H42" i="34" s="1"/>
  <c r="H16" i="34"/>
  <c r="H31" i="25"/>
  <c r="G151" i="34"/>
  <c r="I33" i="34"/>
  <c r="E41" i="34"/>
  <c r="H41" i="34" s="1"/>
  <c r="H15" i="34"/>
  <c r="G27" i="25"/>
  <c r="G24" i="34"/>
  <c r="D50" i="34"/>
  <c r="G50" i="34" s="1"/>
  <c r="L146" i="34"/>
  <c r="H136" i="34"/>
  <c r="U29" i="25"/>
  <c r="R29" i="25"/>
  <c r="J116" i="34"/>
  <c r="U28" i="25" s="1"/>
  <c r="H103" i="34"/>
  <c r="E116" i="34"/>
  <c r="H116" i="34" s="1"/>
  <c r="J115" i="34"/>
  <c r="T28" i="25"/>
  <c r="E115" i="34"/>
  <c r="H115" i="34" s="1"/>
  <c r="H102" i="34"/>
  <c r="L77" i="34"/>
  <c r="I73" i="34"/>
  <c r="C46" i="65"/>
  <c r="K21" i="48"/>
  <c r="K11" i="50"/>
  <c r="E10" i="50"/>
  <c r="K10" i="50" s="1"/>
  <c r="G15" i="34"/>
  <c r="D41" i="34"/>
  <c r="G41" i="34" s="1"/>
  <c r="L13" i="59"/>
  <c r="I14" i="59"/>
  <c r="I155" i="34"/>
  <c r="U31" i="25"/>
  <c r="G158" i="34"/>
  <c r="H138" i="34"/>
  <c r="G127" i="34"/>
  <c r="M29" i="25"/>
  <c r="H127" i="34"/>
  <c r="J114" i="34"/>
  <c r="R28" i="25" s="1"/>
  <c r="R26" i="25" s="1"/>
  <c r="E114" i="34"/>
  <c r="H114" i="34" s="1"/>
  <c r="H101" i="34"/>
  <c r="J113" i="34"/>
  <c r="O28" i="25" s="1"/>
  <c r="E113" i="34"/>
  <c r="H113" i="34" s="1"/>
  <c r="H100" i="34"/>
  <c r="H52" i="34"/>
  <c r="H58" i="34"/>
  <c r="H61" i="34"/>
  <c r="H87" i="34"/>
  <c r="H86" i="34"/>
  <c r="G75" i="34"/>
  <c r="M64" i="34"/>
  <c r="H69" i="34"/>
  <c r="L11" i="49"/>
  <c r="E10" i="49"/>
  <c r="L10" i="49" s="1"/>
  <c r="C12" i="57"/>
  <c r="K17" i="59"/>
  <c r="H17" i="59" s="1"/>
  <c r="H18" i="59"/>
  <c r="K38" i="59"/>
  <c r="H39" i="59"/>
  <c r="K19" i="59"/>
  <c r="H20" i="59"/>
  <c r="H29" i="34"/>
  <c r="J25" i="34"/>
  <c r="E49" i="34"/>
  <c r="H49" i="34" s="1"/>
  <c r="H23" i="34"/>
  <c r="I37" i="34"/>
  <c r="H13" i="34"/>
  <c r="E39" i="34"/>
  <c r="H39" i="34" s="1"/>
  <c r="E47" i="34"/>
  <c r="H47" i="34" s="1"/>
  <c r="H21" i="34"/>
  <c r="L17" i="59"/>
  <c r="I17" i="59" s="1"/>
  <c r="I18" i="59"/>
  <c r="G32" i="34"/>
  <c r="L39" i="34"/>
  <c r="L38" i="34" s="1"/>
  <c r="L12" i="34"/>
  <c r="J40" i="34"/>
  <c r="D27" i="25" s="1"/>
  <c r="G21" i="34"/>
  <c r="D47" i="34"/>
  <c r="G47" i="34" s="1"/>
  <c r="G153" i="34"/>
  <c r="K31" i="25"/>
  <c r="K146" i="34"/>
  <c r="H30" i="25"/>
  <c r="I30" i="25"/>
  <c r="C30" i="25"/>
  <c r="J131" i="34"/>
  <c r="J130" i="34" s="1"/>
  <c r="L117" i="34"/>
  <c r="K29" i="25"/>
  <c r="H125" i="34"/>
  <c r="J112" i="34"/>
  <c r="M28" i="25" s="1"/>
  <c r="H99" i="34"/>
  <c r="E112" i="34"/>
  <c r="H112" i="34" s="1"/>
  <c r="K28" i="25"/>
  <c r="H98" i="34"/>
  <c r="E111" i="34"/>
  <c r="H111" i="34" s="1"/>
  <c r="L51" i="34"/>
  <c r="H85" i="34"/>
  <c r="H84" i="34"/>
  <c r="K17" i="52"/>
  <c r="E11" i="52"/>
  <c r="G31" i="25"/>
  <c r="G150" i="34"/>
  <c r="H36" i="34"/>
  <c r="K25" i="34"/>
  <c r="I17" i="34"/>
  <c r="F43" i="34"/>
  <c r="I43" i="34" s="1"/>
  <c r="D40" i="34"/>
  <c r="G40" i="34" s="1"/>
  <c r="G14" i="34"/>
  <c r="M30" i="25"/>
  <c r="I34" i="34"/>
  <c r="I35" i="34"/>
  <c r="G30" i="34"/>
  <c r="J50" i="34"/>
  <c r="U27" i="25" s="1"/>
  <c r="U26" i="25" s="1"/>
  <c r="I15" i="34"/>
  <c r="F41" i="34"/>
  <c r="I41" i="34" s="1"/>
  <c r="I27" i="25"/>
  <c r="D46" i="34"/>
  <c r="G46" i="34" s="1"/>
  <c r="G20" i="34"/>
  <c r="G13" i="34"/>
  <c r="D39" i="34"/>
  <c r="G39" i="34" s="1"/>
  <c r="D45" i="34"/>
  <c r="G45" i="34" s="1"/>
  <c r="G19" i="34"/>
  <c r="T31" i="25"/>
  <c r="G157" i="34"/>
  <c r="I148" i="34"/>
  <c r="H158" i="34"/>
  <c r="I147" i="34"/>
  <c r="H140" i="34"/>
  <c r="H137" i="34"/>
  <c r="F29" i="25"/>
  <c r="H29" i="25"/>
  <c r="G124" i="34"/>
  <c r="H119" i="34"/>
  <c r="G29" i="25"/>
  <c r="H123" i="34"/>
  <c r="I28" i="25"/>
  <c r="E110" i="34"/>
  <c r="H110" i="34" s="1"/>
  <c r="H97" i="34"/>
  <c r="J109" i="34"/>
  <c r="H28" i="25"/>
  <c r="E109" i="34"/>
  <c r="H109" i="34" s="1"/>
  <c r="H96" i="34"/>
  <c r="I60" i="34"/>
  <c r="H83" i="34"/>
  <c r="H82" i="34"/>
  <c r="J64" i="34"/>
  <c r="I70" i="34"/>
  <c r="J14" i="49"/>
  <c r="K14" i="49"/>
  <c r="G14" i="49"/>
  <c r="I14" i="49"/>
  <c r="H14" i="49"/>
  <c r="D11" i="49"/>
  <c r="E46" i="34"/>
  <c r="H46" i="34" s="1"/>
  <c r="H20" i="34"/>
  <c r="K13" i="59"/>
  <c r="H14" i="59"/>
  <c r="H21" i="57"/>
  <c r="H20" i="57" s="1"/>
  <c r="D23" i="57"/>
  <c r="D21" i="57" s="1"/>
  <c r="I12" i="57"/>
  <c r="L23" i="59"/>
  <c r="I23" i="59" s="1"/>
  <c r="I24" i="59"/>
  <c r="E50" i="34"/>
  <c r="H50" i="34" s="1"/>
  <c r="H24" i="34"/>
  <c r="K39" i="34"/>
  <c r="K38" i="34" s="1"/>
  <c r="K12" i="34"/>
  <c r="F42" i="34"/>
  <c r="I42" i="34" s="1"/>
  <c r="I16" i="34"/>
  <c r="E43" i="34"/>
  <c r="H43" i="34" s="1"/>
  <c r="H17" i="34"/>
  <c r="G156" i="34"/>
  <c r="R31" i="25"/>
  <c r="H139" i="34"/>
  <c r="D29" i="25"/>
  <c r="I129" i="34"/>
  <c r="H121" i="34"/>
  <c r="G28" i="25"/>
  <c r="E108" i="34"/>
  <c r="H108" i="34" s="1"/>
  <c r="H95" i="34"/>
  <c r="J107" i="34"/>
  <c r="F28" i="25"/>
  <c r="E107" i="34"/>
  <c r="H107" i="34" s="1"/>
  <c r="H94" i="34"/>
  <c r="J51" i="34"/>
  <c r="L64" i="34"/>
  <c r="H76" i="34"/>
  <c r="G20" i="52"/>
  <c r="I20" i="52"/>
  <c r="H20" i="52"/>
  <c r="J20" i="52"/>
  <c r="D17" i="52"/>
  <c r="I23" i="34"/>
  <c r="F49" i="34"/>
  <c r="I49" i="34" s="1"/>
  <c r="G23" i="34"/>
  <c r="D49" i="34"/>
  <c r="G49" i="34" s="1"/>
  <c r="K131" i="34"/>
  <c r="K130" i="34" s="1"/>
  <c r="K117" i="34"/>
  <c r="L91" i="34"/>
  <c r="L90" i="34" s="1"/>
  <c r="D28" i="25"/>
  <c r="J106" i="34"/>
  <c r="H93" i="34"/>
  <c r="E106" i="34"/>
  <c r="H106" i="34" s="1"/>
  <c r="M91" i="34"/>
  <c r="M90" i="34" s="1"/>
  <c r="M105" i="34"/>
  <c r="M104" i="34" s="1"/>
  <c r="J105" i="34"/>
  <c r="J91" i="34"/>
  <c r="C28" i="25"/>
  <c r="E105" i="34"/>
  <c r="H105" i="34" s="1"/>
  <c r="H92" i="34"/>
  <c r="G60" i="34"/>
  <c r="H79" i="34"/>
  <c r="M77" i="34"/>
  <c r="J77" i="34"/>
  <c r="H78" i="34"/>
  <c r="H71" i="34"/>
  <c r="I74" i="34"/>
  <c r="H65" i="34"/>
  <c r="I29" i="57"/>
  <c r="F14" i="124"/>
  <c r="D14" i="124" s="1"/>
  <c r="I11" i="57" l="1"/>
  <c r="K10" i="25"/>
  <c r="K43" i="25"/>
  <c r="K39" i="25" s="1"/>
  <c r="O10" i="25"/>
  <c r="O43" i="25"/>
  <c r="O39" i="25" s="1"/>
  <c r="R10" i="25"/>
  <c r="R43" i="25"/>
  <c r="R39" i="25" s="1"/>
  <c r="U10" i="25"/>
  <c r="U43" i="25"/>
  <c r="U39" i="25" s="1"/>
  <c r="F46" i="22"/>
  <c r="C26" i="25"/>
  <c r="C43" i="25" s="1"/>
  <c r="I32" i="47"/>
  <c r="C30" i="47"/>
  <c r="F47" i="22"/>
  <c r="J104" i="34"/>
  <c r="J90" i="34" s="1"/>
  <c r="L11" i="34"/>
  <c r="L10" i="34" s="1"/>
  <c r="L12" i="59"/>
  <c r="I13" i="59"/>
  <c r="K90" i="34"/>
  <c r="F26" i="25"/>
  <c r="G28" i="57"/>
  <c r="I30" i="57"/>
  <c r="E30" i="57"/>
  <c r="T26" i="25"/>
  <c r="K11" i="34"/>
  <c r="K10" i="34" s="1"/>
  <c r="F49" i="22"/>
  <c r="L42" i="59"/>
  <c r="I42" i="59" s="1"/>
  <c r="I43" i="59"/>
  <c r="M26" i="25"/>
  <c r="H17" i="52"/>
  <c r="J17" i="52"/>
  <c r="I17" i="52"/>
  <c r="G17" i="52"/>
  <c r="D11" i="52"/>
  <c r="G26" i="25"/>
  <c r="J423" i="56"/>
  <c r="J416" i="56" s="1"/>
  <c r="J415" i="56"/>
  <c r="G427" i="56"/>
  <c r="J11" i="50"/>
  <c r="D10" i="50"/>
  <c r="J10" i="50" s="1"/>
  <c r="C10" i="127"/>
  <c r="D29" i="57"/>
  <c r="D28" i="57" s="1"/>
  <c r="F28" i="57" s="1"/>
  <c r="H28" i="57"/>
  <c r="L32" i="59"/>
  <c r="I33" i="59"/>
  <c r="J282" i="56"/>
  <c r="G307" i="56"/>
  <c r="G282" i="56" s="1"/>
  <c r="I11" i="49"/>
  <c r="H11" i="49"/>
  <c r="K11" i="49"/>
  <c r="J11" i="49"/>
  <c r="G11" i="49"/>
  <c r="D10" i="49"/>
  <c r="D13" i="47"/>
  <c r="H19" i="59"/>
  <c r="L37" i="59"/>
  <c r="E18" i="47" s="1"/>
  <c r="I38" i="59"/>
  <c r="C28" i="57"/>
  <c r="E29" i="57"/>
  <c r="H26" i="25"/>
  <c r="G20" i="57"/>
  <c r="I21" i="57"/>
  <c r="E21" i="57"/>
  <c r="J302" i="56"/>
  <c r="J281" i="56"/>
  <c r="G306" i="56"/>
  <c r="G281" i="56" s="1"/>
  <c r="K12" i="59"/>
  <c r="H13" i="59"/>
  <c r="K50" i="59"/>
  <c r="H51" i="59"/>
  <c r="D26" i="25"/>
  <c r="I26" i="25"/>
  <c r="D11" i="57"/>
  <c r="F48" i="22"/>
  <c r="M11" i="34"/>
  <c r="M10" i="34" s="1"/>
  <c r="G11" i="51"/>
  <c r="I11" i="51"/>
  <c r="D10" i="51"/>
  <c r="H11" i="51"/>
  <c r="J11" i="51"/>
  <c r="H10" i="53"/>
  <c r="J10" i="53"/>
  <c r="G10" i="53"/>
  <c r="I10" i="53"/>
  <c r="K32" i="59"/>
  <c r="H33" i="59"/>
  <c r="E30" i="47"/>
  <c r="E50" i="109" s="1"/>
  <c r="E50" i="65" s="1"/>
  <c r="P49" i="70" s="1"/>
  <c r="Q49" i="70" s="1"/>
  <c r="I31" i="47"/>
  <c r="K37" i="59"/>
  <c r="H38" i="59"/>
  <c r="L50" i="59"/>
  <c r="I51" i="59"/>
  <c r="C47" i="109"/>
  <c r="D45" i="70"/>
  <c r="E45" i="70" s="1"/>
  <c r="C12" i="47"/>
  <c r="U10" i="49"/>
  <c r="J38" i="34"/>
  <c r="J11" i="34" s="1"/>
  <c r="J10" i="34" s="1"/>
  <c r="S10" i="51"/>
  <c r="C18" i="47"/>
  <c r="E12" i="57"/>
  <c r="C11" i="57"/>
  <c r="I13" i="57"/>
  <c r="E13" i="47" s="1"/>
  <c r="E13" i="57"/>
  <c r="K43" i="59"/>
  <c r="H44" i="59"/>
  <c r="D20" i="57"/>
  <c r="F20" i="57" s="1"/>
  <c r="F21" i="57"/>
  <c r="E10" i="52"/>
  <c r="K10" i="52" s="1"/>
  <c r="K11" i="52"/>
  <c r="F50" i="22"/>
  <c r="L19" i="59"/>
  <c r="I19" i="59" s="1"/>
  <c r="G10" i="126"/>
  <c r="H10" i="126"/>
  <c r="C30" i="128"/>
  <c r="C23" i="128"/>
  <c r="C21" i="128" s="1"/>
  <c r="C10" i="128" s="1"/>
  <c r="C67" i="109"/>
  <c r="F16" i="124"/>
  <c r="D16" i="124" s="1"/>
  <c r="C11" i="47" l="1"/>
  <c r="K31" i="59"/>
  <c r="H32" i="59"/>
  <c r="F11" i="57"/>
  <c r="I20" i="57"/>
  <c r="E20" i="57"/>
  <c r="D21" i="73"/>
  <c r="E21" i="73" s="1"/>
  <c r="O46" i="22"/>
  <c r="F45" i="22"/>
  <c r="H10" i="25"/>
  <c r="H43" i="25"/>
  <c r="H39" i="25" s="1"/>
  <c r="F43" i="25"/>
  <c r="F39" i="25" s="1"/>
  <c r="F10" i="25"/>
  <c r="D10" i="25"/>
  <c r="D43" i="25"/>
  <c r="D39" i="25" s="1"/>
  <c r="K42" i="59"/>
  <c r="H43" i="59"/>
  <c r="E28" i="57"/>
  <c r="M43" i="25"/>
  <c r="M39" i="25" s="1"/>
  <c r="M10" i="25"/>
  <c r="F45" i="70"/>
  <c r="C47" i="65"/>
  <c r="K49" i="59"/>
  <c r="H50" i="59"/>
  <c r="G423" i="56"/>
  <c r="G415" i="56"/>
  <c r="L11" i="59"/>
  <c r="I12" i="59"/>
  <c r="O67" i="109"/>
  <c r="C66" i="65"/>
  <c r="L36" i="59"/>
  <c r="I36" i="59" s="1"/>
  <c r="I37" i="59"/>
  <c r="L31" i="59"/>
  <c r="I32" i="59"/>
  <c r="J411" i="56"/>
  <c r="J404" i="56" s="1"/>
  <c r="J331" i="56"/>
  <c r="J327" i="56" s="1"/>
  <c r="J320" i="56" s="1"/>
  <c r="D22" i="47" s="1"/>
  <c r="I22" i="47" s="1"/>
  <c r="C10" i="57"/>
  <c r="E11" i="57"/>
  <c r="L49" i="59"/>
  <c r="I50" i="59"/>
  <c r="D12" i="47"/>
  <c r="D11" i="47" s="1"/>
  <c r="K11" i="59"/>
  <c r="H12" i="59"/>
  <c r="I28" i="57"/>
  <c r="O49" i="22"/>
  <c r="D24" i="73"/>
  <c r="E24" i="73" s="1"/>
  <c r="J10" i="51"/>
  <c r="I10" i="51"/>
  <c r="H10" i="51"/>
  <c r="G10" i="51"/>
  <c r="I13" i="47"/>
  <c r="N11" i="50"/>
  <c r="H12" i="50"/>
  <c r="D22" i="73"/>
  <c r="E22" i="73" s="1"/>
  <c r="O47" i="22"/>
  <c r="J10" i="49"/>
  <c r="H10" i="49"/>
  <c r="G10" i="49"/>
  <c r="I10" i="49"/>
  <c r="K10" i="49"/>
  <c r="O12" i="50"/>
  <c r="M11" i="50"/>
  <c r="G12" i="50"/>
  <c r="T10" i="25"/>
  <c r="T43" i="25"/>
  <c r="T39" i="25" s="1"/>
  <c r="E12" i="47"/>
  <c r="E11" i="47" s="1"/>
  <c r="I43" i="25"/>
  <c r="I39" i="25" s="1"/>
  <c r="I10" i="25"/>
  <c r="F11" i="126"/>
  <c r="F10" i="126" s="1"/>
  <c r="D12" i="1" s="1"/>
  <c r="G11" i="124"/>
  <c r="F13" i="124"/>
  <c r="C11" i="126"/>
  <c r="O50" i="22"/>
  <c r="D25" i="73"/>
  <c r="E25" i="73" s="1"/>
  <c r="J277" i="56"/>
  <c r="J295" i="56"/>
  <c r="G302" i="56"/>
  <c r="G43" i="25"/>
  <c r="G39" i="25" s="1"/>
  <c r="G10" i="25"/>
  <c r="I30" i="47"/>
  <c r="C50" i="109"/>
  <c r="C17" i="47"/>
  <c r="D18" i="47"/>
  <c r="K36" i="59"/>
  <c r="H36" i="59" s="1"/>
  <c r="H37" i="59"/>
  <c r="R49" i="70"/>
  <c r="D10" i="52"/>
  <c r="H11" i="52"/>
  <c r="I11" i="52"/>
  <c r="J11" i="52"/>
  <c r="G11" i="52"/>
  <c r="E19" i="47"/>
  <c r="E17" i="47" s="1"/>
  <c r="E45" i="109" s="1"/>
  <c r="E45" i="65" s="1"/>
  <c r="P44" i="70" s="1"/>
  <c r="Q44" i="70" s="1"/>
  <c r="O48" i="22"/>
  <c r="D23" i="73"/>
  <c r="E23" i="73" s="1"/>
  <c r="E16" i="47"/>
  <c r="E14" i="47" s="1"/>
  <c r="E44" i="109" s="1"/>
  <c r="E44" i="65" s="1"/>
  <c r="P43" i="70" s="1"/>
  <c r="Q43" i="70" s="1"/>
  <c r="F18" i="124"/>
  <c r="R44" i="70" l="1"/>
  <c r="D18" i="124"/>
  <c r="D17" i="124" s="1"/>
  <c r="F17" i="124"/>
  <c r="G17" i="124" s="1"/>
  <c r="G10" i="124" s="1"/>
  <c r="C29" i="47" s="1"/>
  <c r="J10" i="52"/>
  <c r="H10" i="52"/>
  <c r="I10" i="52"/>
  <c r="G10" i="52"/>
  <c r="F28" i="109"/>
  <c r="O45" i="22"/>
  <c r="E43" i="109"/>
  <c r="E43" i="65" s="1"/>
  <c r="P42" i="70" s="1"/>
  <c r="Q42" i="70" s="1"/>
  <c r="F22" i="73"/>
  <c r="H11" i="59"/>
  <c r="K66" i="65"/>
  <c r="D65" i="70"/>
  <c r="E65" i="70" s="1"/>
  <c r="F21" i="73"/>
  <c r="R43" i="70"/>
  <c r="N10" i="50"/>
  <c r="H10" i="50" s="1"/>
  <c r="H11" i="50"/>
  <c r="I11" i="47"/>
  <c r="D43" i="109"/>
  <c r="D43" i="65" s="1"/>
  <c r="J42" i="70" s="1"/>
  <c r="K42" i="70" s="1"/>
  <c r="E21" i="47"/>
  <c r="E20" i="47" s="1"/>
  <c r="E46" i="109" s="1"/>
  <c r="E46" i="65" s="1"/>
  <c r="P45" i="70" s="1"/>
  <c r="Q45" i="70" s="1"/>
  <c r="L48" i="59"/>
  <c r="I48" i="59" s="1"/>
  <c r="I49" i="59"/>
  <c r="F25" i="73"/>
  <c r="M10" i="50"/>
  <c r="G10" i="50" s="1"/>
  <c r="G11" i="50"/>
  <c r="G331" i="56"/>
  <c r="G327" i="56" s="1"/>
  <c r="G411" i="56"/>
  <c r="D19" i="47"/>
  <c r="I19" i="47" s="1"/>
  <c r="H42" i="59"/>
  <c r="J270" i="56"/>
  <c r="J269" i="56" s="1"/>
  <c r="J10" i="56" s="1"/>
  <c r="G277" i="56"/>
  <c r="S12" i="50"/>
  <c r="S11" i="50" s="1"/>
  <c r="O11" i="50"/>
  <c r="I12" i="50"/>
  <c r="I11" i="59"/>
  <c r="C10" i="126"/>
  <c r="E10" i="126" s="1"/>
  <c r="E11" i="126"/>
  <c r="I18" i="47"/>
  <c r="F11" i="124"/>
  <c r="F10" i="124" s="1"/>
  <c r="D13" i="124"/>
  <c r="D11" i="124" s="1"/>
  <c r="D10" i="124" s="1"/>
  <c r="K48" i="59"/>
  <c r="H48" i="59" s="1"/>
  <c r="D21" i="47"/>
  <c r="H49" i="59"/>
  <c r="K25" i="59"/>
  <c r="H25" i="59" s="1"/>
  <c r="D16" i="47"/>
  <c r="H31" i="59"/>
  <c r="F23" i="73"/>
  <c r="C45" i="109"/>
  <c r="F24" i="73"/>
  <c r="I12" i="47"/>
  <c r="L25" i="59"/>
  <c r="I25" i="59" s="1"/>
  <c r="I31" i="59"/>
  <c r="D46" i="70"/>
  <c r="E46" i="70" s="1"/>
  <c r="C43" i="109"/>
  <c r="W43" i="25"/>
  <c r="C50" i="65"/>
  <c r="O50" i="109"/>
  <c r="J12" i="1"/>
  <c r="D11" i="1"/>
  <c r="R42" i="70" l="1"/>
  <c r="K50" i="65"/>
  <c r="D49" i="70"/>
  <c r="E49" i="70" s="1"/>
  <c r="C45" i="65"/>
  <c r="D14" i="47"/>
  <c r="I16" i="47"/>
  <c r="O10" i="50"/>
  <c r="I10" i="50" s="1"/>
  <c r="I11" i="50"/>
  <c r="D52" i="109"/>
  <c r="J11" i="1"/>
  <c r="D20" i="47"/>
  <c r="I21" i="47"/>
  <c r="C15" i="47"/>
  <c r="S10" i="50"/>
  <c r="O28" i="109"/>
  <c r="F28" i="65"/>
  <c r="K28" i="65" s="1"/>
  <c r="F65" i="70"/>
  <c r="R45" i="70"/>
  <c r="L42" i="70"/>
  <c r="I29" i="47"/>
  <c r="C49" i="109"/>
  <c r="C43" i="65"/>
  <c r="O43" i="109"/>
  <c r="D17" i="47"/>
  <c r="F46" i="70"/>
  <c r="G10" i="129" l="1"/>
  <c r="E22" i="1"/>
  <c r="E21" i="1" s="1"/>
  <c r="E55" i="109" s="1"/>
  <c r="E55" i="65" s="1"/>
  <c r="P54" i="70" s="1"/>
  <c r="Q54" i="70" s="1"/>
  <c r="D52" i="65"/>
  <c r="O52" i="109"/>
  <c r="F10" i="127"/>
  <c r="D11" i="127"/>
  <c r="D12" i="43"/>
  <c r="D44" i="109"/>
  <c r="D44" i="65" s="1"/>
  <c r="J43" i="70" s="1"/>
  <c r="K43" i="70" s="1"/>
  <c r="D45" i="109"/>
  <c r="I17" i="47"/>
  <c r="D23" i="1"/>
  <c r="J23" i="1" s="1"/>
  <c r="F11" i="129"/>
  <c r="K43" i="65"/>
  <c r="D42" i="70"/>
  <c r="E42" i="70" s="1"/>
  <c r="O49" i="109"/>
  <c r="C49" i="65"/>
  <c r="D44" i="70"/>
  <c r="E44" i="70" s="1"/>
  <c r="D22" i="128"/>
  <c r="G10" i="127"/>
  <c r="E11" i="127"/>
  <c r="C14" i="47"/>
  <c r="I15" i="47"/>
  <c r="F49" i="70"/>
  <c r="D27" i="128"/>
  <c r="G30" i="128"/>
  <c r="D30" i="128" s="1"/>
  <c r="D31" i="128"/>
  <c r="D22" i="1"/>
  <c r="F10" i="129"/>
  <c r="D46" i="109"/>
  <c r="I20" i="47"/>
  <c r="F22" i="128"/>
  <c r="I21" i="128"/>
  <c r="E22" i="128"/>
  <c r="H21" i="128"/>
  <c r="E17" i="43"/>
  <c r="D13" i="46"/>
  <c r="F12" i="43"/>
  <c r="E36" i="38" s="1"/>
  <c r="J36" i="38" s="1"/>
  <c r="E10" i="46"/>
  <c r="C45" i="38" s="1"/>
  <c r="E14" i="43"/>
  <c r="C46" i="38"/>
  <c r="E38" i="38"/>
  <c r="J38" i="38" s="1"/>
  <c r="E37" i="38"/>
  <c r="J37" i="38" s="1"/>
  <c r="E23" i="43"/>
  <c r="D12" i="46"/>
  <c r="F21" i="43"/>
  <c r="E42" i="38" s="1"/>
  <c r="J42" i="38" s="1"/>
  <c r="E39" i="38"/>
  <c r="J39" i="38" s="1"/>
  <c r="D21" i="1" l="1"/>
  <c r="J22" i="1"/>
  <c r="E16" i="43"/>
  <c r="E35" i="38"/>
  <c r="F10" i="43"/>
  <c r="E13" i="43"/>
  <c r="E21" i="128"/>
  <c r="H10" i="128"/>
  <c r="E22" i="43"/>
  <c r="I10" i="128"/>
  <c r="F21" i="128"/>
  <c r="F42" i="70"/>
  <c r="E12" i="43"/>
  <c r="G23" i="128"/>
  <c r="D16" i="1"/>
  <c r="D10" i="127"/>
  <c r="J46" i="38"/>
  <c r="C39" i="109"/>
  <c r="D46" i="65"/>
  <c r="O46" i="109"/>
  <c r="I14" i="47"/>
  <c r="C44" i="109"/>
  <c r="C10" i="47"/>
  <c r="L43" i="70"/>
  <c r="D48" i="70"/>
  <c r="E48" i="70" s="1"/>
  <c r="K49" i="65"/>
  <c r="E40" i="38"/>
  <c r="J40" i="38" s="1"/>
  <c r="E19" i="43"/>
  <c r="D11" i="46"/>
  <c r="K52" i="65"/>
  <c r="J51" i="70"/>
  <c r="K51" i="70" s="1"/>
  <c r="F44" i="70"/>
  <c r="E18" i="43"/>
  <c r="E16" i="1"/>
  <c r="E15" i="1" s="1"/>
  <c r="E10" i="127"/>
  <c r="D45" i="65"/>
  <c r="O45" i="109"/>
  <c r="R54" i="70"/>
  <c r="J45" i="38"/>
  <c r="C10" i="38"/>
  <c r="C38" i="109"/>
  <c r="E11" i="43"/>
  <c r="P22" i="12"/>
  <c r="K42" i="12"/>
  <c r="K19" i="12"/>
  <c r="K47" i="12"/>
  <c r="K24" i="12"/>
  <c r="K26" i="12"/>
  <c r="F28" i="15"/>
  <c r="E31" i="15"/>
  <c r="K13" i="12"/>
  <c r="K40" i="12"/>
  <c r="F41" i="15"/>
  <c r="K11" i="12"/>
  <c r="P34" i="12"/>
  <c r="E50" i="15"/>
  <c r="F13" i="33"/>
  <c r="H24" i="15" l="1"/>
  <c r="Q24" i="12"/>
  <c r="N11" i="12"/>
  <c r="L11" i="12"/>
  <c r="E64" i="132"/>
  <c r="H64" i="132"/>
  <c r="C31" i="22" s="1"/>
  <c r="Q47" i="12"/>
  <c r="H47" i="15"/>
  <c r="G50" i="15"/>
  <c r="H50" i="15" s="1"/>
  <c r="L13" i="12"/>
  <c r="N13" i="12"/>
  <c r="P13" i="12" s="1"/>
  <c r="R13" i="12" s="1"/>
  <c r="S13" i="12" s="1"/>
  <c r="T13" i="12" s="1"/>
  <c r="K16" i="12"/>
  <c r="C38" i="65"/>
  <c r="O38" i="109"/>
  <c r="C13" i="25"/>
  <c r="C12" i="25" s="1"/>
  <c r="C11" i="25" s="1"/>
  <c r="G12" i="33"/>
  <c r="G11" i="33" s="1"/>
  <c r="G10" i="33" s="1"/>
  <c r="N47" i="12"/>
  <c r="L47" i="12"/>
  <c r="F10" i="128"/>
  <c r="E19" i="1"/>
  <c r="E18" i="1" s="1"/>
  <c r="E54" i="109" s="1"/>
  <c r="E54" i="65" s="1"/>
  <c r="P53" i="70" s="1"/>
  <c r="Q41" i="12"/>
  <c r="H41" i="15"/>
  <c r="H25" i="15"/>
  <c r="Q25" i="12"/>
  <c r="Q42" i="12"/>
  <c r="H42" i="15"/>
  <c r="Q35" i="12"/>
  <c r="H35" i="15"/>
  <c r="C31" i="109"/>
  <c r="L51" i="70"/>
  <c r="K52" i="12"/>
  <c r="Q26" i="12"/>
  <c r="H26" i="15"/>
  <c r="H28" i="15"/>
  <c r="Q28" i="12"/>
  <c r="D19" i="1"/>
  <c r="D18" i="1" s="1"/>
  <c r="D54" i="109" s="1"/>
  <c r="D54" i="65" s="1"/>
  <c r="J53" i="70" s="1"/>
  <c r="E10" i="128"/>
  <c r="G31" i="15"/>
  <c r="H22" i="15"/>
  <c r="Q22" i="12"/>
  <c r="E55" i="15"/>
  <c r="F47" i="15"/>
  <c r="I50" i="15"/>
  <c r="F50" i="15" s="1"/>
  <c r="K35" i="12"/>
  <c r="K28" i="12"/>
  <c r="I45" i="15"/>
  <c r="F35" i="15"/>
  <c r="C39" i="65"/>
  <c r="O39" i="109"/>
  <c r="C25" i="42"/>
  <c r="Q34" i="12"/>
  <c r="G45" i="15"/>
  <c r="H45" i="15" s="1"/>
  <c r="H34" i="15"/>
  <c r="N19" i="12"/>
  <c r="P19" i="12" s="1"/>
  <c r="R19" i="12" s="1"/>
  <c r="S19" i="12" s="1"/>
  <c r="T19" i="12" s="1"/>
  <c r="L19" i="12"/>
  <c r="Q37" i="12"/>
  <c r="H37" i="15"/>
  <c r="F26" i="15"/>
  <c r="I31" i="15"/>
  <c r="K15" i="12"/>
  <c r="J44" i="70"/>
  <c r="K44" i="70" s="1"/>
  <c r="K45" i="65"/>
  <c r="F48" i="70"/>
  <c r="N26" i="12"/>
  <c r="P26" i="12" s="1"/>
  <c r="L26" i="12"/>
  <c r="K21" i="12"/>
  <c r="K20" i="12"/>
  <c r="K25" i="12"/>
  <c r="J16" i="1"/>
  <c r="D15" i="1"/>
  <c r="J35" i="38"/>
  <c r="E34" i="38"/>
  <c r="J45" i="70"/>
  <c r="K45" i="70" s="1"/>
  <c r="K46" i="65"/>
  <c r="H35" i="132"/>
  <c r="C24" i="22" s="1"/>
  <c r="H39" i="132"/>
  <c r="H45" i="132"/>
  <c r="H42" i="132" s="1"/>
  <c r="H36" i="132"/>
  <c r="F42" i="15"/>
  <c r="K41" i="12"/>
  <c r="E45" i="15"/>
  <c r="C53" i="11"/>
  <c r="E10" i="1"/>
  <c r="E51" i="109" s="1"/>
  <c r="E51" i="65" s="1"/>
  <c r="P50" i="70" s="1"/>
  <c r="Q50" i="70" s="1"/>
  <c r="E53" i="109"/>
  <c r="E53" i="65" s="1"/>
  <c r="P52" i="70" s="1"/>
  <c r="Q52" i="70" s="1"/>
  <c r="D23" i="128"/>
  <c r="G21" i="128"/>
  <c r="L24" i="12"/>
  <c r="N24" i="12"/>
  <c r="P24" i="12" s="1"/>
  <c r="K37" i="12"/>
  <c r="K17" i="12"/>
  <c r="N42" i="12"/>
  <c r="P42" i="12" s="1"/>
  <c r="L42" i="12"/>
  <c r="C42" i="109"/>
  <c r="L40" i="12"/>
  <c r="N40" i="12"/>
  <c r="P40" i="12" s="1"/>
  <c r="R40" i="12" s="1"/>
  <c r="S40" i="12" s="1"/>
  <c r="T40" i="12" s="1"/>
  <c r="C44" i="65"/>
  <c r="O44" i="109"/>
  <c r="D55" i="109"/>
  <c r="J21" i="1"/>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R36" i="41"/>
  <c r="R37" i="41"/>
  <c r="K20" i="41"/>
  <c r="K15" i="41" s="1"/>
  <c r="K10" i="41" s="1"/>
  <c r="I28" i="41"/>
  <c r="I27" i="41" s="1"/>
  <c r="J28" i="41"/>
  <c r="J27" i="41" s="1"/>
  <c r="J30" i="41"/>
  <c r="M20" i="41"/>
  <c r="M15" i="41" s="1"/>
  <c r="M10" i="41" s="1"/>
  <c r="K28" i="41"/>
  <c r="K27" i="41" s="1"/>
  <c r="K30" i="41"/>
  <c r="R22" i="41"/>
  <c r="L28" i="41"/>
  <c r="L27" i="41" s="1"/>
  <c r="L30" i="41"/>
  <c r="O28" i="41"/>
  <c r="O27" i="41" s="1"/>
  <c r="Q28" i="41"/>
  <c r="Q27" i="41" s="1"/>
  <c r="N30" i="41"/>
  <c r="O30" i="41"/>
  <c r="R33" i="41"/>
  <c r="Q30" i="41"/>
  <c r="G22" i="40"/>
  <c r="E22" i="41" s="1"/>
  <c r="G29" i="40"/>
  <c r="E29" i="41" s="1"/>
  <c r="G23" i="40"/>
  <c r="E23" i="41" s="1"/>
  <c r="G26" i="40"/>
  <c r="E26" i="41" s="1"/>
  <c r="G21" i="40"/>
  <c r="E21" i="41" s="1"/>
  <c r="J49" i="41"/>
  <c r="K49" i="41"/>
  <c r="L49" i="41"/>
  <c r="W47" i="41"/>
  <c r="C23" i="10"/>
  <c r="C104" i="10"/>
  <c r="C50" i="10"/>
  <c r="H98" i="132"/>
  <c r="C58" i="22" s="1"/>
  <c r="E31" i="38"/>
  <c r="J31" i="38" s="1"/>
  <c r="G28" i="39"/>
  <c r="G27" i="39" s="1"/>
  <c r="D19" i="38" s="1"/>
  <c r="J19" i="38" s="1"/>
  <c r="G45" i="39"/>
  <c r="K28" i="40"/>
  <c r="K27" i="40" s="1"/>
  <c r="D29" i="38" s="1"/>
  <c r="K39" i="40"/>
  <c r="C22" i="22"/>
  <c r="O22" i="22" s="1"/>
  <c r="G25" i="39"/>
  <c r="G24" i="39" s="1"/>
  <c r="D18" i="38" s="1"/>
  <c r="J18" i="38" s="1"/>
  <c r="K25" i="40"/>
  <c r="K24" i="40" s="1"/>
  <c r="D28" i="38" s="1"/>
  <c r="J28" i="38" s="1"/>
  <c r="K45" i="40"/>
  <c r="X30" i="41"/>
  <c r="E30" i="38" s="1"/>
  <c r="Y17" i="25"/>
  <c r="Y16" i="25" s="1"/>
  <c r="C29" i="40" l="1"/>
  <c r="F29" i="39"/>
  <c r="C29" i="41"/>
  <c r="C28" i="41" s="1"/>
  <c r="C27" i="41" s="1"/>
  <c r="C28" i="39"/>
  <c r="R29" i="41"/>
  <c r="F28" i="41"/>
  <c r="N17" i="12"/>
  <c r="P17" i="12" s="1"/>
  <c r="R17" i="12" s="1"/>
  <c r="S17" i="12" s="1"/>
  <c r="T17" i="12" s="1"/>
  <c r="L17" i="12"/>
  <c r="N21" i="12"/>
  <c r="P21" i="12" s="1"/>
  <c r="R21" i="12" s="1"/>
  <c r="S21" i="12" s="1"/>
  <c r="T21" i="12" s="1"/>
  <c r="L21" i="12"/>
  <c r="L28" i="12"/>
  <c r="N28" i="12"/>
  <c r="P28" i="12" s="1"/>
  <c r="R28" i="12" s="1"/>
  <c r="S28" i="12" s="1"/>
  <c r="T28" i="12" s="1"/>
  <c r="L16" i="12"/>
  <c r="N16" i="12"/>
  <c r="P16" i="12" s="1"/>
  <c r="R16" i="12" s="1"/>
  <c r="S16" i="12" s="1"/>
  <c r="T16" i="12" s="1"/>
  <c r="AJ18" i="25"/>
  <c r="AJ16" i="25" s="1"/>
  <c r="I31" i="22"/>
  <c r="Y41" i="25"/>
  <c r="Y39" i="25" s="1"/>
  <c r="Y10" i="25"/>
  <c r="C21" i="10"/>
  <c r="C30" i="10"/>
  <c r="C81" i="10"/>
  <c r="C32" i="40"/>
  <c r="F32" i="39"/>
  <c r="C32" i="41"/>
  <c r="J20" i="41"/>
  <c r="J15" i="41" s="1"/>
  <c r="J10" i="41" s="1"/>
  <c r="J48" i="41" s="1"/>
  <c r="L37" i="12"/>
  <c r="N37" i="12"/>
  <c r="P37" i="12" s="1"/>
  <c r="R37" i="12" s="1"/>
  <c r="S37" i="12" s="1"/>
  <c r="T37" i="12" s="1"/>
  <c r="L35" i="12"/>
  <c r="N35" i="12"/>
  <c r="R26" i="12"/>
  <c r="S26" i="12" s="1"/>
  <c r="T26" i="12" s="1"/>
  <c r="K20" i="40"/>
  <c r="K15" i="40" s="1"/>
  <c r="G98" i="10"/>
  <c r="F98" i="10"/>
  <c r="C25" i="39"/>
  <c r="C26" i="41"/>
  <c r="C25" i="41" s="1"/>
  <c r="C24" i="41" s="1"/>
  <c r="C26" i="40"/>
  <c r="F26" i="39"/>
  <c r="O48" i="41"/>
  <c r="F20" i="41"/>
  <c r="R21" i="41"/>
  <c r="L52" i="12"/>
  <c r="N52" i="12"/>
  <c r="F14" i="45"/>
  <c r="F10" i="45" s="1"/>
  <c r="O55" i="109"/>
  <c r="D55" i="65"/>
  <c r="F84" i="10"/>
  <c r="G84" i="10"/>
  <c r="M25" i="41"/>
  <c r="R26" i="41"/>
  <c r="K162" i="34"/>
  <c r="E73" i="132"/>
  <c r="D21" i="128"/>
  <c r="G10" i="128"/>
  <c r="G120" i="10"/>
  <c r="F120" i="10"/>
  <c r="C103" i="10"/>
  <c r="C21" i="40"/>
  <c r="C15" i="39"/>
  <c r="C21" i="41"/>
  <c r="F21" i="39"/>
  <c r="R32" i="41"/>
  <c r="I54" i="22"/>
  <c r="AJ35" i="25"/>
  <c r="C22" i="10"/>
  <c r="F23" i="39"/>
  <c r="C23" i="41"/>
  <c r="U23" i="41" s="1"/>
  <c r="C23" i="40"/>
  <c r="J23" i="40" s="1"/>
  <c r="G20" i="39"/>
  <c r="G15" i="39" s="1"/>
  <c r="I45" i="132"/>
  <c r="I42" i="132" s="1"/>
  <c r="I35" i="132"/>
  <c r="C100" i="10"/>
  <c r="C112" i="10"/>
  <c r="C111" i="10" s="1"/>
  <c r="C45" i="39"/>
  <c r="F45" i="39" s="1"/>
  <c r="C46" i="40"/>
  <c r="F46" i="39"/>
  <c r="C46" i="41"/>
  <c r="C45" i="41" s="1"/>
  <c r="N48" i="41"/>
  <c r="N49" i="41" s="1"/>
  <c r="I20" i="41"/>
  <c r="I15" i="41" s="1"/>
  <c r="I10" i="41" s="1"/>
  <c r="I53" i="22"/>
  <c r="AJ34" i="25"/>
  <c r="J162" i="34"/>
  <c r="D43" i="70"/>
  <c r="E43" i="70" s="1"/>
  <c r="K44" i="65"/>
  <c r="L45" i="70"/>
  <c r="R34" i="12"/>
  <c r="Q45" i="12"/>
  <c r="Q31" i="12"/>
  <c r="R22" i="12"/>
  <c r="S22" i="12" s="1"/>
  <c r="T22" i="12" s="1"/>
  <c r="Q50" i="12"/>
  <c r="X20" i="41"/>
  <c r="U21" i="41"/>
  <c r="C16" i="10"/>
  <c r="C11" i="10"/>
  <c r="V47" i="41"/>
  <c r="F22" i="39"/>
  <c r="C22" i="41"/>
  <c r="C22" i="40"/>
  <c r="J22" i="40" s="1"/>
  <c r="R46" i="41"/>
  <c r="M45" i="41"/>
  <c r="R45" i="41" s="1"/>
  <c r="E63" i="132"/>
  <c r="R52" i="70"/>
  <c r="J34" i="38"/>
  <c r="E33" i="38"/>
  <c r="J22" i="132"/>
  <c r="E18" i="22"/>
  <c r="H48" i="57"/>
  <c r="D50" i="57"/>
  <c r="D48" i="57" s="1"/>
  <c r="K30" i="40"/>
  <c r="D30" i="38" s="1"/>
  <c r="J30" i="38" s="1"/>
  <c r="C57" i="22"/>
  <c r="O58" i="22"/>
  <c r="C27" i="10"/>
  <c r="C15" i="10" s="1"/>
  <c r="C26" i="10"/>
  <c r="C43" i="40"/>
  <c r="C43" i="41"/>
  <c r="C39" i="41" s="1"/>
  <c r="F43" i="39"/>
  <c r="C39" i="39"/>
  <c r="L20" i="41"/>
  <c r="L15" i="41" s="1"/>
  <c r="L10" i="41" s="1"/>
  <c r="F26" i="33"/>
  <c r="F25" i="33"/>
  <c r="H164" i="34"/>
  <c r="E46" i="132"/>
  <c r="F46" i="132"/>
  <c r="R50" i="70"/>
  <c r="L44" i="70"/>
  <c r="H31" i="15"/>
  <c r="G55" i="15"/>
  <c r="H55" i="15" s="1"/>
  <c r="C31" i="65"/>
  <c r="P47" i="12"/>
  <c r="P50" i="12" s="1"/>
  <c r="N50" i="12"/>
  <c r="C12" i="13" s="1"/>
  <c r="D12" i="13" s="1"/>
  <c r="F27" i="45"/>
  <c r="J15" i="1"/>
  <c r="D53" i="109"/>
  <c r="D10" i="1"/>
  <c r="L15" i="12"/>
  <c r="N15" i="12"/>
  <c r="P15" i="12" s="1"/>
  <c r="R15" i="12" s="1"/>
  <c r="S15" i="12" s="1"/>
  <c r="T15" i="12" s="1"/>
  <c r="L66" i="59"/>
  <c r="I67" i="59"/>
  <c r="R38" i="41"/>
  <c r="I30" i="41"/>
  <c r="I48" i="41" s="1"/>
  <c r="I49" i="41" s="1"/>
  <c r="C30" i="22"/>
  <c r="X28" i="41"/>
  <c r="U29" i="41"/>
  <c r="C36" i="22"/>
  <c r="H72" i="132"/>
  <c r="G69" i="10"/>
  <c r="C29" i="10"/>
  <c r="F69" i="10"/>
  <c r="C68" i="10"/>
  <c r="C60" i="10" s="1"/>
  <c r="C36" i="41"/>
  <c r="F36" i="39"/>
  <c r="C36" i="40"/>
  <c r="J36" i="40" s="1"/>
  <c r="C37" i="40"/>
  <c r="J37" i="40" s="1"/>
  <c r="F37" i="39"/>
  <c r="C37" i="41"/>
  <c r="G164" i="34"/>
  <c r="G23" i="132"/>
  <c r="F23" i="132"/>
  <c r="E23" i="132"/>
  <c r="C42" i="65"/>
  <c r="I55" i="15"/>
  <c r="F55" i="15" s="1"/>
  <c r="F31" i="15"/>
  <c r="D38" i="70"/>
  <c r="E38" i="70" s="1"/>
  <c r="K39" i="65"/>
  <c r="C40" i="25"/>
  <c r="C10" i="25"/>
  <c r="P11" i="12"/>
  <c r="C40" i="10"/>
  <c r="C102" i="10"/>
  <c r="C105" i="10"/>
  <c r="C34" i="41"/>
  <c r="F34" i="39"/>
  <c r="C34" i="40"/>
  <c r="J34" i="40" s="1"/>
  <c r="F35" i="39"/>
  <c r="C35" i="41"/>
  <c r="C35" i="40"/>
  <c r="J35" i="40" s="1"/>
  <c r="R23" i="41"/>
  <c r="G24" i="132"/>
  <c r="L41" i="12"/>
  <c r="N41" i="12"/>
  <c r="P41" i="12" s="1"/>
  <c r="R41" i="12" s="1"/>
  <c r="S41" i="12" s="1"/>
  <c r="T41" i="12" s="1"/>
  <c r="N25" i="12"/>
  <c r="P25" i="12" s="1"/>
  <c r="R25" i="12" s="1"/>
  <c r="S25" i="12" s="1"/>
  <c r="T25" i="12" s="1"/>
  <c r="L25" i="12"/>
  <c r="R24" i="12"/>
  <c r="S24" i="12" s="1"/>
  <c r="T24" i="12" s="1"/>
  <c r="C38" i="41"/>
  <c r="U38" i="41" s="1"/>
  <c r="C38" i="40"/>
  <c r="J38" i="40" s="1"/>
  <c r="C17" i="22"/>
  <c r="H22" i="132"/>
  <c r="K48" i="41"/>
  <c r="R43" i="41"/>
  <c r="F21" i="45"/>
  <c r="X17" i="25"/>
  <c r="X16" i="25" s="1"/>
  <c r="G24" i="33"/>
  <c r="G23" i="33" s="1"/>
  <c r="G22" i="33" s="1"/>
  <c r="G39" i="39"/>
  <c r="G30" i="39" s="1"/>
  <c r="D20" i="38" s="1"/>
  <c r="J20" i="38" s="1"/>
  <c r="C96" i="10"/>
  <c r="C88" i="10" s="1"/>
  <c r="C12" i="10"/>
  <c r="C33" i="40"/>
  <c r="J33" i="40" s="1"/>
  <c r="C33" i="41"/>
  <c r="F33" i="39"/>
  <c r="Q48" i="41"/>
  <c r="Q49" i="41" s="1"/>
  <c r="L48" i="41"/>
  <c r="N20" i="12"/>
  <c r="P20" i="12" s="1"/>
  <c r="R20" i="12" s="1"/>
  <c r="S20" i="12" s="1"/>
  <c r="T20" i="12" s="1"/>
  <c r="L20" i="12"/>
  <c r="F45" i="15"/>
  <c r="R42" i="12"/>
  <c r="S42" i="12" s="1"/>
  <c r="T42" i="12" s="1"/>
  <c r="D37" i="70"/>
  <c r="E37" i="70" s="1"/>
  <c r="K38" i="65"/>
  <c r="C99" i="11"/>
  <c r="C14" i="20"/>
  <c r="M10" i="20" s="1"/>
  <c r="L10" i="20" s="1"/>
  <c r="D16" i="20"/>
  <c r="C10" i="20"/>
  <c r="M9" i="20" s="1"/>
  <c r="L9" i="20" s="1"/>
  <c r="G24" i="114"/>
  <c r="E38" i="7"/>
  <c r="F23" i="114"/>
  <c r="G26" i="114"/>
  <c r="G23" i="114"/>
  <c r="F26" i="114"/>
  <c r="F25" i="114"/>
  <c r="D14" i="16"/>
  <c r="G30" i="114"/>
  <c r="D13" i="16"/>
  <c r="I27" i="114"/>
  <c r="G25" i="114"/>
  <c r="F24" i="114"/>
  <c r="E35" i="114"/>
  <c r="H35" i="114" s="1"/>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I47" i="57" l="1"/>
  <c r="E24" i="47" s="1"/>
  <c r="I24" i="47" s="1"/>
  <c r="E47" i="57"/>
  <c r="I65" i="9"/>
  <c r="D34" i="22"/>
  <c r="D27" i="22" s="1"/>
  <c r="D25" i="109" s="1"/>
  <c r="D25" i="65" s="1"/>
  <c r="J25" i="70" s="1"/>
  <c r="K25" i="70" s="1"/>
  <c r="I52" i="132"/>
  <c r="I21" i="114"/>
  <c r="C44" i="7" s="1"/>
  <c r="F22" i="114"/>
  <c r="D41" i="70"/>
  <c r="E41" i="70" s="1"/>
  <c r="L65" i="59"/>
  <c r="I66" i="59"/>
  <c r="D30" i="70"/>
  <c r="E30" i="70" s="1"/>
  <c r="J32" i="40"/>
  <c r="J66" i="8"/>
  <c r="H38" i="114"/>
  <c r="F35" i="114"/>
  <c r="I32" i="114"/>
  <c r="I31" i="114" s="1"/>
  <c r="C45" i="7" s="1"/>
  <c r="F20" i="45"/>
  <c r="C28" i="10"/>
  <c r="C14" i="10" s="1"/>
  <c r="F29" i="10"/>
  <c r="G29" i="10"/>
  <c r="E16" i="22"/>
  <c r="O18" i="22"/>
  <c r="Q55" i="12"/>
  <c r="D10" i="128"/>
  <c r="C19" i="1"/>
  <c r="H30" i="10"/>
  <c r="E31" i="10"/>
  <c r="H21" i="10"/>
  <c r="G51" i="10"/>
  <c r="J50" i="10"/>
  <c r="H102" i="10"/>
  <c r="E102" i="10" s="1"/>
  <c r="H105" i="10"/>
  <c r="E108" i="10"/>
  <c r="J26" i="8"/>
  <c r="I30" i="8"/>
  <c r="J13" i="9"/>
  <c r="J45" i="9"/>
  <c r="E21" i="7" s="1"/>
  <c r="D15" i="16"/>
  <c r="I10" i="114"/>
  <c r="C43" i="7" s="1"/>
  <c r="E19" i="16"/>
  <c r="G18" i="16"/>
  <c r="E18" i="16" s="1"/>
  <c r="G18" i="114"/>
  <c r="J16" i="114"/>
  <c r="J10" i="114" s="1"/>
  <c r="D43" i="7" s="1"/>
  <c r="M39" i="41"/>
  <c r="F39" i="39"/>
  <c r="D27" i="38"/>
  <c r="K10" i="40"/>
  <c r="J12" i="9"/>
  <c r="I16" i="10"/>
  <c r="D25" i="7" s="1"/>
  <c r="F17" i="10"/>
  <c r="J95" i="9"/>
  <c r="E19" i="132"/>
  <c r="I52" i="9"/>
  <c r="D22" i="7" s="1"/>
  <c r="J27" i="114"/>
  <c r="G13" i="114"/>
  <c r="H14" i="114"/>
  <c r="C109" i="11"/>
  <c r="C108" i="11" s="1"/>
  <c r="C94" i="11"/>
  <c r="C93" i="11" s="1"/>
  <c r="N31" i="12"/>
  <c r="D51" i="109"/>
  <c r="D51" i="65" s="1"/>
  <c r="J50" i="70" s="1"/>
  <c r="K50" i="70" s="1"/>
  <c r="C15" i="68"/>
  <c r="J33" i="38"/>
  <c r="E35" i="109"/>
  <c r="S34" i="12"/>
  <c r="T34" i="12" s="1"/>
  <c r="J46" i="40"/>
  <c r="C45" i="40"/>
  <c r="J45" i="40" s="1"/>
  <c r="O54" i="22"/>
  <c r="V28" i="73"/>
  <c r="W28" i="73" s="1"/>
  <c r="N54" i="12"/>
  <c r="C13" i="13" s="1"/>
  <c r="D13" i="13" s="1"/>
  <c r="P52" i="12"/>
  <c r="C20" i="10"/>
  <c r="J65" i="9"/>
  <c r="I96" i="10"/>
  <c r="I14" i="10" s="1"/>
  <c r="F14" i="10" s="1"/>
  <c r="F97" i="10"/>
  <c r="J17" i="9"/>
  <c r="E17" i="7" s="1"/>
  <c r="J11" i="9"/>
  <c r="E121" i="10"/>
  <c r="H104" i="10"/>
  <c r="E104" i="10" s="1"/>
  <c r="J22" i="10"/>
  <c r="G22" i="10" s="1"/>
  <c r="G32" i="10"/>
  <c r="H103" i="10"/>
  <c r="E103" i="10" s="1"/>
  <c r="E120" i="10"/>
  <c r="J100" i="10"/>
  <c r="G113" i="10"/>
  <c r="J112" i="10"/>
  <c r="J111" i="10" s="1"/>
  <c r="F32" i="10"/>
  <c r="I22" i="10"/>
  <c r="F22" i="10" s="1"/>
  <c r="F51" i="10"/>
  <c r="I50" i="10"/>
  <c r="H24" i="9"/>
  <c r="C18" i="7" s="1"/>
  <c r="I61" i="9"/>
  <c r="G38" i="114"/>
  <c r="E19" i="109"/>
  <c r="E19" i="65" s="1"/>
  <c r="P19" i="70" s="1"/>
  <c r="Q19" i="70" s="1"/>
  <c r="R11" i="12"/>
  <c r="S11" i="12" s="1"/>
  <c r="T11" i="12" s="1"/>
  <c r="T31" i="12" s="1"/>
  <c r="P31" i="12"/>
  <c r="C35" i="22"/>
  <c r="O36" i="22"/>
  <c r="D53" i="65"/>
  <c r="O53" i="109"/>
  <c r="P35" i="12"/>
  <c r="N45" i="12"/>
  <c r="C11" i="13" s="1"/>
  <c r="D11" i="13" s="1"/>
  <c r="I60" i="10"/>
  <c r="F61" i="10"/>
  <c r="F89" i="10"/>
  <c r="F37" i="10"/>
  <c r="I27" i="10"/>
  <c r="H102" i="9"/>
  <c r="I95" i="9"/>
  <c r="J102" i="9"/>
  <c r="H37" i="114"/>
  <c r="K36" i="114"/>
  <c r="K31" i="114" s="1"/>
  <c r="E45" i="7" s="1"/>
  <c r="J43" i="40"/>
  <c r="C39" i="40"/>
  <c r="J39" i="40" s="1"/>
  <c r="F41" i="10"/>
  <c r="I40" i="10"/>
  <c r="H119" i="9"/>
  <c r="H118" i="9" s="1"/>
  <c r="H38" i="9"/>
  <c r="C20" i="7" s="1"/>
  <c r="I10" i="20"/>
  <c r="E53" i="7" s="1"/>
  <c r="F11" i="20"/>
  <c r="G89" i="10"/>
  <c r="J24" i="9"/>
  <c r="E18" i="7" s="1"/>
  <c r="H96" i="10"/>
  <c r="H88" i="10" s="1"/>
  <c r="C28" i="7" s="1"/>
  <c r="E97" i="10"/>
  <c r="H16" i="10"/>
  <c r="C25" i="7" s="1"/>
  <c r="E17" i="10"/>
  <c r="F113" i="10"/>
  <c r="I100" i="10"/>
  <c r="I112" i="10"/>
  <c r="I111" i="10" s="1"/>
  <c r="E32" i="10"/>
  <c r="H22" i="10"/>
  <c r="E22" i="10" s="1"/>
  <c r="I119" i="9"/>
  <c r="I118" i="9" s="1"/>
  <c r="J26" i="10"/>
  <c r="G36" i="10"/>
  <c r="H50" i="10"/>
  <c r="E51" i="10"/>
  <c r="I81" i="9"/>
  <c r="J63" i="8"/>
  <c r="J36" i="114"/>
  <c r="G37" i="114"/>
  <c r="F38" i="114"/>
  <c r="G14" i="114"/>
  <c r="K10" i="114"/>
  <c r="E43" i="7" s="1"/>
  <c r="F37" i="70"/>
  <c r="E12" i="10"/>
  <c r="G12" i="10"/>
  <c r="F12" i="10"/>
  <c r="O17" i="22"/>
  <c r="C16" i="22"/>
  <c r="C39" i="25"/>
  <c r="W40" i="25"/>
  <c r="U28" i="41"/>
  <c r="X27" i="41"/>
  <c r="C13" i="10"/>
  <c r="C10" i="10" s="1"/>
  <c r="C99" i="10"/>
  <c r="R25" i="41"/>
  <c r="M24" i="41"/>
  <c r="R24" i="41" s="1"/>
  <c r="R20" i="41"/>
  <c r="R15" i="41" s="1"/>
  <c r="R10" i="41" s="1"/>
  <c r="F15" i="41"/>
  <c r="F10" i="41" s="1"/>
  <c r="O31" i="22"/>
  <c r="V14" i="73"/>
  <c r="I27" i="22"/>
  <c r="R28" i="41"/>
  <c r="F27" i="41"/>
  <c r="J27" i="10"/>
  <c r="G37" i="10"/>
  <c r="H99" i="11"/>
  <c r="E99" i="11" s="1"/>
  <c r="E114" i="11"/>
  <c r="G108" i="10"/>
  <c r="J105" i="10"/>
  <c r="J102" i="10"/>
  <c r="G102" i="10" s="1"/>
  <c r="I67" i="9"/>
  <c r="I60" i="9"/>
  <c r="N62" i="109"/>
  <c r="I102" i="10"/>
  <c r="F102" i="10" s="1"/>
  <c r="I105" i="10"/>
  <c r="F108" i="10"/>
  <c r="H30" i="8"/>
  <c r="F36" i="10"/>
  <c r="I26" i="10"/>
  <c r="I23" i="10"/>
  <c r="F23" i="10" s="1"/>
  <c r="F33" i="10"/>
  <c r="E36" i="10"/>
  <c r="H26" i="10"/>
  <c r="J119" i="9"/>
  <c r="J118" i="9" s="1"/>
  <c r="J52" i="9"/>
  <c r="E22" i="7" s="1"/>
  <c r="C10" i="16"/>
  <c r="I36" i="114"/>
  <c r="F37" i="114"/>
  <c r="K21" i="114"/>
  <c r="E44" i="7" s="1"/>
  <c r="H22" i="114"/>
  <c r="H52" i="132"/>
  <c r="F43" i="70"/>
  <c r="I22" i="132"/>
  <c r="D24" i="22"/>
  <c r="C20" i="41"/>
  <c r="C15" i="41" s="1"/>
  <c r="C10" i="41" s="1"/>
  <c r="AJ41" i="25"/>
  <c r="AJ39" i="25" s="1"/>
  <c r="H61" i="9"/>
  <c r="H40" i="10"/>
  <c r="E41" i="10"/>
  <c r="E15" i="19"/>
  <c r="C49" i="7" s="1"/>
  <c r="E27" i="19"/>
  <c r="E28" i="19" s="1"/>
  <c r="F38" i="70"/>
  <c r="C27" i="22"/>
  <c r="C10" i="39"/>
  <c r="F15" i="39"/>
  <c r="F28" i="39"/>
  <c r="C27" i="39"/>
  <c r="F27" i="39" s="1"/>
  <c r="G17" i="10"/>
  <c r="J16" i="10"/>
  <c r="E25" i="7" s="1"/>
  <c r="H23" i="10"/>
  <c r="E23" i="10" s="1"/>
  <c r="E33" i="10"/>
  <c r="J104" i="10"/>
  <c r="G104" i="10" s="1"/>
  <c r="G121" i="10"/>
  <c r="I102" i="9"/>
  <c r="H67" i="9"/>
  <c r="H60" i="9"/>
  <c r="J81" i="10"/>
  <c r="E27" i="7" s="1"/>
  <c r="G82" i="10"/>
  <c r="H112" i="10"/>
  <c r="H111" i="10" s="1"/>
  <c r="H100" i="10"/>
  <c r="E113" i="10"/>
  <c r="J61" i="9"/>
  <c r="G31" i="10"/>
  <c r="J21" i="10"/>
  <c r="J67" i="9"/>
  <c r="J60" i="9"/>
  <c r="J68" i="8"/>
  <c r="K66" i="59"/>
  <c r="H67" i="59"/>
  <c r="F11" i="16"/>
  <c r="J32" i="114"/>
  <c r="J31" i="114" s="1"/>
  <c r="D45" i="7" s="1"/>
  <c r="G35" i="114"/>
  <c r="O57" i="22"/>
  <c r="C30" i="109"/>
  <c r="X15" i="41"/>
  <c r="U20" i="41"/>
  <c r="AJ33" i="25"/>
  <c r="AJ44" i="25" s="1"/>
  <c r="D17" i="38"/>
  <c r="G10" i="39"/>
  <c r="J21" i="40"/>
  <c r="C20" i="40"/>
  <c r="C25" i="40"/>
  <c r="J26" i="40"/>
  <c r="C30" i="39"/>
  <c r="F30" i="39" s="1"/>
  <c r="H25" i="8"/>
  <c r="G41" i="10"/>
  <c r="J40" i="10"/>
  <c r="H29" i="10"/>
  <c r="E69" i="10"/>
  <c r="H68" i="10"/>
  <c r="H60" i="10" s="1"/>
  <c r="I104" i="10"/>
  <c r="F104" i="10" s="1"/>
  <c r="F121" i="10"/>
  <c r="I30" i="10"/>
  <c r="I21" i="10"/>
  <c r="F31" i="10"/>
  <c r="H31" i="9"/>
  <c r="C19" i="7" s="1"/>
  <c r="H45" i="9"/>
  <c r="C21" i="7" s="1"/>
  <c r="H81" i="9"/>
  <c r="J25" i="8"/>
  <c r="I26" i="8"/>
  <c r="D47" i="57"/>
  <c r="D46" i="57" s="1"/>
  <c r="H46" i="57"/>
  <c r="H10" i="57" s="1"/>
  <c r="E34" i="22"/>
  <c r="E27" i="22" s="1"/>
  <c r="E25" i="109" s="1"/>
  <c r="E25" i="65" s="1"/>
  <c r="P25" i="70" s="1"/>
  <c r="Q25" i="70" s="1"/>
  <c r="J52" i="132"/>
  <c r="E15" i="16"/>
  <c r="G12" i="114"/>
  <c r="G22" i="114"/>
  <c r="J21" i="114"/>
  <c r="D44" i="7" s="1"/>
  <c r="F14" i="114"/>
  <c r="X41" i="25"/>
  <c r="X10" i="25"/>
  <c r="R47" i="12"/>
  <c r="W27" i="73"/>
  <c r="I52" i="22"/>
  <c r="O53" i="22"/>
  <c r="F103" i="10"/>
  <c r="G103" i="10"/>
  <c r="K55" i="65"/>
  <c r="J54" i="70"/>
  <c r="K54" i="70" s="1"/>
  <c r="C30" i="41"/>
  <c r="U30" i="41" s="1"/>
  <c r="J60" i="10"/>
  <c r="G61" i="10"/>
  <c r="G97" i="10"/>
  <c r="J96" i="10"/>
  <c r="J14" i="10" s="1"/>
  <c r="G14" i="10" s="1"/>
  <c r="I81" i="10"/>
  <c r="D27" i="7" s="1"/>
  <c r="F82" i="10"/>
  <c r="I38" i="9"/>
  <c r="D20" i="7" s="1"/>
  <c r="I62" i="9"/>
  <c r="H13" i="9"/>
  <c r="J81" i="9"/>
  <c r="I82" i="8"/>
  <c r="I62" i="8"/>
  <c r="G48" i="57"/>
  <c r="G46" i="57" s="1"/>
  <c r="I50" i="57"/>
  <c r="E50" i="57"/>
  <c r="J38" i="9"/>
  <c r="E20" i="7" s="1"/>
  <c r="G11" i="16"/>
  <c r="E12" i="16"/>
  <c r="D19" i="16"/>
  <c r="F18" i="16"/>
  <c r="D18" i="16" s="1"/>
  <c r="C16" i="19"/>
  <c r="E23" i="19"/>
  <c r="E29" i="19" s="1"/>
  <c r="C58" i="7"/>
  <c r="L24" i="114"/>
  <c r="L21" i="114" s="1"/>
  <c r="C17" i="19"/>
  <c r="C11" i="19"/>
  <c r="F48" i="57"/>
  <c r="F25" i="39"/>
  <c r="C24" i="39"/>
  <c r="F24" i="39" s="1"/>
  <c r="J29" i="40"/>
  <c r="C28" i="40"/>
  <c r="E20" i="132"/>
  <c r="E21" i="132"/>
  <c r="I12" i="9"/>
  <c r="H32" i="8"/>
  <c r="J53" i="8"/>
  <c r="E14" i="7" s="1"/>
  <c r="E47" i="10"/>
  <c r="N63" i="109"/>
  <c r="E95" i="10"/>
  <c r="M63" i="109"/>
  <c r="K63" i="109"/>
  <c r="L63" i="109"/>
  <c r="I46" i="57" l="1"/>
  <c r="E46" i="57"/>
  <c r="G10" i="57"/>
  <c r="H27" i="8"/>
  <c r="J32" i="8"/>
  <c r="J27" i="8"/>
  <c r="H65" i="9"/>
  <c r="I19" i="8"/>
  <c r="G14" i="20"/>
  <c r="C54" i="7" s="1"/>
  <c r="D15" i="20"/>
  <c r="H82" i="8"/>
  <c r="M62" i="109"/>
  <c r="H52" i="7"/>
  <c r="M61" i="109" s="1"/>
  <c r="I75" i="8"/>
  <c r="H95" i="9"/>
  <c r="I20" i="10"/>
  <c r="D26" i="7" s="1"/>
  <c r="F21" i="10"/>
  <c r="J59" i="9"/>
  <c r="E23" i="7" s="1"/>
  <c r="H99" i="10"/>
  <c r="C29" i="7" s="1"/>
  <c r="J29" i="7" s="1"/>
  <c r="E100" i="10"/>
  <c r="I13" i="10"/>
  <c r="F13" i="10" s="1"/>
  <c r="F26" i="10"/>
  <c r="F27" i="10"/>
  <c r="I15" i="10"/>
  <c r="F15" i="10" s="1"/>
  <c r="J52" i="70"/>
  <c r="K52" i="70" s="1"/>
  <c r="K53" i="65"/>
  <c r="H62" i="9"/>
  <c r="C25" i="109"/>
  <c r="I99" i="10"/>
  <c r="D29" i="7" s="1"/>
  <c r="F100" i="10"/>
  <c r="R39" i="41"/>
  <c r="M30" i="41"/>
  <c r="R30" i="41" s="1"/>
  <c r="I27" i="8"/>
  <c r="E62" i="109"/>
  <c r="E61" i="65" s="1"/>
  <c r="P60" i="70" s="1"/>
  <c r="Q60" i="70" s="1"/>
  <c r="O35" i="22"/>
  <c r="C26" i="109"/>
  <c r="E35" i="65"/>
  <c r="O35" i="109"/>
  <c r="H81" i="10"/>
  <c r="C27" i="7" s="1"/>
  <c r="J27" i="7" s="1"/>
  <c r="E82" i="10"/>
  <c r="D42" i="7"/>
  <c r="D20" i="109" s="1"/>
  <c r="D20" i="65" s="1"/>
  <c r="J20" i="70" s="1"/>
  <c r="K20" i="70" s="1"/>
  <c r="L25" i="70"/>
  <c r="J61" i="8"/>
  <c r="J18" i="8" s="1"/>
  <c r="J82" i="8"/>
  <c r="R25" i="70"/>
  <c r="C24" i="40"/>
  <c r="J24" i="40" s="1"/>
  <c r="J25" i="40"/>
  <c r="F10" i="16"/>
  <c r="D39" i="7" s="1"/>
  <c r="D38" i="7" s="1"/>
  <c r="I88" i="10"/>
  <c r="D28" i="7" s="1"/>
  <c r="J28" i="7" s="1"/>
  <c r="G100" i="10"/>
  <c r="J99" i="10"/>
  <c r="E29" i="7" s="1"/>
  <c r="I11" i="10"/>
  <c r="H11" i="10"/>
  <c r="E21" i="10"/>
  <c r="H20" i="10"/>
  <c r="C26" i="7" s="1"/>
  <c r="C30" i="40"/>
  <c r="J30" i="40" s="1"/>
  <c r="J20" i="7"/>
  <c r="E10" i="13"/>
  <c r="H18" i="132"/>
  <c r="H14" i="132" s="1"/>
  <c r="C15" i="22" s="1"/>
  <c r="O15" i="22" s="1"/>
  <c r="H75" i="8"/>
  <c r="J28" i="40"/>
  <c r="C27" i="40"/>
  <c r="J27" i="40" s="1"/>
  <c r="I21" i="8"/>
  <c r="I45" i="9"/>
  <c r="D21" i="7" s="1"/>
  <c r="J21" i="7" s="1"/>
  <c r="G33" i="10"/>
  <c r="J23" i="10"/>
  <c r="O52" i="22"/>
  <c r="I29" i="109"/>
  <c r="J20" i="40"/>
  <c r="C15" i="40"/>
  <c r="I24" i="9"/>
  <c r="D18" i="7" s="1"/>
  <c r="J18" i="7" s="1"/>
  <c r="L62" i="109"/>
  <c r="G52" i="7"/>
  <c r="L61" i="109" s="1"/>
  <c r="F15" i="20"/>
  <c r="I14" i="20"/>
  <c r="E54" i="7" s="1"/>
  <c r="E63" i="109" s="1"/>
  <c r="E62" i="65" s="1"/>
  <c r="P61" i="70" s="1"/>
  <c r="Q61" i="70" s="1"/>
  <c r="J62" i="8"/>
  <c r="I25" i="8"/>
  <c r="I32" i="8"/>
  <c r="E11" i="16"/>
  <c r="G10" i="16"/>
  <c r="C39" i="7" s="1"/>
  <c r="X27" i="73"/>
  <c r="J30" i="10"/>
  <c r="H59" i="9"/>
  <c r="C23" i="7" s="1"/>
  <c r="AJ10" i="25"/>
  <c r="J25" i="7"/>
  <c r="C24" i="7"/>
  <c r="L50" i="70"/>
  <c r="I63" i="8"/>
  <c r="H61" i="8"/>
  <c r="H68" i="8"/>
  <c r="I31" i="9"/>
  <c r="D19" i="7" s="1"/>
  <c r="H62" i="8"/>
  <c r="O34" i="22"/>
  <c r="S47" i="12"/>
  <c r="T47" i="12" s="1"/>
  <c r="T50" i="12" s="1"/>
  <c r="E12" i="13" s="1"/>
  <c r="R50" i="12"/>
  <c r="E29" i="10"/>
  <c r="H28" i="10"/>
  <c r="H14" i="10" s="1"/>
  <c r="E14" i="10" s="1"/>
  <c r="G21" i="10"/>
  <c r="J20" i="10"/>
  <c r="E26" i="7" s="1"/>
  <c r="E24" i="7" s="1"/>
  <c r="E15" i="109" s="1"/>
  <c r="E15" i="65" s="1"/>
  <c r="P15" i="70" s="1"/>
  <c r="Q15" i="70" s="1"/>
  <c r="J49" i="7"/>
  <c r="C47" i="7"/>
  <c r="J15" i="10"/>
  <c r="G15" i="10" s="1"/>
  <c r="G27" i="10"/>
  <c r="G26" i="10"/>
  <c r="J13" i="10"/>
  <c r="G13" i="10" s="1"/>
  <c r="R19" i="70"/>
  <c r="R52" i="12"/>
  <c r="P54" i="12"/>
  <c r="C10" i="13"/>
  <c r="N55" i="12"/>
  <c r="J43" i="7"/>
  <c r="C42" i="7"/>
  <c r="J19" i="1"/>
  <c r="C18" i="1"/>
  <c r="J45" i="7"/>
  <c r="F30" i="70"/>
  <c r="J16" i="9"/>
  <c r="H16" i="9"/>
  <c r="H44" i="11"/>
  <c r="I13" i="9"/>
  <c r="C13" i="22"/>
  <c r="O13" i="22" s="1"/>
  <c r="E12" i="132"/>
  <c r="F46" i="57"/>
  <c r="D10" i="57"/>
  <c r="F10" i="57" s="1"/>
  <c r="D11" i="38"/>
  <c r="J17" i="38"/>
  <c r="K65" i="59"/>
  <c r="H66" i="59"/>
  <c r="D16" i="22"/>
  <c r="O24" i="22"/>
  <c r="H13" i="10"/>
  <c r="E13" i="10" s="1"/>
  <c r="E26" i="10"/>
  <c r="I52" i="7"/>
  <c r="N61" i="109" s="1"/>
  <c r="F48" i="41"/>
  <c r="R27" i="41"/>
  <c r="E29" i="38"/>
  <c r="J29" i="38" s="1"/>
  <c r="U27" i="41"/>
  <c r="E42" i="7"/>
  <c r="J75" i="8"/>
  <c r="I17" i="9"/>
  <c r="D17" i="7" s="1"/>
  <c r="I11" i="9"/>
  <c r="H11" i="9"/>
  <c r="H52" i="9"/>
  <c r="C22" i="7" s="1"/>
  <c r="J22" i="7" s="1"/>
  <c r="K62" i="109"/>
  <c r="F52" i="7"/>
  <c r="K61" i="109" s="1"/>
  <c r="H21" i="8"/>
  <c r="I68" i="8"/>
  <c r="I61" i="8"/>
  <c r="G30" i="22"/>
  <c r="X39" i="25"/>
  <c r="AH41" i="25"/>
  <c r="X28" i="73"/>
  <c r="R31" i="12"/>
  <c r="L59" i="59"/>
  <c r="I65" i="59"/>
  <c r="I66" i="8"/>
  <c r="D11" i="20"/>
  <c r="G10" i="20"/>
  <c r="C53" i="7" s="1"/>
  <c r="I53" i="8"/>
  <c r="D14" i="7" s="1"/>
  <c r="I25" i="109"/>
  <c r="I25" i="65" s="1"/>
  <c r="I10" i="22"/>
  <c r="I22" i="109" s="1"/>
  <c r="F25" i="22"/>
  <c r="W39" i="25"/>
  <c r="D21" i="38"/>
  <c r="D22" i="38"/>
  <c r="H10" i="20"/>
  <c r="D53" i="7" s="1"/>
  <c r="E11" i="20"/>
  <c r="H66" i="8"/>
  <c r="H23" i="8" s="1"/>
  <c r="E37" i="10"/>
  <c r="H27" i="10"/>
  <c r="J30" i="8"/>
  <c r="J24" i="8" s="1"/>
  <c r="E13" i="7" s="1"/>
  <c r="J21" i="8"/>
  <c r="I16" i="9"/>
  <c r="C12" i="22"/>
  <c r="H10" i="132"/>
  <c r="E11" i="132"/>
  <c r="J44" i="7"/>
  <c r="X10" i="41"/>
  <c r="X50" i="41" s="1"/>
  <c r="U50" i="41" s="1"/>
  <c r="E27" i="38"/>
  <c r="U15" i="41"/>
  <c r="H53" i="8"/>
  <c r="C14" i="7" s="1"/>
  <c r="J14" i="7" s="1"/>
  <c r="I59" i="9"/>
  <c r="D23" i="7" s="1"/>
  <c r="W14" i="73"/>
  <c r="V10" i="73"/>
  <c r="W10" i="73" s="1"/>
  <c r="J31" i="9"/>
  <c r="E19" i="7" s="1"/>
  <c r="J19" i="7" s="1"/>
  <c r="R35" i="12"/>
  <c r="P45" i="12"/>
  <c r="P55" i="12" s="1"/>
  <c r="F41" i="70"/>
  <c r="H11" i="16"/>
  <c r="D12" i="16"/>
  <c r="H14" i="20"/>
  <c r="D54" i="7" s="1"/>
  <c r="D63" i="109" s="1"/>
  <c r="D62" i="65" s="1"/>
  <c r="J61" i="70" s="1"/>
  <c r="K61" i="70" s="1"/>
  <c r="E15" i="20"/>
  <c r="H26" i="8"/>
  <c r="H17" i="9"/>
  <c r="C17" i="7" s="1"/>
  <c r="H12" i="9"/>
  <c r="C14" i="22"/>
  <c r="O14" i="22" s="1"/>
  <c r="E13" i="132"/>
  <c r="J58" i="7"/>
  <c r="C57" i="7"/>
  <c r="I48" i="57"/>
  <c r="E25" i="47" s="1"/>
  <c r="E23" i="47" s="1"/>
  <c r="E48" i="57"/>
  <c r="L54" i="70"/>
  <c r="H24" i="8"/>
  <c r="C13" i="7" s="1"/>
  <c r="O30" i="109"/>
  <c r="C30" i="65"/>
  <c r="F10" i="39"/>
  <c r="C24" i="109"/>
  <c r="J88" i="10"/>
  <c r="E28" i="7" s="1"/>
  <c r="J10" i="9"/>
  <c r="E24" i="109"/>
  <c r="E24" i="65" s="1"/>
  <c r="P24" i="70" s="1"/>
  <c r="Q24" i="70" s="1"/>
  <c r="E10" i="22"/>
  <c r="E22" i="109" s="1"/>
  <c r="E22" i="65" s="1"/>
  <c r="P22" i="70" s="1"/>
  <c r="Q22" i="70" s="1"/>
  <c r="I59" i="59" l="1"/>
  <c r="L10" i="59"/>
  <c r="I10" i="59" s="1"/>
  <c r="D16" i="7"/>
  <c r="D14" i="109" s="1"/>
  <c r="D14" i="65" s="1"/>
  <c r="J14" i="70" s="1"/>
  <c r="K14" i="70" s="1"/>
  <c r="U10" i="41"/>
  <c r="I14" i="8"/>
  <c r="E16" i="7"/>
  <c r="E14" i="109" s="1"/>
  <c r="E14" i="65" s="1"/>
  <c r="P14" i="70" s="1"/>
  <c r="Q14" i="70" s="1"/>
  <c r="R22" i="70"/>
  <c r="R24" i="70"/>
  <c r="F16" i="22"/>
  <c r="O25" i="22"/>
  <c r="D11" i="73"/>
  <c r="D24" i="109"/>
  <c r="D24" i="65" s="1"/>
  <c r="J24" i="70" s="1"/>
  <c r="K24" i="70" s="1"/>
  <c r="D10" i="22"/>
  <c r="J47" i="7"/>
  <c r="C21" i="109"/>
  <c r="C10" i="40"/>
  <c r="J10" i="40" s="1"/>
  <c r="J15" i="40"/>
  <c r="I20" i="8"/>
  <c r="D24" i="7"/>
  <c r="D15" i="109" s="1"/>
  <c r="D15" i="65" s="1"/>
  <c r="J15" i="70" s="1"/>
  <c r="K15" i="70" s="1"/>
  <c r="H63" i="8"/>
  <c r="H20" i="8" s="1"/>
  <c r="J20" i="8"/>
  <c r="O29" i="109"/>
  <c r="I29" i="65"/>
  <c r="K29" i="65" s="1"/>
  <c r="J26" i="7"/>
  <c r="L20" i="70"/>
  <c r="L52" i="70"/>
  <c r="L61" i="70"/>
  <c r="I24" i="8"/>
  <c r="D13" i="7" s="1"/>
  <c r="I18" i="8"/>
  <c r="J54" i="7"/>
  <c r="C63" i="109"/>
  <c r="J23" i="8"/>
  <c r="H14" i="8"/>
  <c r="S35" i="12"/>
  <c r="T35" i="12" s="1"/>
  <c r="T45" i="12" s="1"/>
  <c r="R45" i="12"/>
  <c r="R55" i="12" s="1"/>
  <c r="D25" i="47"/>
  <c r="K59" i="59"/>
  <c r="H65" i="59"/>
  <c r="X10" i="73"/>
  <c r="AH39" i="25"/>
  <c r="J13" i="73"/>
  <c r="H23" i="11"/>
  <c r="J11" i="38"/>
  <c r="D32" i="109"/>
  <c r="E11" i="10"/>
  <c r="H10" i="10"/>
  <c r="I10" i="109"/>
  <c r="I10" i="65" s="1"/>
  <c r="I22" i="65"/>
  <c r="C15" i="109"/>
  <c r="J24" i="7"/>
  <c r="D37" i="7"/>
  <c r="D18" i="109" s="1"/>
  <c r="D18" i="65" s="1"/>
  <c r="J18" i="70" s="1"/>
  <c r="K18" i="70" s="1"/>
  <c r="D19" i="109"/>
  <c r="D19" i="65" s="1"/>
  <c r="J19" i="70" s="1"/>
  <c r="K19" i="70" s="1"/>
  <c r="J17" i="7"/>
  <c r="C16" i="7"/>
  <c r="R15" i="70"/>
  <c r="C11" i="22"/>
  <c r="O12" i="22"/>
  <c r="E20" i="109"/>
  <c r="E20" i="65" s="1"/>
  <c r="P20" i="70" s="1"/>
  <c r="Q20" i="70" s="1"/>
  <c r="E37" i="7"/>
  <c r="E18" i="109" s="1"/>
  <c r="E18" i="65" s="1"/>
  <c r="P18" i="70" s="1"/>
  <c r="Q18" i="70" s="1"/>
  <c r="S52" i="12"/>
  <c r="T52" i="12" s="1"/>
  <c r="T54" i="12" s="1"/>
  <c r="E13" i="13" s="1"/>
  <c r="R54" i="12"/>
  <c r="C24" i="65"/>
  <c r="D24" i="70" s="1"/>
  <c r="E24" i="70" s="1"/>
  <c r="H19" i="8"/>
  <c r="Y14" i="73"/>
  <c r="Z14" i="73"/>
  <c r="X14" i="73"/>
  <c r="C52" i="7"/>
  <c r="C62" i="109"/>
  <c r="J53" i="7"/>
  <c r="J23" i="7"/>
  <c r="G23" i="10"/>
  <c r="J11" i="10"/>
  <c r="F11" i="10"/>
  <c r="I10" i="10"/>
  <c r="J57" i="7"/>
  <c r="C66" i="109"/>
  <c r="D10" i="13"/>
  <c r="C15" i="13"/>
  <c r="G27" i="22"/>
  <c r="O30" i="22"/>
  <c r="J19" i="8"/>
  <c r="P34" i="70"/>
  <c r="Q34" i="70" s="1"/>
  <c r="K35" i="65"/>
  <c r="D33" i="109"/>
  <c r="K30" i="65"/>
  <c r="D29" i="70"/>
  <c r="E29" i="70" s="1"/>
  <c r="E47" i="109"/>
  <c r="E47" i="65" s="1"/>
  <c r="P46" i="70" s="1"/>
  <c r="Q46" i="70" s="1"/>
  <c r="E10" i="47"/>
  <c r="E42" i="109" s="1"/>
  <c r="E42" i="65" s="1"/>
  <c r="P41" i="70" s="1"/>
  <c r="Q41" i="70" s="1"/>
  <c r="J14" i="8"/>
  <c r="D62" i="109"/>
  <c r="D61" i="65" s="1"/>
  <c r="J60" i="70" s="1"/>
  <c r="K60" i="70" s="1"/>
  <c r="D52" i="7"/>
  <c r="D61" i="109" s="1"/>
  <c r="D60" i="65" s="1"/>
  <c r="J59" i="70" s="1"/>
  <c r="K59" i="70" s="1"/>
  <c r="H18" i="8"/>
  <c r="R61" i="70"/>
  <c r="C26" i="65"/>
  <c r="O26" i="109"/>
  <c r="C25" i="65"/>
  <c r="D25" i="70" s="1"/>
  <c r="E25" i="70" s="1"/>
  <c r="I10" i="57"/>
  <c r="E10" i="57"/>
  <c r="I23" i="8"/>
  <c r="H10" i="9"/>
  <c r="C10" i="1"/>
  <c r="J18" i="1"/>
  <c r="C54" i="109"/>
  <c r="J60" i="8"/>
  <c r="E15" i="7" s="1"/>
  <c r="E12" i="7" s="1"/>
  <c r="E52" i="7"/>
  <c r="E61" i="109" s="1"/>
  <c r="E60" i="65" s="1"/>
  <c r="P59" i="70" s="1"/>
  <c r="Q59" i="70" s="1"/>
  <c r="J13" i="7"/>
  <c r="H10" i="16"/>
  <c r="D11" i="16"/>
  <c r="J27" i="38"/>
  <c r="E21" i="38"/>
  <c r="J21" i="38" s="1"/>
  <c r="E22" i="38"/>
  <c r="J22" i="38" s="1"/>
  <c r="H15" i="10"/>
  <c r="E15" i="10" s="1"/>
  <c r="E27" i="10"/>
  <c r="I60" i="8"/>
  <c r="D15" i="7" s="1"/>
  <c r="I10" i="9"/>
  <c r="C20" i="109"/>
  <c r="J42" i="7"/>
  <c r="J39" i="7"/>
  <c r="C38" i="7"/>
  <c r="R60" i="70"/>
  <c r="E13" i="109" l="1"/>
  <c r="E13" i="65" s="1"/>
  <c r="P13" i="70" s="1"/>
  <c r="Q13" i="70" s="1"/>
  <c r="R41" i="70"/>
  <c r="C54" i="65"/>
  <c r="O54" i="109"/>
  <c r="D26" i="70"/>
  <c r="E26" i="70" s="1"/>
  <c r="K26" i="65"/>
  <c r="R46" i="70"/>
  <c r="G10" i="22"/>
  <c r="G22" i="109" s="1"/>
  <c r="G25" i="109"/>
  <c r="O27" i="22"/>
  <c r="F24" i="70"/>
  <c r="L19" i="70"/>
  <c r="H16" i="11"/>
  <c r="J17" i="8"/>
  <c r="C12" i="68"/>
  <c r="D22" i="109"/>
  <c r="D22" i="65" s="1"/>
  <c r="J22" i="70" s="1"/>
  <c r="K22" i="70" s="1"/>
  <c r="R14" i="70"/>
  <c r="L18" i="70"/>
  <c r="K13" i="73"/>
  <c r="J10" i="73"/>
  <c r="K10" i="73" s="1"/>
  <c r="G13" i="13"/>
  <c r="I13" i="13" s="1"/>
  <c r="L24" i="70"/>
  <c r="D15" i="13"/>
  <c r="C15" i="65"/>
  <c r="O15" i="109"/>
  <c r="L15" i="70"/>
  <c r="D10" i="73"/>
  <c r="E10" i="73" s="1"/>
  <c r="E11" i="73"/>
  <c r="L14" i="70"/>
  <c r="F25" i="70"/>
  <c r="J16" i="7"/>
  <c r="C14" i="109"/>
  <c r="E33" i="109"/>
  <c r="E33" i="65" s="1"/>
  <c r="P32" i="70" s="1"/>
  <c r="Q32" i="70" s="1"/>
  <c r="R20" i="70"/>
  <c r="O20" i="109"/>
  <c r="C20" i="65"/>
  <c r="H60" i="8"/>
  <c r="C15" i="7" s="1"/>
  <c r="C65" i="65"/>
  <c r="O66" i="109"/>
  <c r="O63" i="109"/>
  <c r="C62" i="65"/>
  <c r="F10" i="22"/>
  <c r="F22" i="109" s="1"/>
  <c r="F24" i="109"/>
  <c r="F24" i="65" s="1"/>
  <c r="K24" i="65" s="1"/>
  <c r="O16" i="22"/>
  <c r="C10" i="22"/>
  <c r="C23" i="109"/>
  <c r="O11" i="22"/>
  <c r="O62" i="109"/>
  <c r="C61" i="65"/>
  <c r="C61" i="109"/>
  <c r="J52" i="7"/>
  <c r="H17" i="8"/>
  <c r="L59" i="70"/>
  <c r="C19" i="109"/>
  <c r="J38" i="7"/>
  <c r="C37" i="7"/>
  <c r="D33" i="65"/>
  <c r="O33" i="109"/>
  <c r="L60" i="70"/>
  <c r="R34" i="70"/>
  <c r="H59" i="59"/>
  <c r="K10" i="59"/>
  <c r="H10" i="59" s="1"/>
  <c r="I17" i="8"/>
  <c r="H16" i="8"/>
  <c r="C56" i="7" s="1"/>
  <c r="F29" i="70"/>
  <c r="C51" i="109"/>
  <c r="J10" i="1"/>
  <c r="R18" i="70"/>
  <c r="R59" i="70"/>
  <c r="O32" i="109"/>
  <c r="D32" i="65"/>
  <c r="D23" i="47"/>
  <c r="I25" i="47"/>
  <c r="D12" i="7"/>
  <c r="C21" i="65"/>
  <c r="O21" i="109"/>
  <c r="J10" i="10"/>
  <c r="G11" i="10"/>
  <c r="E11" i="13"/>
  <c r="E15" i="13" s="1"/>
  <c r="T55" i="12"/>
  <c r="C65" i="109" l="1"/>
  <c r="J56" i="7"/>
  <c r="D61" i="70"/>
  <c r="E61" i="70" s="1"/>
  <c r="K62" i="65"/>
  <c r="D47" i="109"/>
  <c r="I23" i="47"/>
  <c r="D10" i="47"/>
  <c r="J37" i="7"/>
  <c r="C18" i="109"/>
  <c r="O61" i="109"/>
  <c r="C60" i="65"/>
  <c r="K61" i="65"/>
  <c r="D60" i="70"/>
  <c r="E60" i="70" s="1"/>
  <c r="K15" i="65"/>
  <c r="D15" i="70"/>
  <c r="E15" i="70" s="1"/>
  <c r="F26" i="70"/>
  <c r="O19" i="109"/>
  <c r="C19" i="65"/>
  <c r="K65" i="65"/>
  <c r="D64" i="70"/>
  <c r="C64" i="70" s="1"/>
  <c r="E64" i="70" s="1"/>
  <c r="L22" i="70"/>
  <c r="D13" i="109"/>
  <c r="D13" i="65" s="1"/>
  <c r="J13" i="70" s="1"/>
  <c r="K13" i="70" s="1"/>
  <c r="D53" i="70"/>
  <c r="E53" i="70" s="1"/>
  <c r="K54" i="65"/>
  <c r="O23" i="109"/>
  <c r="C23" i="65"/>
  <c r="F10" i="109"/>
  <c r="F10" i="65" s="1"/>
  <c r="F22" i="65"/>
  <c r="K33" i="65"/>
  <c r="J32" i="70"/>
  <c r="K32" i="70" s="1"/>
  <c r="O14" i="109"/>
  <c r="C14" i="65"/>
  <c r="C51" i="65"/>
  <c r="O51" i="109"/>
  <c r="K20" i="65"/>
  <c r="D20" i="70"/>
  <c r="E20" i="70" s="1"/>
  <c r="K21" i="65"/>
  <c r="D21" i="70"/>
  <c r="E21" i="70" s="1"/>
  <c r="L13" i="73"/>
  <c r="J31" i="70"/>
  <c r="K31" i="70" s="1"/>
  <c r="K32" i="65"/>
  <c r="J15" i="7"/>
  <c r="C12" i="7"/>
  <c r="O24" i="109"/>
  <c r="O10" i="22"/>
  <c r="C22" i="109"/>
  <c r="F11" i="73"/>
  <c r="G11" i="73"/>
  <c r="H11" i="73"/>
  <c r="F10" i="73"/>
  <c r="G25" i="65"/>
  <c r="K25" i="65" s="1"/>
  <c r="O25" i="109"/>
  <c r="R13" i="70"/>
  <c r="G10" i="109"/>
  <c r="G10" i="65" s="1"/>
  <c r="G22" i="65"/>
  <c r="R32" i="70"/>
  <c r="L10" i="73"/>
  <c r="L31" i="70" l="1"/>
  <c r="L32" i="70"/>
  <c r="D59" i="70"/>
  <c r="E59" i="70" s="1"/>
  <c r="K60" i="65"/>
  <c r="F64" i="70"/>
  <c r="H64" i="70"/>
  <c r="G64" i="70"/>
  <c r="O18" i="109"/>
  <c r="C18" i="65"/>
  <c r="D19" i="70"/>
  <c r="E19" i="70" s="1"/>
  <c r="K19" i="65"/>
  <c r="D23" i="70"/>
  <c r="E23" i="70" s="1"/>
  <c r="K23" i="65"/>
  <c r="C14" i="68"/>
  <c r="D42" i="109"/>
  <c r="I10" i="47"/>
  <c r="D47" i="65"/>
  <c r="O47" i="109"/>
  <c r="F53" i="70"/>
  <c r="F15" i="70"/>
  <c r="F61" i="70"/>
  <c r="F20" i="70"/>
  <c r="C13" i="109"/>
  <c r="J12" i="7"/>
  <c r="K51" i="65"/>
  <c r="D50" i="70"/>
  <c r="E50" i="70" s="1"/>
  <c r="F21" i="70"/>
  <c r="H21" i="70"/>
  <c r="G21" i="70"/>
  <c r="O22" i="109"/>
  <c r="C22" i="65"/>
  <c r="L13" i="70"/>
  <c r="D14" i="70"/>
  <c r="E14" i="70" s="1"/>
  <c r="K14" i="65"/>
  <c r="F60" i="70"/>
  <c r="C64" i="65"/>
  <c r="O65" i="109"/>
  <c r="J46" i="70" l="1"/>
  <c r="K46" i="70" s="1"/>
  <c r="K47" i="65"/>
  <c r="O13" i="109"/>
  <c r="C13" i="65"/>
  <c r="F59" i="70"/>
  <c r="D22" i="70"/>
  <c r="E22" i="70" s="1"/>
  <c r="K22" i="65"/>
  <c r="D63" i="70"/>
  <c r="E63" i="70" s="1"/>
  <c r="K64" i="65"/>
  <c r="D42" i="65"/>
  <c r="O42" i="109"/>
  <c r="F23" i="70"/>
  <c r="F14" i="70"/>
  <c r="F50" i="70"/>
  <c r="F19" i="70"/>
  <c r="K18" i="65"/>
  <c r="D18" i="70"/>
  <c r="E18" i="70" s="1"/>
  <c r="F22" i="70" l="1"/>
  <c r="F63" i="70"/>
  <c r="D13" i="70"/>
  <c r="E13" i="70" s="1"/>
  <c r="K13" i="65"/>
  <c r="J41" i="70"/>
  <c r="K41" i="70" s="1"/>
  <c r="K42" i="65"/>
  <c r="F18" i="70"/>
  <c r="L46" i="70"/>
  <c r="G16" i="45"/>
  <c r="G17" i="45"/>
  <c r="H12" i="45"/>
  <c r="G12" i="45"/>
  <c r="G19" i="45"/>
  <c r="H29" i="45"/>
  <c r="G13" i="45"/>
  <c r="H26" i="45"/>
  <c r="H19" i="45"/>
  <c r="H17" i="45"/>
  <c r="H18" i="45"/>
  <c r="H16" i="45"/>
  <c r="G18" i="45"/>
  <c r="G26" i="45"/>
  <c r="G29" i="45"/>
  <c r="H13" i="45"/>
  <c r="J21" i="45" l="1"/>
  <c r="H22" i="45"/>
  <c r="I27" i="45"/>
  <c r="G27" i="45" s="1"/>
  <c r="G28" i="45"/>
  <c r="J27" i="45"/>
  <c r="H27" i="45" s="1"/>
  <c r="H28" i="45"/>
  <c r="I14" i="45"/>
  <c r="G14" i="45" s="1"/>
  <c r="G15" i="45"/>
  <c r="J14" i="45"/>
  <c r="H14" i="45" s="1"/>
  <c r="H15" i="45"/>
  <c r="L41" i="70"/>
  <c r="F13" i="70"/>
  <c r="I21" i="45"/>
  <c r="G22" i="45"/>
  <c r="G10" i="42"/>
  <c r="D32" i="38"/>
  <c r="F11" i="42"/>
  <c r="J10" i="45"/>
  <c r="H11" i="45"/>
  <c r="I10" i="45"/>
  <c r="G11" i="45"/>
  <c r="C41" i="11"/>
  <c r="E84" i="8" l="1"/>
  <c r="F84" i="8"/>
  <c r="G84" i="8"/>
  <c r="G56" i="8"/>
  <c r="E56" i="8"/>
  <c r="F56" i="8"/>
  <c r="G10" i="45"/>
  <c r="C25" i="8"/>
  <c r="C32" i="8"/>
  <c r="G33" i="8"/>
  <c r="E33" i="8"/>
  <c r="F33" i="8"/>
  <c r="C27" i="8"/>
  <c r="E35" i="8"/>
  <c r="G35" i="8"/>
  <c r="F35" i="8"/>
  <c r="H10" i="45"/>
  <c r="F83" i="8"/>
  <c r="E83" i="8"/>
  <c r="G83" i="8"/>
  <c r="C53" i="8"/>
  <c r="E54" i="8"/>
  <c r="G54" i="8"/>
  <c r="F54" i="8"/>
  <c r="D34" i="109"/>
  <c r="J32" i="38"/>
  <c r="C21" i="8"/>
  <c r="F57" i="8"/>
  <c r="G57" i="8"/>
  <c r="E57" i="8"/>
  <c r="C68" i="8"/>
  <c r="C61" i="8"/>
  <c r="G69" i="8"/>
  <c r="E69" i="8"/>
  <c r="F69" i="8"/>
  <c r="C66" i="8"/>
  <c r="G88" i="8"/>
  <c r="F88" i="8"/>
  <c r="E88" i="8"/>
  <c r="C75" i="8"/>
  <c r="G76" i="8"/>
  <c r="F76" i="8"/>
  <c r="E76" i="8"/>
  <c r="C62" i="8"/>
  <c r="F70" i="8"/>
  <c r="G70" i="8"/>
  <c r="E70" i="8"/>
  <c r="C30" i="8"/>
  <c r="E38" i="8"/>
  <c r="F38" i="8"/>
  <c r="G38" i="8"/>
  <c r="I20" i="45"/>
  <c r="G20" i="45" s="1"/>
  <c r="G21" i="45"/>
  <c r="F77" i="8"/>
  <c r="E77" i="8"/>
  <c r="G77" i="8"/>
  <c r="G71" i="8"/>
  <c r="F71" i="8"/>
  <c r="E71" i="8"/>
  <c r="C26" i="8"/>
  <c r="F34" i="8"/>
  <c r="G34" i="8"/>
  <c r="E34" i="8"/>
  <c r="J20" i="45"/>
  <c r="H20" i="45" s="1"/>
  <c r="H21" i="45"/>
  <c r="C19" i="11"/>
  <c r="C12" i="11" s="1"/>
  <c r="C20" i="11"/>
  <c r="C62" i="11"/>
  <c r="C40" i="11"/>
  <c r="G58" i="11"/>
  <c r="F58" i="11"/>
  <c r="C60" i="11" l="1"/>
  <c r="C59" i="11" s="1"/>
  <c r="C66" i="11"/>
  <c r="F62" i="8"/>
  <c r="E62" i="8"/>
  <c r="G62" i="8"/>
  <c r="F61" i="8"/>
  <c r="E61" i="8"/>
  <c r="G61" i="8"/>
  <c r="I25" i="11"/>
  <c r="F26" i="11"/>
  <c r="I18" i="11"/>
  <c r="I23" i="11"/>
  <c r="F31" i="11"/>
  <c r="C44" i="11"/>
  <c r="E44" i="11" s="1"/>
  <c r="E52" i="11"/>
  <c r="I109" i="11"/>
  <c r="I108" i="11" s="1"/>
  <c r="D36" i="7" s="1"/>
  <c r="D34" i="7" s="1"/>
  <c r="D17" i="109" s="1"/>
  <c r="D17" i="65" s="1"/>
  <c r="J17" i="70" s="1"/>
  <c r="K17" i="70" s="1"/>
  <c r="F110" i="11"/>
  <c r="I94" i="11"/>
  <c r="H62" i="11"/>
  <c r="E62" i="11" s="1"/>
  <c r="E69" i="11"/>
  <c r="E28" i="11"/>
  <c r="H20" i="11"/>
  <c r="H40" i="11"/>
  <c r="E40" i="11" s="1"/>
  <c r="E48" i="11"/>
  <c r="C18" i="11"/>
  <c r="C25" i="11"/>
  <c r="F85" i="8"/>
  <c r="G85" i="8"/>
  <c r="E85" i="8"/>
  <c r="E67" i="11"/>
  <c r="H60" i="11"/>
  <c r="H66" i="11"/>
  <c r="J25" i="11"/>
  <c r="G26" i="11"/>
  <c r="J18" i="11"/>
  <c r="G48" i="11"/>
  <c r="J40" i="11"/>
  <c r="G40" i="11" s="1"/>
  <c r="G69" i="11"/>
  <c r="J62" i="11"/>
  <c r="G62" i="11" s="1"/>
  <c r="C24" i="8"/>
  <c r="C18" i="8"/>
  <c r="E25" i="8"/>
  <c r="G25" i="8"/>
  <c r="F25" i="8"/>
  <c r="I99" i="11"/>
  <c r="F99" i="11" s="1"/>
  <c r="F114" i="11"/>
  <c r="C82" i="8"/>
  <c r="F27" i="11"/>
  <c r="I19" i="11"/>
  <c r="I44" i="11"/>
  <c r="F44" i="11" s="1"/>
  <c r="F52" i="11"/>
  <c r="H41" i="11"/>
  <c r="E41" i="11" s="1"/>
  <c r="E49" i="11"/>
  <c r="H19" i="11"/>
  <c r="E27" i="11"/>
  <c r="G31" i="11"/>
  <c r="J23" i="11"/>
  <c r="C23" i="11"/>
  <c r="E31" i="11"/>
  <c r="C14" i="8"/>
  <c r="G21" i="8"/>
  <c r="F21" i="8"/>
  <c r="E21" i="8"/>
  <c r="D44" i="38"/>
  <c r="G67" i="11"/>
  <c r="J60" i="11"/>
  <c r="J66" i="11"/>
  <c r="F48" i="11"/>
  <c r="I40" i="11"/>
  <c r="F40" i="11" s="1"/>
  <c r="H53" i="11"/>
  <c r="E54" i="11"/>
  <c r="F67" i="11"/>
  <c r="I60" i="11"/>
  <c r="I66" i="11"/>
  <c r="C19" i="8"/>
  <c r="F26" i="8"/>
  <c r="G26" i="8"/>
  <c r="E26" i="8"/>
  <c r="E44" i="38"/>
  <c r="F49" i="11"/>
  <c r="I41" i="11"/>
  <c r="F41" i="11" s="1"/>
  <c r="J19" i="11"/>
  <c r="G27" i="11"/>
  <c r="G28" i="11"/>
  <c r="J20" i="11"/>
  <c r="I20" i="11"/>
  <c r="F28" i="11"/>
  <c r="C13" i="11"/>
  <c r="C23" i="8"/>
  <c r="E30" i="8"/>
  <c r="F30" i="8"/>
  <c r="G30" i="8"/>
  <c r="G66" i="8"/>
  <c r="E66" i="8"/>
  <c r="F66" i="8"/>
  <c r="O34" i="109"/>
  <c r="D34" i="65"/>
  <c r="F69" i="11"/>
  <c r="I62" i="11"/>
  <c r="F62" i="11" s="1"/>
  <c r="J41" i="11"/>
  <c r="G41" i="11" s="1"/>
  <c r="G49" i="11"/>
  <c r="J94" i="11"/>
  <c r="G110" i="11"/>
  <c r="J109" i="11"/>
  <c r="J108" i="11" s="1"/>
  <c r="E36" i="7" s="1"/>
  <c r="E34" i="7" s="1"/>
  <c r="E17" i="109" s="1"/>
  <c r="E17" i="65" s="1"/>
  <c r="P17" i="70" s="1"/>
  <c r="Q17" i="70" s="1"/>
  <c r="J39" i="11"/>
  <c r="G47" i="11"/>
  <c r="J46" i="11"/>
  <c r="E26" i="11"/>
  <c r="H18" i="11"/>
  <c r="H25" i="11"/>
  <c r="J99" i="11"/>
  <c r="G99" i="11" s="1"/>
  <c r="G114" i="11"/>
  <c r="C46" i="11"/>
  <c r="C39" i="11"/>
  <c r="C38" i="11" s="1"/>
  <c r="C63" i="8"/>
  <c r="C20" i="8"/>
  <c r="G27" i="8"/>
  <c r="E27" i="8"/>
  <c r="F27" i="8"/>
  <c r="H46" i="11"/>
  <c r="E47" i="11"/>
  <c r="H39" i="11"/>
  <c r="H94" i="11"/>
  <c r="H109" i="11"/>
  <c r="H108" i="11" s="1"/>
  <c r="C36" i="7" s="1"/>
  <c r="E110" i="11"/>
  <c r="I53" i="11"/>
  <c r="F54" i="11"/>
  <c r="F47" i="11"/>
  <c r="I39" i="11"/>
  <c r="I46" i="11"/>
  <c r="J44" i="11"/>
  <c r="G44" i="11" s="1"/>
  <c r="G52" i="11"/>
  <c r="G54" i="11"/>
  <c r="J53" i="11"/>
  <c r="E78" i="8"/>
  <c r="F78" i="8"/>
  <c r="G78" i="8"/>
  <c r="H20" i="47"/>
  <c r="M46" i="109" s="1"/>
  <c r="F20" i="47"/>
  <c r="K46" i="109" s="1"/>
  <c r="G20" i="47"/>
  <c r="L46" i="109" s="1"/>
  <c r="H14" i="47"/>
  <c r="M44" i="109" s="1"/>
  <c r="M16" i="22"/>
  <c r="F16" i="7"/>
  <c r="K14" i="109" s="1"/>
  <c r="F14" i="47"/>
  <c r="K44" i="109" s="1"/>
  <c r="F34" i="7"/>
  <c r="K17" i="109" s="1"/>
  <c r="G34" i="7"/>
  <c r="L17" i="109" s="1"/>
  <c r="G12" i="7"/>
  <c r="H23" i="47"/>
  <c r="M47" i="109" s="1"/>
  <c r="H42" i="7"/>
  <c r="F12" i="7"/>
  <c r="H11" i="1"/>
  <c r="H11" i="47"/>
  <c r="F42" i="7"/>
  <c r="F23" i="47"/>
  <c r="K47" i="109" s="1"/>
  <c r="G14" i="47"/>
  <c r="L44" i="109" s="1"/>
  <c r="I30" i="7"/>
  <c r="N16" i="109" s="1"/>
  <c r="I34" i="7"/>
  <c r="N17" i="109" s="1"/>
  <c r="I12" i="7"/>
  <c r="G23" i="47"/>
  <c r="L47" i="109" s="1"/>
  <c r="M57" i="22"/>
  <c r="M30" i="109" s="1"/>
  <c r="L27" i="22"/>
  <c r="H30" i="7"/>
  <c r="M16" i="109" s="1"/>
  <c r="H34" i="7"/>
  <c r="M17" i="109" s="1"/>
  <c r="L10" i="22" l="1"/>
  <c r="L25" i="109"/>
  <c r="G18" i="11"/>
  <c r="J17" i="11"/>
  <c r="E31" i="7" s="1"/>
  <c r="J11" i="11"/>
  <c r="I11" i="11"/>
  <c r="I17" i="11"/>
  <c r="D31" i="7" s="1"/>
  <c r="F18" i="11"/>
  <c r="G11" i="47"/>
  <c r="J12" i="11"/>
  <c r="G19" i="11"/>
  <c r="C16" i="11"/>
  <c r="E16" i="11" s="1"/>
  <c r="E23" i="11"/>
  <c r="E20" i="11"/>
  <c r="H13" i="11"/>
  <c r="M37" i="109"/>
  <c r="H10" i="38"/>
  <c r="I24" i="7"/>
  <c r="N15" i="109" s="1"/>
  <c r="G30" i="7"/>
  <c r="L16" i="109" s="1"/>
  <c r="F24" i="7"/>
  <c r="K15" i="109" s="1"/>
  <c r="H16" i="7"/>
  <c r="M14" i="109" s="1"/>
  <c r="H17" i="47"/>
  <c r="M45" i="109" s="1"/>
  <c r="F11" i="47"/>
  <c r="I38" i="11"/>
  <c r="D32" i="7" s="1"/>
  <c r="F39" i="11"/>
  <c r="G39" i="11"/>
  <c r="J38" i="11"/>
  <c r="E32" i="7" s="1"/>
  <c r="G23" i="11"/>
  <c r="J16" i="11"/>
  <c r="I16" i="7"/>
  <c r="N14" i="109" s="1"/>
  <c r="E20" i="8"/>
  <c r="G20" i="8"/>
  <c r="F20" i="8"/>
  <c r="R17" i="70"/>
  <c r="G63" i="8"/>
  <c r="F63" i="8"/>
  <c r="E63" i="8"/>
  <c r="E37" i="109"/>
  <c r="E37" i="65" s="1"/>
  <c r="P36" i="70" s="1"/>
  <c r="Q36" i="70" s="1"/>
  <c r="E10" i="38"/>
  <c r="E31" i="109" s="1"/>
  <c r="E31" i="65" s="1"/>
  <c r="P30" i="70" s="1"/>
  <c r="Q30" i="70" s="1"/>
  <c r="E60" i="11"/>
  <c r="H59" i="11"/>
  <c r="C33" i="7" s="1"/>
  <c r="H12" i="7"/>
  <c r="K27" i="22"/>
  <c r="G16" i="7"/>
  <c r="L14" i="109" s="1"/>
  <c r="G94" i="11"/>
  <c r="J93" i="11"/>
  <c r="J59" i="11"/>
  <c r="E33" i="7" s="1"/>
  <c r="G60" i="11"/>
  <c r="H12" i="11"/>
  <c r="E19" i="11"/>
  <c r="I93" i="11"/>
  <c r="F94" i="11"/>
  <c r="F37" i="7"/>
  <c r="K18" i="109" s="1"/>
  <c r="K20" i="109"/>
  <c r="L13" i="109"/>
  <c r="G11" i="7"/>
  <c r="M43" i="109"/>
  <c r="H10" i="47"/>
  <c r="H21" i="1"/>
  <c r="M55" i="109" s="1"/>
  <c r="M52" i="109"/>
  <c r="H10" i="1"/>
  <c r="G24" i="7"/>
  <c r="L15" i="109" s="1"/>
  <c r="M24" i="109"/>
  <c r="E23" i="8"/>
  <c r="F23" i="8"/>
  <c r="G23" i="8"/>
  <c r="C17" i="8"/>
  <c r="G18" i="8"/>
  <c r="F18" i="8"/>
  <c r="E18" i="8"/>
  <c r="C60" i="8"/>
  <c r="I11" i="7"/>
  <c r="N13" i="109"/>
  <c r="K13" i="109"/>
  <c r="N27" i="22"/>
  <c r="L17" i="70"/>
  <c r="G10" i="38"/>
  <c r="L37" i="109"/>
  <c r="C34" i="7"/>
  <c r="J36" i="7"/>
  <c r="D37" i="109"/>
  <c r="J44" i="38"/>
  <c r="D10" i="38"/>
  <c r="H24" i="7"/>
  <c r="M15" i="109" s="1"/>
  <c r="E94" i="11"/>
  <c r="H93" i="11"/>
  <c r="F19" i="8"/>
  <c r="E19" i="8"/>
  <c r="G19" i="8"/>
  <c r="F30" i="7"/>
  <c r="K16" i="109" s="1"/>
  <c r="M35" i="22"/>
  <c r="M26" i="109" s="1"/>
  <c r="E39" i="11"/>
  <c r="H38" i="11"/>
  <c r="C32" i="7" s="1"/>
  <c r="J32" i="7" s="1"/>
  <c r="I13" i="11"/>
  <c r="F20" i="11"/>
  <c r="F17" i="47"/>
  <c r="K45" i="109" s="1"/>
  <c r="G17" i="47"/>
  <c r="L45" i="109" s="1"/>
  <c r="M27" i="22"/>
  <c r="M25" i="109" s="1"/>
  <c r="G42" i="7"/>
  <c r="H11" i="11"/>
  <c r="E18" i="11"/>
  <c r="H17" i="11"/>
  <c r="C31" i="7" s="1"/>
  <c r="J33" i="70"/>
  <c r="K33" i="70" s="1"/>
  <c r="K34" i="65"/>
  <c r="G20" i="11"/>
  <c r="J13" i="11"/>
  <c r="F60" i="11"/>
  <c r="I59" i="11"/>
  <c r="D33" i="7" s="1"/>
  <c r="F19" i="11"/>
  <c r="I12" i="11"/>
  <c r="C11" i="11"/>
  <c r="C10" i="11" s="1"/>
  <c r="C17" i="11"/>
  <c r="H37" i="7"/>
  <c r="M18" i="109" s="1"/>
  <c r="M20" i="109"/>
  <c r="K37" i="109"/>
  <c r="F10" i="38"/>
  <c r="F13" i="13"/>
  <c r="H13" i="13" s="1"/>
  <c r="G14" i="8"/>
  <c r="E14" i="8"/>
  <c r="F14" i="8"/>
  <c r="F23" i="11"/>
  <c r="I16" i="11"/>
  <c r="C119" i="9" l="1"/>
  <c r="C118" i="9" s="1"/>
  <c r="F120" i="9"/>
  <c r="E120" i="9"/>
  <c r="G120" i="9"/>
  <c r="D31" i="109"/>
  <c r="C13" i="68"/>
  <c r="J10" i="38"/>
  <c r="C102" i="9"/>
  <c r="F103" i="9"/>
  <c r="E103" i="9"/>
  <c r="G103" i="9"/>
  <c r="E83" i="9"/>
  <c r="G83" i="9"/>
  <c r="F83" i="9"/>
  <c r="E40" i="9"/>
  <c r="G40" i="9"/>
  <c r="F40" i="9"/>
  <c r="G121" i="9"/>
  <c r="F121" i="9"/>
  <c r="E121" i="9"/>
  <c r="L20" i="109"/>
  <c r="G37" i="7"/>
  <c r="L18" i="109" s="1"/>
  <c r="E14" i="68"/>
  <c r="M42" i="109"/>
  <c r="G98" i="9"/>
  <c r="F98" i="9"/>
  <c r="E98" i="9"/>
  <c r="C52" i="9"/>
  <c r="G53" i="9"/>
  <c r="F53" i="9"/>
  <c r="E53" i="9"/>
  <c r="F16" i="11"/>
  <c r="I16" i="8"/>
  <c r="F12" i="11"/>
  <c r="I12" i="8"/>
  <c r="K43" i="109"/>
  <c r="F10" i="47"/>
  <c r="E27" i="9"/>
  <c r="G27" i="9"/>
  <c r="F27" i="9"/>
  <c r="C13" i="9"/>
  <c r="G20" i="9"/>
  <c r="E20" i="9"/>
  <c r="F20" i="9"/>
  <c r="G48" i="9"/>
  <c r="E48" i="9"/>
  <c r="F48" i="9"/>
  <c r="G41" i="9"/>
  <c r="E41" i="9"/>
  <c r="F41" i="9"/>
  <c r="L12" i="109"/>
  <c r="G12" i="11"/>
  <c r="J12" i="8"/>
  <c r="C24" i="9"/>
  <c r="G25" i="9"/>
  <c r="E25" i="9"/>
  <c r="F25" i="9"/>
  <c r="C81" i="9"/>
  <c r="G82" i="9"/>
  <c r="F82" i="9"/>
  <c r="E82" i="9"/>
  <c r="N10" i="22"/>
  <c r="N22" i="109" s="1"/>
  <c r="N25" i="109"/>
  <c r="K25" i="109"/>
  <c r="K10" i="22"/>
  <c r="L43" i="109"/>
  <c r="G10" i="47"/>
  <c r="E84" i="9"/>
  <c r="G84" i="9"/>
  <c r="F84" i="9"/>
  <c r="C31" i="9"/>
  <c r="G32" i="9"/>
  <c r="E32" i="9"/>
  <c r="F32" i="9"/>
  <c r="F11" i="7"/>
  <c r="M13" i="109"/>
  <c r="H11" i="7"/>
  <c r="J33" i="7"/>
  <c r="D30" i="7"/>
  <c r="F44" i="9"/>
  <c r="G44" i="9"/>
  <c r="E44" i="9"/>
  <c r="F13" i="11"/>
  <c r="I13" i="8"/>
  <c r="G34" i="9"/>
  <c r="F34" i="9"/>
  <c r="E34" i="9"/>
  <c r="M10" i="22"/>
  <c r="I10" i="11"/>
  <c r="F11" i="11"/>
  <c r="I11" i="8"/>
  <c r="G87" i="9"/>
  <c r="F87" i="9"/>
  <c r="E87" i="9"/>
  <c r="C62" i="9"/>
  <c r="G70" i="9"/>
  <c r="E70" i="9"/>
  <c r="F70" i="9"/>
  <c r="G47" i="9"/>
  <c r="E47" i="9"/>
  <c r="F47" i="9"/>
  <c r="E55" i="9"/>
  <c r="G55" i="9"/>
  <c r="F55" i="9"/>
  <c r="G101" i="9"/>
  <c r="F101" i="9"/>
  <c r="E101" i="9"/>
  <c r="E26" i="9"/>
  <c r="F26" i="9"/>
  <c r="G26" i="9"/>
  <c r="G51" i="9"/>
  <c r="F51" i="9"/>
  <c r="E51" i="9"/>
  <c r="K31" i="109"/>
  <c r="F13" i="68"/>
  <c r="O37" i="109"/>
  <c r="D37" i="65"/>
  <c r="N12" i="109"/>
  <c r="I10" i="7"/>
  <c r="N11" i="109" s="1"/>
  <c r="R30" i="70"/>
  <c r="G16" i="11"/>
  <c r="J16" i="8"/>
  <c r="M31" i="109"/>
  <c r="E13" i="68"/>
  <c r="G11" i="11"/>
  <c r="J10" i="11"/>
  <c r="J11" i="8"/>
  <c r="R36" i="70"/>
  <c r="E30" i="7"/>
  <c r="F125" i="9"/>
  <c r="G125" i="9"/>
  <c r="E125" i="9"/>
  <c r="C65" i="9"/>
  <c r="F73" i="9"/>
  <c r="G73" i="9"/>
  <c r="E73" i="9"/>
  <c r="F104" i="9"/>
  <c r="G104" i="9"/>
  <c r="E104" i="9"/>
  <c r="C60" i="9"/>
  <c r="C67" i="9"/>
  <c r="G68" i="9"/>
  <c r="F68" i="9"/>
  <c r="E68" i="9"/>
  <c r="C16" i="9"/>
  <c r="G23" i="9"/>
  <c r="E23" i="9"/>
  <c r="F23" i="9"/>
  <c r="G58" i="9"/>
  <c r="F58" i="9"/>
  <c r="E58" i="9"/>
  <c r="C30" i="7"/>
  <c r="J31" i="7"/>
  <c r="C17" i="109"/>
  <c r="J34" i="7"/>
  <c r="E15" i="68"/>
  <c r="M51" i="109"/>
  <c r="E12" i="11"/>
  <c r="H12" i="8"/>
  <c r="E13" i="11"/>
  <c r="H13" i="8"/>
  <c r="E122" i="9"/>
  <c r="G122" i="9"/>
  <c r="F122" i="9"/>
  <c r="L33" i="70"/>
  <c r="G33" i="9"/>
  <c r="E33" i="9"/>
  <c r="F33" i="9"/>
  <c r="G54" i="9"/>
  <c r="F54" i="9"/>
  <c r="E54" i="9"/>
  <c r="C61" i="9"/>
  <c r="F69" i="9"/>
  <c r="G69" i="9"/>
  <c r="E69" i="9"/>
  <c r="C38" i="9"/>
  <c r="G39" i="9"/>
  <c r="E39" i="9"/>
  <c r="F39" i="9"/>
  <c r="C12" i="9"/>
  <c r="F19" i="9"/>
  <c r="G19" i="9"/>
  <c r="E19" i="9"/>
  <c r="G13" i="11"/>
  <c r="J13" i="8"/>
  <c r="G105" i="9"/>
  <c r="E105" i="9"/>
  <c r="F105" i="9"/>
  <c r="G30" i="9"/>
  <c r="F30" i="9"/>
  <c r="E30" i="9"/>
  <c r="C95" i="9"/>
  <c r="F96" i="9"/>
  <c r="E96" i="9"/>
  <c r="G96" i="9"/>
  <c r="C17" i="9"/>
  <c r="C11" i="9"/>
  <c r="G18" i="9"/>
  <c r="E18" i="9"/>
  <c r="F18" i="9"/>
  <c r="C45" i="9"/>
  <c r="G46" i="9"/>
  <c r="E46" i="9"/>
  <c r="F46" i="9"/>
  <c r="F37" i="9"/>
  <c r="G37" i="9"/>
  <c r="E37" i="9"/>
  <c r="H10" i="11"/>
  <c r="E11" i="11"/>
  <c r="H11" i="8"/>
  <c r="L31" i="109"/>
  <c r="D13" i="68"/>
  <c r="L22" i="109"/>
  <c r="D12" i="68"/>
  <c r="H10" i="8" l="1"/>
  <c r="G10" i="13"/>
  <c r="C10" i="9"/>
  <c r="G11" i="9"/>
  <c r="F11" i="9"/>
  <c r="E11" i="9"/>
  <c r="C11" i="8"/>
  <c r="G62" i="9"/>
  <c r="F62" i="9"/>
  <c r="E62" i="9"/>
  <c r="G11" i="13"/>
  <c r="I11" i="13" s="1"/>
  <c r="C16" i="109"/>
  <c r="J30" i="7"/>
  <c r="C11" i="7"/>
  <c r="N10" i="109"/>
  <c r="F61" i="9"/>
  <c r="G61" i="9"/>
  <c r="E61" i="9"/>
  <c r="G12" i="13"/>
  <c r="I12" i="13" s="1"/>
  <c r="J10" i="8"/>
  <c r="J36" i="70"/>
  <c r="K36" i="70" s="1"/>
  <c r="K37" i="65"/>
  <c r="F16" i="8"/>
  <c r="I10" i="8"/>
  <c r="F11" i="8"/>
  <c r="D16" i="109"/>
  <c r="D16" i="65" s="1"/>
  <c r="J16" i="70" s="1"/>
  <c r="K16" i="70" s="1"/>
  <c r="D11" i="7"/>
  <c r="L42" i="109"/>
  <c r="D14" i="68"/>
  <c r="E16" i="9"/>
  <c r="G16" i="9"/>
  <c r="F16" i="9"/>
  <c r="C16" i="8"/>
  <c r="E16" i="8" s="1"/>
  <c r="G65" i="9"/>
  <c r="F65" i="9"/>
  <c r="E65" i="9"/>
  <c r="M12" i="109"/>
  <c r="H10" i="7"/>
  <c r="K22" i="109"/>
  <c r="F12" i="68"/>
  <c r="C13" i="8"/>
  <c r="F12" i="13" s="1"/>
  <c r="H12" i="13" s="1"/>
  <c r="G13" i="9"/>
  <c r="E13" i="9"/>
  <c r="F13" i="9"/>
  <c r="D31" i="65"/>
  <c r="O31" i="109"/>
  <c r="F12" i="9"/>
  <c r="G12" i="9"/>
  <c r="E12" i="9"/>
  <c r="C12" i="8"/>
  <c r="F11" i="13" s="1"/>
  <c r="H11" i="13" s="1"/>
  <c r="G16" i="8"/>
  <c r="M22" i="109"/>
  <c r="E12" i="68"/>
  <c r="K12" i="109"/>
  <c r="F10" i="7"/>
  <c r="G10" i="7"/>
  <c r="C17" i="65"/>
  <c r="O17" i="109"/>
  <c r="E16" i="109"/>
  <c r="E16" i="65" s="1"/>
  <c r="P16" i="70" s="1"/>
  <c r="Q16" i="70" s="1"/>
  <c r="E11" i="7"/>
  <c r="C59" i="9"/>
  <c r="G60" i="9"/>
  <c r="F60" i="9"/>
  <c r="E60" i="9"/>
  <c r="K42" i="109"/>
  <c r="F14" i="68"/>
  <c r="E13" i="8" l="1"/>
  <c r="G12" i="8"/>
  <c r="F12" i="8"/>
  <c r="D12" i="109"/>
  <c r="D12" i="65" s="1"/>
  <c r="J12" i="70" s="1"/>
  <c r="K12" i="70" s="1"/>
  <c r="D10" i="7"/>
  <c r="G11" i="8"/>
  <c r="C10" i="8"/>
  <c r="F10" i="13"/>
  <c r="L16" i="70"/>
  <c r="R16" i="70"/>
  <c r="G13" i="8"/>
  <c r="C12" i="109"/>
  <c r="J11" i="7"/>
  <c r="C10" i="7"/>
  <c r="M11" i="109"/>
  <c r="M10" i="109" s="1"/>
  <c r="E11" i="68"/>
  <c r="E10" i="68" s="1"/>
  <c r="E12" i="109"/>
  <c r="E12" i="65" s="1"/>
  <c r="P12" i="70" s="1"/>
  <c r="Q12" i="70" s="1"/>
  <c r="E10" i="7"/>
  <c r="E11" i="109" s="1"/>
  <c r="J30" i="70"/>
  <c r="K30" i="70" s="1"/>
  <c r="K31" i="65"/>
  <c r="E11" i="8"/>
  <c r="F13" i="8"/>
  <c r="K17" i="65"/>
  <c r="D17" i="70"/>
  <c r="E17" i="70" s="1"/>
  <c r="L11" i="109"/>
  <c r="L10" i="109" s="1"/>
  <c r="D11" i="68"/>
  <c r="D10" i="68" s="1"/>
  <c r="O16" i="109"/>
  <c r="C16" i="65"/>
  <c r="G15" i="13"/>
  <c r="I15" i="13" s="1"/>
  <c r="I10" i="13"/>
  <c r="L36" i="70"/>
  <c r="K11" i="109"/>
  <c r="K10" i="109" s="1"/>
  <c r="F11" i="68"/>
  <c r="F10" i="68" s="1"/>
  <c r="E12" i="8"/>
  <c r="L30" i="70" l="1"/>
  <c r="E11" i="65"/>
  <c r="P11" i="70" s="1"/>
  <c r="E10" i="109"/>
  <c r="E10" i="65" s="1"/>
  <c r="R12" i="70"/>
  <c r="F15" i="13"/>
  <c r="H15" i="13" s="1"/>
  <c r="H10" i="13"/>
  <c r="D16" i="70"/>
  <c r="E16" i="70" s="1"/>
  <c r="K16" i="65"/>
  <c r="J10" i="7"/>
  <c r="C11" i="109"/>
  <c r="C11" i="68"/>
  <c r="C10" i="68" s="1"/>
  <c r="D11" i="109"/>
  <c r="L12" i="70"/>
  <c r="F17" i="70"/>
  <c r="C12" i="65"/>
  <c r="O12" i="109"/>
  <c r="K12" i="65" l="1"/>
  <c r="D12" i="70"/>
  <c r="E12" i="70" s="1"/>
  <c r="D11" i="65"/>
  <c r="J11" i="70" s="1"/>
  <c r="D10" i="109"/>
  <c r="D10" i="65" s="1"/>
  <c r="F16" i="70"/>
  <c r="Q11" i="70"/>
  <c r="P10" i="70"/>
  <c r="Q10" i="70" s="1"/>
  <c r="C11" i="65"/>
  <c r="O11" i="109"/>
  <c r="C10" i="109"/>
  <c r="D11" i="70" l="1"/>
  <c r="K11" i="65"/>
  <c r="R11" i="70"/>
  <c r="C10" i="65"/>
  <c r="K10" i="65" s="1"/>
  <c r="O10" i="109"/>
  <c r="R10" i="70"/>
  <c r="J10" i="70"/>
  <c r="K10" i="70" s="1"/>
  <c r="K11" i="70"/>
  <c r="F12" i="70"/>
  <c r="L10" i="70" l="1"/>
  <c r="K71" i="65"/>
  <c r="K72" i="65"/>
  <c r="L11" i="70"/>
  <c r="E11" i="70"/>
  <c r="D10" i="70"/>
  <c r="G34" i="73" l="1"/>
  <c r="E10" i="70"/>
  <c r="F11" i="70"/>
  <c r="F10" i="70" l="1"/>
  <c r="H10" i="70"/>
  <c r="H11" i="70"/>
  <c r="I34" i="73"/>
  <c r="J34" i="73" s="1"/>
  <c r="G35" i="73"/>
  <c r="H45" i="70"/>
  <c r="T49" i="70"/>
  <c r="T44" i="70"/>
  <c r="H22" i="73"/>
  <c r="H23" i="73"/>
  <c r="H24" i="73"/>
  <c r="H21" i="73"/>
  <c r="H25" i="73"/>
  <c r="T43" i="70"/>
  <c r="T45" i="70"/>
  <c r="T42" i="70"/>
  <c r="N42" i="70"/>
  <c r="H46" i="70"/>
  <c r="H65" i="70"/>
  <c r="H49" i="70"/>
  <c r="H42" i="70"/>
  <c r="H44" i="70"/>
  <c r="N43" i="70"/>
  <c r="T54" i="70"/>
  <c r="N51" i="70"/>
  <c r="H48" i="70"/>
  <c r="T52" i="70"/>
  <c r="T50" i="70"/>
  <c r="N45" i="70"/>
  <c r="N44" i="70"/>
  <c r="H43" i="70"/>
  <c r="H37" i="70"/>
  <c r="H38" i="70"/>
  <c r="Z27" i="73"/>
  <c r="T25" i="70"/>
  <c r="T19" i="70"/>
  <c r="H30" i="70"/>
  <c r="N54" i="70"/>
  <c r="Z28" i="73"/>
  <c r="H41" i="70"/>
  <c r="N25" i="70"/>
  <c r="N50" i="70"/>
  <c r="T22" i="70"/>
  <c r="T60" i="70"/>
  <c r="T15" i="70"/>
  <c r="Z10" i="73"/>
  <c r="T61" i="70"/>
  <c r="T24" i="70"/>
  <c r="N20" i="70"/>
  <c r="N52" i="70"/>
  <c r="N61" i="70"/>
  <c r="T46" i="70"/>
  <c r="N15" i="70"/>
  <c r="T59" i="70"/>
  <c r="N60" i="70"/>
  <c r="T20" i="70"/>
  <c r="H24" i="70"/>
  <c r="N14" i="70"/>
  <c r="T34" i="70"/>
  <c r="H29" i="70"/>
  <c r="T41" i="70"/>
  <c r="T14" i="70"/>
  <c r="N59" i="70"/>
  <c r="N19" i="70"/>
  <c r="H25" i="70"/>
  <c r="N18" i="70"/>
  <c r="T18" i="70"/>
  <c r="N24" i="70"/>
  <c r="T32" i="70"/>
  <c r="T13" i="70"/>
  <c r="H26" i="70"/>
  <c r="N13" i="73"/>
  <c r="H10" i="73"/>
  <c r="N10" i="73"/>
  <c r="N22" i="70"/>
  <c r="H61" i="70"/>
  <c r="N31" i="70"/>
  <c r="H15" i="70"/>
  <c r="H60" i="70"/>
  <c r="N32" i="70"/>
  <c r="N13" i="70"/>
  <c r="H20" i="70"/>
  <c r="H53" i="70"/>
  <c r="H23" i="70"/>
  <c r="H50" i="70"/>
  <c r="H14" i="70"/>
  <c r="H19" i="70"/>
  <c r="H59" i="70"/>
  <c r="H22" i="70"/>
  <c r="N46" i="70"/>
  <c r="H63" i="70"/>
  <c r="H18" i="70"/>
  <c r="H13" i="70"/>
  <c r="N41" i="70"/>
  <c r="T17" i="70"/>
  <c r="N17" i="70"/>
  <c r="T30" i="70"/>
  <c r="N33" i="70"/>
  <c r="T36" i="70"/>
  <c r="T16" i="70"/>
  <c r="N16" i="70"/>
  <c r="N36" i="70"/>
  <c r="N30" i="70"/>
  <c r="T12" i="70"/>
  <c r="H17" i="70"/>
  <c r="N12" i="70"/>
  <c r="H16" i="70"/>
  <c r="H12" i="70"/>
  <c r="T11" i="70"/>
  <c r="T10" i="70"/>
  <c r="N10" i="70"/>
  <c r="N11" i="70"/>
  <c r="I35" i="73" l="1"/>
  <c r="J35" i="73" s="1"/>
  <c r="G23" i="73"/>
  <c r="G22" i="73"/>
  <c r="G24" i="73"/>
  <c r="G21" i="73"/>
  <c r="G25" i="73"/>
  <c r="G65" i="70"/>
  <c r="S54" i="70"/>
  <c r="M51" i="70"/>
  <c r="S52" i="70"/>
  <c r="S50" i="70"/>
  <c r="G37" i="70"/>
  <c r="G38" i="70"/>
  <c r="M25" i="70"/>
  <c r="M50" i="70"/>
  <c r="Y27" i="73"/>
  <c r="M54" i="70"/>
  <c r="Y28" i="73"/>
  <c r="S25" i="70"/>
  <c r="S19" i="70"/>
  <c r="G30" i="70"/>
  <c r="M61" i="70"/>
  <c r="S22" i="70"/>
  <c r="S60" i="70"/>
  <c r="S15" i="70"/>
  <c r="M52" i="70"/>
  <c r="S24" i="70"/>
  <c r="M20" i="70"/>
  <c r="S61" i="70"/>
  <c r="Y10" i="73"/>
  <c r="M15" i="70"/>
  <c r="M24" i="70"/>
  <c r="S59" i="70"/>
  <c r="G24" i="70"/>
  <c r="M14" i="70"/>
  <c r="S34" i="70"/>
  <c r="G29" i="70"/>
  <c r="M59" i="70"/>
  <c r="M60" i="70"/>
  <c r="S20" i="70"/>
  <c r="S14" i="70"/>
  <c r="M19" i="70"/>
  <c r="G25" i="70"/>
  <c r="S18" i="70"/>
  <c r="M18" i="70"/>
  <c r="M22" i="70"/>
  <c r="M10" i="73"/>
  <c r="S13" i="70"/>
  <c r="G26" i="70"/>
  <c r="S32" i="70"/>
  <c r="M13" i="73"/>
  <c r="G10" i="73"/>
  <c r="G53" i="70"/>
  <c r="M13" i="70"/>
  <c r="M31" i="70"/>
  <c r="G60" i="70"/>
  <c r="G15" i="70"/>
  <c r="M32" i="70"/>
  <c r="G61" i="70"/>
  <c r="G20" i="70"/>
  <c r="G19" i="70"/>
  <c r="G14" i="70"/>
  <c r="G50" i="70"/>
  <c r="G23" i="70"/>
  <c r="G59" i="70"/>
  <c r="G18" i="70"/>
  <c r="G22" i="70"/>
  <c r="G63" i="70"/>
  <c r="G13" i="70"/>
  <c r="S17" i="70"/>
  <c r="M17" i="70"/>
  <c r="S36" i="70"/>
  <c r="S30" i="70"/>
  <c r="M33" i="70"/>
  <c r="M36" i="70"/>
  <c r="S16" i="70"/>
  <c r="M16" i="70"/>
  <c r="M30" i="70"/>
  <c r="M12" i="70"/>
  <c r="S12" i="70"/>
  <c r="G17" i="70"/>
  <c r="G16" i="70"/>
  <c r="S11" i="70"/>
  <c r="S10" i="70"/>
  <c r="G12" i="70"/>
  <c r="M10" i="70"/>
  <c r="M11" i="70"/>
  <c r="G11" i="70"/>
  <c r="G10" i="70"/>
</calcChain>
</file>

<file path=xl/sharedStrings.xml><?xml version="1.0" encoding="utf-8"?>
<sst xmlns="http://schemas.openxmlformats.org/spreadsheetml/2006/main" count="19132" uniqueCount="2462">
  <si>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</si>
  <si>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</si>
  <si>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</si>
  <si>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</si>
  <si>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</si>
  <si>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</si>
  <si>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</si>
  <si>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</si>
  <si>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</si>
  <si>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</si>
  <si>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</si>
  <si>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</si>
  <si>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</si>
  <si>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</si>
  <si>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</si>
  <si>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</si>
  <si>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</si>
  <si>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</si>
  <si>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</si>
  <si>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</si>
  <si>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</si>
  <si>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</si>
  <si>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</si>
  <si>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</si>
  <si>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</si>
  <si>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</si>
  <si>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</si>
  <si>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</si>
  <si>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</si>
  <si>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</si>
  <si>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</si>
  <si>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</si>
  <si>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</si>
  <si>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</si>
  <si>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</si>
  <si>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</si>
  <si>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</si>
  <si>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</si>
  <si>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</si>
  <si>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</si>
  <si>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</si>
  <si>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</si>
  <si>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</si>
  <si>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</si>
  <si>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</si>
  <si>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</si>
  <si>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</si>
  <si>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</si>
  <si>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</si>
  <si>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</si>
  <si>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</si>
  <si>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</si>
  <si>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</si>
  <si>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</si>
  <si>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</si>
  <si>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</si>
  <si>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</si>
  <si>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</si>
  <si>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</si>
  <si>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</si>
  <si>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</si>
  <si>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</si>
  <si>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</si>
  <si>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</si>
  <si>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</si>
  <si>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</si>
  <si>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</si>
  <si>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</si>
  <si>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</si>
  <si>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</si>
  <si>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</si>
  <si>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</si>
  <si>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</si>
  <si>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</si>
  <si>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</si>
  <si>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</si>
  <si>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</si>
  <si>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</si>
  <si>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</si>
  <si>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</si>
  <si>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</si>
  <si>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</si>
  <si>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</si>
  <si>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</si>
  <si>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</si>
  <si>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</si>
  <si>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</si>
  <si>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</si>
  <si>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</si>
  <si>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</si>
  <si>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</si>
  <si>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</si>
  <si>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</si>
  <si>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</si>
  <si>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</si>
  <si>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</si>
  <si>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</si>
  <si>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</si>
  <si>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</si>
  <si>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</si>
  <si>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</si>
  <si>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</si>
  <si>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</si>
  <si>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</si>
  <si>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</si>
  <si>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</si>
  <si>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</si>
  <si>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</si>
  <si>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</si>
  <si>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</si>
  <si>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</si>
  <si>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</si>
  <si>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</si>
  <si>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</si>
  <si>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</si>
  <si>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</si>
  <si>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</si>
  <si>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</si>
  <si>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</si>
  <si>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</si>
  <si>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</si>
  <si>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</si>
  <si>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</si>
  <si>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</si>
  <si>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</si>
  <si>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</si>
  <si>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</si>
  <si>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</si>
  <si>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</si>
  <si>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</si>
  <si>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</si>
  <si>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</si>
  <si>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</si>
  <si>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</si>
  <si>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</si>
  <si>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</si>
  <si>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</si>
  <si>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</si>
  <si>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</si>
  <si>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</si>
  <si>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</si>
  <si>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</si>
  <si>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</si>
  <si>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</si>
  <si>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</si>
  <si>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</si>
  <si>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</si>
  <si>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</si>
  <si>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</si>
  <si>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</si>
  <si>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</si>
  <si>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</si>
  <si>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</si>
  <si>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</si>
  <si>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</si>
  <si>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</si>
  <si>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</si>
  <si>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</si>
  <si>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</si>
  <si>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</si>
  <si>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</si>
  <si>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</si>
  <si>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</si>
  <si>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</si>
  <si>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</si>
  <si>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</si>
  <si>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</si>
  <si>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</si>
  <si>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</si>
  <si>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</si>
  <si>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</si>
  <si>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</si>
  <si>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</si>
  <si>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</si>
  <si>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</si>
  <si>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</si>
  <si>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</si>
  <si>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</si>
  <si>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</si>
  <si>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</si>
  <si>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</si>
  <si>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</si>
  <si>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</si>
  <si>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</si>
  <si>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</si>
  <si>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</si>
  <si>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</si>
  <si>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</si>
  <si>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</si>
  <si>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</si>
  <si>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</si>
  <si>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</si>
  <si>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</si>
  <si>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</si>
  <si>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</si>
  <si>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</si>
  <si>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</si>
  <si>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</si>
  <si>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</si>
  <si>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</si>
  <si>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</si>
  <si>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</si>
  <si>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</si>
  <si>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</si>
  <si>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</si>
  <si>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</si>
  <si>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</si>
  <si>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</si>
  <si>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</si>
  <si>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</si>
  <si>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</si>
  <si>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</si>
  <si>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</si>
  <si>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</si>
  <si>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</si>
  <si>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</si>
  <si>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</si>
  <si>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</si>
  <si>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</si>
  <si>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</si>
  <si>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</si>
  <si>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</si>
  <si>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</si>
  <si>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</si>
  <si>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</si>
  <si>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</si>
  <si>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</si>
  <si>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</si>
  <si>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</si>
  <si>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</si>
  <si>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</si>
  <si>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</si>
  <si>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</si>
  <si>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</si>
  <si>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</si>
  <si>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</si>
  <si>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</si>
  <si>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</si>
  <si>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</si>
  <si>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</si>
  <si>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</si>
  <si>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</si>
  <si>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</si>
  <si>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</si>
  <si>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</si>
  <si>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</si>
  <si>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</si>
  <si>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</si>
  <si>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</si>
  <si>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</si>
  <si>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</si>
  <si>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</si>
  <si>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</si>
  <si>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</si>
  <si>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</si>
  <si>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</si>
  <si>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</si>
  <si>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</si>
  <si>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</si>
  <si>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</si>
  <si>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</si>
  <si>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</si>
  <si>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</si>
  <si>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</si>
  <si>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</si>
  <si>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</si>
  <si>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</si>
  <si>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</si>
  <si>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</si>
  <si>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</si>
  <si>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</si>
  <si>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</si>
  <si>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</si>
  <si>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</si>
  <si>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</si>
  <si>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</si>
  <si>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</si>
  <si>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</si>
  <si>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</si>
  <si>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</si>
  <si>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</si>
  <si>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</si>
  <si>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</si>
  <si>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</si>
  <si>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</si>
  <si>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</si>
  <si>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</si>
  <si>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</si>
  <si>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</si>
  <si>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</si>
  <si>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</si>
  <si>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</si>
  <si>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</si>
  <si>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</si>
  <si>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</si>
  <si>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</si>
  <si>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</si>
  <si>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</si>
  <si>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</si>
  <si>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</si>
  <si>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</si>
  <si>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</si>
  <si>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</si>
  <si>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</si>
  <si>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</si>
  <si>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</si>
  <si>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</si>
  <si>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</si>
  <si>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</si>
  <si>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</si>
  <si>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</si>
  <si>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</si>
  <si>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</si>
  <si>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</si>
  <si>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</si>
  <si>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</si>
  <si>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</si>
  <si>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</si>
  <si>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</si>
  <si>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</si>
  <si>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</si>
  <si>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</si>
  <si>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</si>
  <si>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</si>
  <si>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</si>
  <si>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</si>
  <si>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</si>
  <si>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</si>
  <si>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</si>
  <si>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</si>
  <si>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</si>
  <si>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</si>
  <si>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</si>
  <si>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</si>
  <si>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</si>
  <si>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</si>
  <si>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</si>
  <si>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</si>
  <si>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</si>
  <si>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</si>
  <si>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</si>
  <si>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</si>
  <si>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</si>
  <si>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</si>
  <si>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</si>
  <si>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</si>
  <si>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</si>
  <si>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</si>
  <si>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</si>
  <si>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</si>
  <si>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</si>
  <si>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</si>
  <si>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</si>
  <si>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</si>
  <si>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</si>
  <si>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</si>
  <si>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</si>
  <si>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</si>
  <si>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</si>
  <si>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</si>
  <si>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</si>
  <si>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</si>
  <si>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</si>
  <si>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</si>
  <si>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</si>
  <si>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</si>
  <si>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</si>
  <si>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</si>
  <si>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</si>
  <si>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</si>
  <si>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</si>
  <si>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</si>
  <si>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</si>
  <si>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</si>
  <si>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</si>
  <si>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</si>
  <si>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</si>
  <si>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</si>
  <si>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</si>
  <si>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</si>
  <si>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</si>
  <si>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</si>
  <si>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</si>
  <si>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</si>
  <si>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</si>
  <si>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</si>
  <si>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</si>
  <si>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</si>
  <si>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</si>
  <si>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</si>
  <si>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</si>
  <si>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</si>
  <si>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</si>
  <si>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</si>
  <si>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</si>
  <si>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</si>
  <si>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</si>
  <si>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</si>
  <si>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</si>
  <si>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</si>
  <si>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</si>
  <si>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</si>
  <si>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</si>
  <si>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</si>
  <si>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</si>
  <si>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</si>
  <si>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</si>
  <si>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</si>
  <si>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</si>
  <si>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</si>
  <si>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</si>
  <si>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</si>
  <si>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</si>
  <si>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</si>
  <si>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</si>
  <si>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</si>
  <si>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</si>
  <si>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</si>
  <si>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</si>
  <si>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</si>
  <si>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</si>
  <si>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</si>
  <si>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</si>
  <si>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</si>
  <si>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</si>
  <si>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</si>
  <si>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</si>
  <si>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</si>
  <si>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</si>
  <si>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</si>
  <si>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</si>
  <si>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</si>
  <si>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</si>
  <si>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</si>
  <si>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</si>
  <si>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</si>
  <si>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</si>
  <si>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</si>
  <si>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</si>
  <si>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</si>
  <si>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</si>
  <si>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</si>
  <si>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</si>
  <si>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</si>
  <si>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</si>
  <si>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</si>
  <si>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</si>
  <si>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</si>
  <si>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</si>
  <si>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</si>
  <si>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</si>
  <si>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</si>
  <si>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</si>
  <si>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</si>
  <si>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</si>
  <si>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</si>
  <si>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</si>
  <si>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</si>
  <si>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</si>
  <si>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</si>
  <si>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</si>
  <si>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</si>
  <si>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</si>
  <si>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</si>
  <si>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</si>
  <si>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</si>
  <si>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</si>
  <si>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</si>
  <si>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</si>
  <si>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</si>
  <si>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</si>
  <si>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</si>
  <si>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</si>
  <si>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</si>
  <si>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</si>
  <si>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</si>
  <si>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</si>
  <si>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</si>
  <si>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</si>
  <si>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</si>
  <si>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</si>
  <si>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</si>
  <si>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</si>
  <si>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</si>
  <si>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</si>
  <si>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</si>
  <si>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</si>
  <si>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</si>
  <si>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</si>
  <si>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</si>
  <si>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</si>
  <si>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</si>
  <si>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</si>
  <si>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</si>
  <si>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</si>
  <si>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</si>
  <si>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</si>
  <si>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</si>
  <si>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</si>
  <si>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</si>
  <si>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</si>
  <si>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</si>
  <si>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</si>
  <si>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</si>
  <si>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</si>
  <si>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</si>
  <si>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</si>
  <si>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</si>
  <si>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</si>
  <si>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</si>
  <si>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</si>
  <si>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</si>
  <si>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</si>
  <si>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</si>
  <si>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</si>
  <si>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</si>
  <si>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</si>
  <si>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</si>
  <si>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</si>
  <si>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</si>
  <si>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</si>
  <si>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</si>
  <si>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</si>
  <si>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</si>
  <si>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</si>
  <si>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</si>
  <si>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</si>
  <si>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</si>
  <si>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</si>
  <si>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</si>
  <si>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</si>
  <si>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</si>
  <si>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</si>
  <si>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</si>
  <si>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</si>
  <si>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</si>
  <si>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</si>
  <si>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</si>
  <si>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</si>
  <si>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</si>
  <si>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</si>
  <si>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</si>
  <si>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</si>
  <si>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</si>
  <si>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</si>
  <si>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</si>
  <si>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</si>
  <si>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</si>
  <si>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</si>
  <si>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</si>
  <si>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</si>
  <si>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</si>
  <si>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</si>
  <si>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</si>
  <si>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</si>
  <si>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</si>
  <si>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</si>
  <si>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</si>
  <si>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</si>
  <si>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</si>
  <si>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</si>
  <si>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</si>
  <si>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</si>
  <si>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</si>
  <si>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</si>
  <si>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</si>
  <si>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</si>
  <si>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</si>
  <si>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</si>
  <si>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</si>
  <si>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</si>
  <si>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</si>
  <si>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</si>
  <si>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</si>
  <si>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</si>
  <si>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</si>
  <si>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</si>
  <si>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</si>
  <si>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</si>
  <si>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</si>
  <si>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</si>
  <si>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</si>
  <si>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</si>
  <si>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</si>
  <si>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</si>
  <si>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</si>
  <si>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</si>
  <si>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</si>
  <si>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</si>
  <si>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</si>
  <si>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</si>
  <si>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</si>
  <si>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</si>
  <si>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</si>
  <si>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</si>
  <si>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</si>
  <si>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</si>
  <si>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</si>
  <si>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</si>
  <si>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</si>
  <si>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</si>
  <si>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</si>
  <si>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</si>
  <si>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</si>
  <si>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</si>
  <si>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</si>
  <si>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</si>
  <si>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</si>
  <si>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</si>
  <si>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</si>
  <si>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</si>
  <si>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</si>
  <si>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</si>
  <si>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</si>
  <si>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</si>
  <si>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</si>
  <si>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</si>
  <si>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</si>
  <si>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</si>
  <si>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</si>
  <si>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</si>
  <si>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</si>
  <si>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</si>
  <si>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</si>
  <si>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</si>
  <si>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</si>
  <si>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</si>
  <si>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</si>
  <si>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</si>
  <si>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</si>
  <si>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</si>
  <si>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</si>
  <si>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</si>
  <si>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</si>
  <si>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</si>
  <si>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</si>
  <si>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</si>
  <si>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</si>
  <si>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</si>
  <si>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</si>
  <si>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</si>
  <si>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</si>
  <si>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</si>
  <si>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</si>
  <si>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</si>
  <si>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</si>
  <si>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</si>
  <si>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</si>
  <si>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</si>
  <si>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</si>
  <si>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</si>
  <si>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</si>
  <si>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</si>
  <si>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</si>
  <si>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</si>
  <si>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</si>
  <si>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</si>
  <si>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</si>
  <si>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</si>
  <si>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</si>
  <si>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</si>
  <si>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</si>
  <si>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</si>
  <si>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</si>
  <si>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</si>
  <si>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</si>
  <si>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</si>
  <si>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</si>
  <si>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</si>
  <si>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</si>
  <si>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</si>
  <si>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</si>
  <si>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</si>
  <si>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</si>
  <si>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</si>
  <si>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</si>
  <si>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</si>
  <si>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</si>
  <si>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</si>
  <si>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</si>
  <si>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</si>
  <si>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</si>
  <si>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</si>
  <si>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</si>
  <si>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</si>
  <si>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</si>
  <si>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</si>
  <si>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</si>
  <si>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</si>
  <si>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</si>
  <si>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</si>
  <si>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</si>
  <si>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</si>
  <si>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</si>
  <si>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</si>
  <si>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</si>
  <si>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</si>
  <si>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</si>
  <si>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</si>
  <si>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</si>
  <si>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</si>
  <si>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</si>
  <si>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</si>
  <si>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</si>
  <si>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</si>
  <si>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</si>
  <si>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</si>
  <si>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</si>
  <si>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</si>
  <si>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</si>
  <si>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</si>
  <si>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</si>
  <si>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</si>
  <si>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</si>
  <si>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</si>
  <si>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</si>
  <si>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</si>
  <si>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</si>
  <si>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</si>
  <si>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</si>
  <si>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</si>
  <si>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</si>
  <si>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</si>
  <si>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</si>
  <si>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</si>
  <si>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</si>
  <si>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</si>
  <si>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</si>
  <si>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</si>
  <si>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</si>
  <si>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</si>
  <si>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</si>
  <si>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</si>
  <si>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</si>
  <si>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</si>
  <si>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</si>
  <si>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</si>
  <si>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</si>
  <si>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</si>
  <si>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</si>
  <si>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</si>
  <si>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</si>
  <si>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</si>
  <si>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</si>
  <si>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</si>
  <si>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</si>
  <si>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</si>
  <si>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</si>
  <si>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</si>
  <si>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</si>
  <si>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</si>
  <si>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</si>
  <si>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</si>
  <si>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</si>
  <si>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</si>
  <si>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</si>
  <si>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</si>
  <si>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</si>
  <si>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</si>
  <si>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</si>
  <si>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</si>
  <si>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</si>
  <si>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</si>
  <si>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</si>
  <si>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</si>
  <si>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</si>
  <si>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</si>
  <si>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</si>
  <si>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</si>
  <si>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</si>
  <si>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</si>
  <si>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</si>
  <si>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</si>
  <si>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</si>
  <si>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</si>
  <si>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</si>
  <si>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</si>
  <si>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</si>
  <si>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</si>
  <si>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</si>
  <si>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</si>
  <si>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</si>
  <si>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</si>
  <si>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</si>
  <si>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</si>
  <si>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</si>
  <si>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</si>
  <si>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</si>
  <si>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</si>
  <si>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</si>
  <si>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</si>
  <si>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</si>
  <si>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</si>
  <si>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</si>
  <si>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</si>
  <si>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</si>
  <si>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</si>
  <si>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</si>
  <si>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</si>
  <si>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</si>
  <si>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</si>
  <si>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</si>
  <si>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</si>
  <si>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</si>
  <si>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</si>
  <si>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</si>
  <si>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</si>
  <si>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</si>
  <si>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</si>
  <si>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</si>
  <si>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</si>
  <si>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</si>
  <si>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</si>
  <si>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</si>
  <si>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</si>
  <si>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</si>
  <si>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</si>
  <si>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</si>
  <si>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</si>
  <si>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</si>
  <si>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</si>
  <si>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</si>
  <si>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</si>
  <si>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</si>
  <si>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</si>
  <si>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</si>
  <si>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</si>
  <si>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</si>
  <si>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</si>
  <si>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</si>
  <si>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</si>
  <si>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</si>
  <si>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</si>
  <si>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</si>
  <si>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</si>
  <si>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</si>
  <si>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</si>
  <si>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</si>
  <si>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</si>
  <si>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</si>
  <si>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</si>
  <si>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</si>
  <si>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</si>
  <si>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</si>
  <si>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</si>
  <si>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</si>
  <si>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</si>
  <si>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</si>
  <si>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</si>
  <si>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</si>
  <si>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</si>
  <si>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</si>
  <si>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</si>
  <si>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</si>
  <si>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</si>
  <si>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</si>
  <si>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</si>
  <si>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</si>
  <si>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</si>
  <si>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</si>
  <si>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</si>
  <si>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</si>
  <si>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</si>
  <si>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</si>
  <si>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</si>
  <si>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</si>
  <si>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</si>
  <si>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</si>
  <si>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</si>
  <si>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</si>
  <si>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</si>
  <si>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</si>
  <si>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</si>
  <si>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</si>
  <si>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</si>
  <si>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</si>
  <si>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</si>
  <si>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</si>
  <si>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</si>
  <si>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</si>
  <si>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</si>
  <si>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</si>
  <si>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</si>
  <si>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</si>
  <si>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</si>
  <si>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</si>
  <si>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</si>
  <si>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</si>
  <si>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</si>
  <si>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</si>
  <si>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</si>
  <si>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</si>
  <si>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</si>
  <si>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</si>
  <si>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</si>
  <si>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</si>
  <si>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</si>
  <si>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</si>
  <si>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</si>
  <si>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</si>
  <si>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</si>
  <si>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</si>
  <si>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</si>
  <si>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</si>
  <si>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</si>
  <si>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</si>
  <si>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</si>
  <si>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</si>
  <si>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</si>
  <si>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</si>
  <si>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</si>
  <si>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</si>
  <si>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</si>
  <si>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</si>
  <si>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</si>
  <si>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</si>
  <si>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</si>
  <si>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</si>
  <si>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</si>
  <si>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</si>
  <si>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</si>
  <si>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</si>
  <si>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</si>
  <si>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</si>
  <si>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</si>
  <si>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</si>
  <si>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</si>
  <si>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</si>
  <si>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</si>
  <si>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</si>
  <si>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</si>
  <si>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</si>
  <si>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</si>
  <si>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</si>
  <si>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</si>
  <si>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</si>
  <si>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</si>
  <si>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</si>
  <si>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</si>
  <si>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</si>
  <si>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</si>
  <si>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</si>
  <si>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</si>
  <si>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</si>
  <si>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</si>
  <si>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</si>
  <si>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</si>
  <si>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</si>
  <si>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</si>
  <si>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</si>
  <si>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</si>
  <si>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</si>
  <si>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</si>
  <si>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</si>
  <si>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</si>
  <si>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</si>
  <si>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</si>
  <si>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</si>
  <si>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</si>
  <si>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</si>
  <si>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</si>
  <si>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</si>
  <si>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</si>
  <si>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</si>
  <si>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</si>
  <si>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</si>
  <si>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</si>
  <si>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</si>
  <si>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</si>
  <si>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</si>
  <si>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</si>
  <si>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</si>
  <si>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</si>
  <si>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</si>
  <si>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</si>
  <si>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</si>
  <si>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</si>
  <si>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</si>
  <si>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</si>
  <si>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</si>
  <si>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</si>
  <si>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</si>
  <si>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</si>
  <si>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</si>
  <si>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</si>
  <si>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</si>
  <si>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</si>
  <si>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</si>
  <si>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</si>
  <si>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</si>
  <si>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</si>
  <si>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</si>
  <si>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</si>
  <si>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</si>
  <si>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</si>
  <si>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</si>
  <si>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</si>
  <si>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</si>
  <si>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</si>
  <si>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</si>
  <si>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</si>
  <si>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</si>
  <si>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</si>
  <si>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</si>
  <si>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</si>
  <si>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</si>
  <si>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</si>
  <si>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</si>
  <si>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</si>
  <si>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</si>
  <si>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</si>
  <si>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</si>
  <si>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</si>
  <si>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</si>
  <si>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</si>
  <si>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</si>
  <si>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</si>
  <si>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</si>
  <si>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</si>
  <si>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</si>
  <si>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</si>
  <si>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</si>
  <si>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</si>
  <si>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</si>
  <si>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</si>
  <si>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</si>
  <si>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</si>
  <si>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</si>
  <si>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</si>
  <si>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</si>
  <si>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</si>
  <si>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</si>
  <si>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</si>
  <si>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</si>
  <si>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</si>
  <si>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</si>
  <si>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</si>
  <si>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</si>
  <si>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</si>
  <si>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</si>
  <si>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</si>
  <si>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</si>
  <si>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</si>
  <si>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</si>
  <si>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</si>
  <si>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</si>
  <si>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</si>
  <si>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</si>
  <si>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</si>
  <si>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</si>
  <si>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</si>
  <si>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</si>
  <si>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</si>
  <si>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</si>
  <si>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</si>
  <si>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</si>
  <si>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</si>
  <si>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</si>
  <si>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</si>
  <si>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</si>
  <si>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</si>
  <si>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</si>
  <si>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</si>
  <si>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</si>
  <si>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</si>
  <si>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</si>
  <si>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</si>
  <si>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</si>
  <si>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</si>
  <si>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</si>
  <si>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</si>
  <si>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</si>
  <si>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</si>
  <si>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</si>
  <si>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</si>
  <si>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</si>
  <si>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</si>
  <si>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</si>
  <si>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</si>
  <si>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</si>
  <si>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</si>
  <si>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</si>
  <si>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</si>
  <si>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</si>
  <si>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</si>
  <si>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</si>
  <si>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</si>
  <si>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</si>
  <si>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</si>
  <si>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</si>
  <si>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</si>
  <si>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</si>
  <si>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</si>
  <si>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</si>
  <si>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</si>
  <si>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</si>
  <si>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</si>
  <si>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</si>
  <si>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</si>
  <si>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</si>
  <si>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</si>
  <si>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</si>
  <si>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</si>
  <si>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</si>
  <si>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</si>
  <si>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</si>
  <si>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</si>
  <si>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</si>
  <si>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</si>
  <si>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</si>
  <si>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</si>
  <si>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</si>
  <si>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</si>
  <si>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</si>
  <si>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</si>
  <si>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</si>
  <si>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</si>
  <si>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</si>
  <si>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</si>
  <si>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</si>
  <si>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</si>
  <si>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</si>
  <si>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</si>
  <si>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</si>
  <si>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</si>
  <si>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</si>
  <si>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</si>
  <si>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</si>
  <si>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</si>
  <si>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</si>
  <si>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</si>
  <si>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</si>
  <si>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</si>
  <si>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</si>
  <si>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</si>
  <si>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</si>
  <si>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</si>
  <si>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</si>
  <si>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</si>
  <si>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</si>
  <si>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</si>
  <si>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</si>
  <si>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</si>
  <si>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</si>
  <si>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</si>
  <si>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</si>
  <si>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</si>
  <si>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</si>
  <si>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</si>
  <si>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</si>
  <si>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</si>
  <si>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</si>
  <si>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</si>
  <si>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</si>
  <si>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</si>
  <si>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</si>
  <si>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</si>
  <si>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</si>
  <si>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</si>
  <si>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</si>
  <si>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</si>
  <si>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</si>
  <si>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</si>
  <si>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</si>
  <si>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</si>
  <si>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</si>
  <si>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</si>
  <si>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</si>
  <si>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</si>
  <si>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</si>
  <si>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</si>
  <si>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</si>
  <si>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</si>
  <si>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</si>
  <si>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</si>
  <si>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</si>
  <si>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</si>
  <si>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</si>
  <si>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</si>
  <si>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</si>
  <si>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</si>
  <si>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</si>
  <si>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</si>
  <si>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</si>
  <si>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</si>
  <si>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</si>
  <si>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</si>
  <si>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</si>
  <si>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</si>
  <si>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</si>
  <si>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</si>
  <si>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</si>
  <si>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</si>
  <si>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</si>
  <si>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</si>
  <si>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</si>
  <si>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</si>
  <si>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</si>
  <si>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</si>
  <si>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</si>
  <si>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</si>
  <si>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</si>
  <si>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</si>
  <si>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</si>
  <si>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</si>
  <si>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</si>
  <si>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</si>
  <si>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</si>
  <si>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</si>
  <si>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</si>
  <si>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</si>
  <si>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</si>
  <si>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</si>
  <si>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</si>
  <si>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</si>
  <si>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</si>
  <si>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</si>
  <si>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</si>
  <si>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</si>
  <si>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</si>
  <si>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</si>
  <si>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</si>
  <si>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</si>
  <si>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</si>
  <si>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</si>
  <si>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</si>
  <si>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</si>
  <si>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</si>
  <si>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</si>
  <si>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</si>
  <si>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</si>
  <si>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</si>
  <si>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</si>
  <si>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</si>
  <si>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</si>
  <si>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</si>
  <si>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</si>
  <si>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</si>
  <si>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</si>
  <si>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</si>
  <si>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</si>
  <si>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</si>
  <si>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</si>
  <si>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</si>
  <si>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</si>
  <si>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</si>
  <si>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</si>
  <si>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</si>
  <si>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</si>
  <si>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</si>
  <si>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</si>
  <si>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</si>
  <si>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</si>
  <si>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</si>
  <si>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</si>
  <si>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</si>
  <si>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</si>
  <si>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</si>
  <si>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</si>
  <si>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</si>
  <si>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</si>
  <si>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</si>
  <si>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</si>
  <si>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</si>
  <si>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</si>
  <si>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</si>
  <si>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</si>
  <si>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</si>
  <si>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</si>
  <si>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</si>
  <si>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</si>
  <si>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</si>
  <si>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</si>
  <si>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</si>
  <si>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</si>
  <si>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</si>
  <si>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</si>
  <si>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</si>
  <si>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</si>
  <si>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</si>
  <si>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</si>
  <si>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</si>
  <si>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</si>
  <si>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</si>
  <si>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</si>
  <si>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</si>
  <si>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</si>
  <si>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</si>
  <si>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</si>
  <si>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</si>
  <si>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</si>
  <si>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</si>
  <si>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</si>
  <si>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</si>
  <si>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</si>
  <si>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</si>
  <si>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</si>
  <si>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</si>
  <si>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</si>
  <si>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</si>
  <si>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</si>
  <si>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</si>
  <si>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</si>
  <si>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</si>
  <si>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</si>
  <si>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</si>
  <si>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</si>
  <si>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</si>
  <si>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</si>
  <si>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</si>
  <si>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</si>
  <si>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</si>
  <si>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</si>
  <si>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</si>
  <si>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</si>
  <si>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</si>
  <si>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</si>
  <si>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</si>
  <si>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</si>
  <si>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</si>
  <si>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</si>
  <si>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</si>
  <si>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</si>
  <si>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</si>
  <si>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</si>
  <si>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</si>
  <si>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</si>
  <si>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</si>
  <si>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</si>
  <si>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</si>
  <si>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</si>
  <si>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</si>
  <si>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</si>
  <si>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</si>
  <si>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</si>
  <si>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</si>
  <si>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</si>
  <si>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</si>
  <si>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</si>
  <si>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</si>
  <si>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</si>
  <si>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</si>
  <si>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</si>
  <si>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</si>
  <si>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</si>
  <si>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</si>
  <si>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</si>
  <si>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</si>
  <si>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</si>
  <si>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</si>
  <si>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</si>
  <si>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</si>
  <si>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</si>
  <si>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</si>
  <si>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</si>
  <si>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</si>
  <si>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</si>
  <si>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</si>
  <si>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</si>
  <si>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</si>
  <si>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</si>
  <si>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</si>
  <si>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</si>
  <si>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</si>
  <si>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</si>
  <si>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</si>
  <si>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</si>
  <si>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</si>
  <si>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</si>
  <si>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</si>
  <si>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</si>
  <si>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</si>
  <si>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</si>
  <si>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</si>
  <si>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</si>
  <si>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</si>
  <si>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</si>
  <si>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</si>
  <si>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</si>
  <si>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</si>
  <si>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</si>
  <si>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</si>
  <si>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</si>
  <si>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</si>
  <si>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</si>
  <si>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</si>
  <si>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</si>
  <si>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</si>
  <si>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</si>
  <si>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</si>
  <si>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</si>
  <si>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</si>
  <si>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</si>
  <si>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</si>
  <si>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</si>
  <si>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</si>
  <si>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</si>
  <si>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</si>
  <si>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</si>
  <si>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</si>
  <si>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</si>
  <si>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</si>
  <si>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</si>
  <si>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</si>
  <si>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</si>
  <si>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</si>
  <si>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</si>
  <si>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</si>
  <si>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</si>
  <si>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</si>
  <si>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</si>
  <si>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</si>
  <si>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</si>
  <si>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</si>
  <si>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</si>
  <si>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</si>
  <si>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</si>
  <si>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</si>
  <si>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</si>
  <si>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</si>
  <si>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</si>
  <si>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</si>
  <si>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</si>
  <si>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</si>
  <si>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</si>
  <si>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</si>
  <si>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</si>
  <si>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</si>
  <si>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</si>
  <si>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</si>
  <si>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</si>
  <si>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</si>
  <si>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</si>
  <si>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</si>
  <si>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</si>
  <si>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</si>
  <si>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</si>
  <si>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</si>
  <si>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</si>
  <si>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</si>
  <si>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</si>
  <si>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</si>
  <si>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</si>
  <si>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</si>
  <si>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</si>
  <si>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</si>
  <si>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</si>
  <si>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</si>
  <si>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</si>
  <si>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</si>
  <si>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</si>
  <si>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</si>
  <si>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</si>
  <si>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</si>
  <si>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</si>
  <si>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</si>
  <si>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</si>
  <si>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</si>
  <si>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</si>
  <si>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</si>
  <si>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</si>
  <si>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</si>
  <si>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</si>
  <si>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</si>
  <si>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</si>
  <si>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</si>
  <si>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</si>
  <si>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</si>
  <si>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</si>
  <si>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</si>
  <si>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</si>
  <si>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</si>
  <si>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</si>
  <si>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</si>
  <si>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</si>
  <si>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</si>
  <si>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</si>
  <si>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</si>
  <si>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</si>
  <si>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</si>
  <si>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</si>
  <si>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</si>
  <si>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</si>
  <si>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</si>
  <si>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</si>
  <si>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</si>
  <si>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</si>
  <si>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</si>
  <si>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</si>
  <si>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</si>
  <si>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</si>
  <si>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</si>
  <si>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</si>
  <si>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</si>
  <si>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</si>
  <si>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</si>
  <si>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</si>
  <si>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</si>
  <si>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</si>
  <si>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</si>
  <si>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</si>
  <si>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</si>
  <si>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</si>
  <si>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</si>
  <si>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</si>
  <si>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</si>
  <si>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</si>
  <si>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</si>
  <si>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</si>
  <si>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</si>
  <si>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</si>
  <si>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</si>
  <si>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</si>
  <si>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</si>
  <si>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</si>
  <si>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</si>
  <si>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</si>
  <si>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</si>
  <si>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</si>
  <si>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</si>
  <si>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</si>
  <si>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</si>
  <si>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</si>
  <si>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</si>
  <si>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</si>
  <si>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</si>
  <si>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</si>
  <si>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</si>
  <si>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</si>
  <si>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</si>
  <si>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</si>
  <si>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</si>
  <si>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</si>
  <si>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</si>
  <si>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</si>
  <si>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</si>
  <si>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</si>
  <si>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</si>
  <si>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</si>
  <si>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</si>
  <si>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</si>
  <si>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</si>
  <si>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</si>
  <si>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</si>
  <si>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</si>
  <si>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</si>
  <si>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</si>
  <si>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</si>
  <si>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</si>
  <si>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</si>
  <si>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</si>
  <si>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</si>
  <si>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</si>
  <si>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</si>
  <si>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</si>
  <si>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</si>
  <si>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</si>
  <si>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</si>
  <si>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</si>
  <si>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</si>
  <si>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</si>
  <si>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</si>
  <si>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</si>
  <si>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</si>
  <si>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</si>
  <si>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</si>
  <si>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</si>
  <si>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</si>
  <si>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</si>
  <si>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</si>
  <si>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</si>
  <si>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</si>
  <si>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</si>
  <si>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</si>
  <si>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</si>
  <si>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</si>
  <si>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</si>
  <si>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</si>
  <si>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</si>
  <si>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</si>
  <si>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</si>
  <si>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</si>
  <si>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</si>
  <si>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</si>
  <si>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</si>
  <si>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</si>
  <si>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</si>
  <si>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</si>
  <si>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</si>
  <si>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</si>
  <si>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</si>
  <si>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</si>
  <si>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</si>
  <si>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</si>
  <si>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</si>
  <si>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</si>
  <si>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</si>
  <si>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</si>
  <si>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</si>
  <si>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</si>
  <si>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</si>
  <si>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</si>
  <si>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</si>
  <si>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</si>
  <si>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</si>
  <si>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</si>
  <si>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</si>
  <si>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</si>
  <si>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</si>
  <si>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</si>
  <si>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</si>
  <si>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</si>
  <si>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</si>
  <si>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</si>
  <si>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</si>
  <si>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</si>
  <si>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</si>
  <si>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</si>
  <si>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</si>
  <si>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</si>
  <si>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</si>
  <si>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</si>
  <si>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</si>
  <si>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</si>
  <si>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</si>
  <si>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</si>
  <si>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</si>
  <si>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</si>
  <si>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</si>
  <si>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</si>
  <si>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</si>
  <si>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</si>
  <si>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</si>
  <si>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</si>
  <si>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</si>
  <si>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</si>
  <si>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</si>
  <si>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</si>
  <si>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</si>
  <si>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</si>
  <si>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</si>
  <si>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</si>
  <si>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</si>
  <si>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</si>
  <si>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</si>
  <si>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</si>
  <si>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</si>
  <si>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</si>
  <si>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</si>
  <si>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</si>
  <si>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</si>
  <si>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</si>
  <si>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</si>
  <si>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</si>
  <si>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</si>
  <si>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</si>
  <si>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</si>
  <si>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</si>
  <si>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</si>
  <si>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</si>
  <si>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</si>
  <si>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</si>
  <si>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</si>
  <si>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</si>
  <si>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</si>
  <si>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</si>
  <si>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</si>
  <si>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</si>
  <si>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</si>
  <si>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</si>
  <si>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</si>
  <si>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</si>
  <si>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</si>
  <si>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</si>
  <si>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</si>
  <si>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</si>
  <si>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</si>
  <si>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</si>
  <si>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</si>
  <si>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</si>
  <si>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</si>
  <si>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</si>
  <si>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</si>
  <si>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</si>
  <si>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</si>
  <si>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</si>
  <si>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</si>
  <si>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</si>
  <si>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</si>
  <si>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</si>
  <si>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</si>
  <si>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</si>
  <si>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</si>
  <si>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</si>
  <si>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</si>
  <si>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</si>
  <si>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</si>
  <si>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</si>
  <si>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</si>
  <si>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</si>
  <si>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</si>
  <si>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</si>
  <si>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</si>
  <si>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</si>
  <si>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</si>
  <si>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</si>
  <si>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</si>
  <si>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</si>
  <si>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</si>
  <si>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</si>
  <si>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</si>
  <si>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</si>
  <si>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</si>
  <si>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</si>
  <si>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</si>
  <si>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</si>
  <si>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</si>
  <si>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</si>
  <si>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</si>
  <si>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</si>
  <si>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</si>
  <si>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</si>
  <si>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</si>
  <si>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</si>
  <si>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</si>
  <si>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</si>
  <si>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</si>
  <si>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</si>
  <si>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</si>
  <si>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</si>
  <si>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</si>
  <si>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</si>
  <si>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</si>
  <si>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</si>
  <si>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</si>
  <si>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</si>
  <si>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</si>
  <si>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</si>
  <si>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</si>
  <si>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</si>
  <si>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</si>
  <si>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</si>
  <si>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</si>
  <si>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</si>
  <si>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</si>
  <si>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</si>
  <si>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</si>
  <si>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</si>
  <si>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</si>
  <si>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</si>
  <si>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</si>
  <si>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</si>
  <si>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</si>
  <si>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</si>
  <si>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</si>
  <si>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</si>
  <si>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</si>
  <si>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</si>
  <si>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</si>
  <si>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</si>
  <si>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</si>
  <si>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</si>
  <si>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</si>
  <si>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</si>
  <si>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</si>
  <si>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</si>
  <si>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</si>
  <si>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</si>
  <si>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</si>
  <si>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</si>
  <si>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</si>
  <si>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</si>
  <si>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</si>
  <si>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</si>
  <si>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</si>
  <si>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</si>
  <si>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</si>
  <si>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</si>
  <si>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</si>
  <si>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</si>
  <si>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</si>
  <si>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</si>
  <si>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</si>
  <si>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</si>
  <si>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</si>
  <si>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</si>
  <si>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</si>
  <si>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</si>
  <si>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</si>
  <si>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</si>
  <si>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</si>
  <si>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</si>
  <si>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</si>
  <si>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</si>
  <si>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</si>
  <si>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</si>
  <si>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</si>
  <si>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</si>
  <si>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</si>
  <si>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</si>
  <si>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</si>
  <si>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</si>
  <si>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</si>
  <si>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</si>
  <si>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</si>
  <si>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</si>
  <si>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</si>
  <si>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</si>
  <si>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</si>
  <si>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</si>
  <si>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</si>
  <si>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</si>
  <si>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</si>
  <si>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</si>
  <si>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</si>
  <si>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</si>
  <si>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</si>
  <si>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</si>
  <si>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</si>
  <si>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</si>
  <si>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</si>
  <si>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</si>
  <si>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</si>
  <si>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</si>
  <si>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</si>
  <si>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</si>
  <si>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</si>
  <si>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</si>
  <si>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</si>
  <si>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</si>
  <si>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</si>
  <si>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</si>
  <si>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</si>
  <si>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</si>
  <si>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</si>
  <si>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</si>
  <si>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</si>
  <si>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</si>
  <si>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</si>
  <si>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</si>
  <si>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</si>
  <si>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</si>
  <si>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</si>
  <si>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</si>
  <si>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</si>
  <si>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</si>
  <si>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</si>
  <si>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</si>
  <si>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</si>
  <si>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</si>
  <si>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</si>
  <si>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</si>
  <si>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</si>
  <si>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</si>
  <si>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</si>
  <si>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</si>
  <si>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</si>
  <si>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</si>
  <si>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</si>
  <si>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</si>
  <si>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</si>
  <si>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</si>
  <si>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</si>
  <si>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</si>
  <si>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</si>
  <si>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</si>
  <si>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</si>
  <si>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</si>
  <si>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</si>
  <si>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</si>
  <si>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</si>
  <si>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</si>
  <si>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</si>
  <si>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</si>
  <si>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</si>
  <si>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</si>
  <si>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</si>
  <si>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</si>
  <si>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</si>
  <si>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</si>
  <si>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</si>
  <si>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</si>
  <si>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</si>
  <si>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</si>
  <si>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</si>
  <si>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</si>
  <si>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</si>
  <si>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</si>
  <si>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</si>
  <si>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</si>
  <si>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</si>
  <si>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</si>
  <si>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</si>
  <si>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</si>
  <si>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</si>
  <si>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</si>
  <si>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</si>
  <si>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</si>
  <si>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</si>
  <si>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</si>
  <si>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</si>
  <si>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</si>
  <si>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</si>
  <si>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</si>
  <si>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</si>
  <si>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</si>
  <si>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</si>
  <si>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</si>
  <si>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</si>
  <si>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</si>
  <si>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</si>
  <si>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</si>
  <si>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</si>
  <si>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</si>
  <si>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</si>
  <si>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</si>
  <si>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</si>
  <si>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</si>
  <si>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</si>
  <si>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</si>
  <si>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</si>
  <si>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</si>
  <si>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</si>
  <si>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</si>
  <si>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</si>
  <si>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</si>
  <si>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</si>
  <si>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</si>
  <si>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</si>
  <si>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</si>
  <si>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</si>
  <si>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</si>
  <si>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</si>
  <si>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</si>
  <si>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</si>
  <si>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</si>
  <si>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</si>
  <si>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</si>
  <si>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</si>
  <si>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</si>
  <si>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</si>
  <si>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</si>
  <si>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</si>
  <si>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</si>
  <si>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</si>
  <si>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</si>
  <si>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</si>
  <si>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</si>
  <si>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</si>
  <si>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</si>
  <si>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</si>
  <si>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</si>
  <si>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</si>
  <si>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</si>
  <si>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</si>
  <si>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</si>
  <si>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</si>
  <si>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</si>
  <si>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</si>
  <si>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</si>
  <si>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</si>
  <si>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</si>
  <si>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</si>
  <si>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</si>
  <si>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</si>
  <si>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</si>
  <si>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</si>
  <si>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</si>
  <si>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</si>
  <si>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</si>
  <si>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</si>
  <si>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</si>
  <si>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</si>
  <si>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</si>
  <si>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</si>
  <si>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</si>
  <si>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</si>
  <si>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</si>
  <si>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</si>
  <si>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</si>
  <si>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</si>
  <si>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</si>
  <si>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</si>
  <si>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</si>
  <si>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</si>
  <si>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</si>
  <si>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</si>
  <si>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</si>
  <si>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</si>
  <si>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</si>
  <si>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</si>
  <si>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</si>
  <si>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</si>
  <si>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</si>
  <si>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</si>
  <si>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</si>
  <si>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</si>
  <si>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</si>
  <si>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</si>
  <si>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</si>
  <si>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</si>
  <si>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</si>
  <si>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</si>
  <si>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</si>
  <si>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</si>
  <si>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</si>
  <si>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</si>
  <si>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</si>
  <si>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</si>
  <si>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</si>
  <si>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</si>
  <si>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</si>
  <si>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</si>
  <si>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</si>
  <si>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</si>
  <si>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</si>
  <si>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</si>
  <si>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</si>
  <si>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</si>
  <si>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</si>
  <si>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</si>
  <si>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</si>
  <si>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</si>
  <si>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</si>
  <si>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</si>
  <si>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</si>
  <si>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</si>
  <si>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</si>
  <si>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</si>
  <si>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</si>
  <si>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</si>
  <si>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</si>
  <si>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</si>
  <si>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</si>
  <si>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</si>
  <si>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</si>
  <si>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</si>
  <si>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</si>
  <si>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</si>
  <si>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</si>
  <si>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</si>
  <si>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</si>
  <si>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</si>
  <si>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</si>
  <si>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</si>
  <si>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</si>
  <si>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</si>
  <si>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</si>
  <si>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</si>
  <si>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</si>
  <si>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</si>
  <si>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</si>
  <si>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</si>
  <si>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</si>
  <si>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</si>
  <si>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</si>
  <si>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</si>
  <si>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</si>
  <si>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</si>
  <si>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</si>
  <si>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</si>
  <si>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</si>
  <si>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</si>
  <si>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</si>
  <si>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</si>
  <si>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</si>
  <si>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</si>
  <si>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</si>
  <si>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</si>
  <si>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</si>
  <si>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</si>
  <si>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</si>
  <si>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</si>
  <si>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</si>
  <si>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</si>
  <si>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</si>
  <si>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</si>
  <si>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</si>
  <si>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</si>
  <si>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</si>
  <si>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</si>
  <si>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</si>
  <si>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</si>
  <si>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</si>
  <si>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</si>
  <si>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</si>
  <si>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</si>
  <si>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</si>
  <si>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</si>
  <si>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</si>
  <si>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</si>
  <si>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</si>
  <si>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</si>
  <si>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</si>
  <si>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</si>
  <si>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</si>
  <si>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</si>
  <si>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</si>
  <si>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</si>
  <si>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</si>
  <si>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</si>
  <si>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</si>
  <si>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</si>
  <si>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</si>
  <si>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</si>
  <si>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</si>
  <si>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</si>
  <si>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</si>
  <si>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</si>
  <si>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</si>
  <si>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</si>
  <si>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</si>
  <si>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</si>
  <si>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</si>
  <si>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</si>
  <si>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</si>
  <si>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</si>
  <si>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</si>
  <si>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</si>
  <si>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</si>
  <si>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</si>
  <si>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</si>
  <si>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</si>
  <si>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</si>
  <si>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</si>
  <si>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</si>
  <si>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</si>
  <si>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</si>
  <si>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</si>
  <si>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</si>
  <si>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</si>
  <si>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</si>
  <si>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</si>
  <si>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</si>
  <si>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</si>
  <si>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</si>
  <si>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</si>
  <si>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</si>
  <si>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</si>
  <si>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</si>
  <si>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</si>
  <si>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</si>
  <si>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</si>
  <si>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</si>
  <si>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</si>
  <si>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</si>
  <si>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</si>
  <si>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</si>
  <si>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</si>
  <si>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</si>
  <si>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</si>
  <si>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</si>
  <si>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</si>
  <si>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</si>
  <si>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</si>
  <si>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</si>
  <si>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</si>
  <si>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</si>
  <si>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</si>
  <si>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</si>
  <si>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</si>
  <si>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</si>
  <si>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</si>
  <si>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</si>
  <si>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</si>
  <si>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</si>
  <si>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</si>
  <si>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</si>
  <si>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</si>
  <si>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</si>
  <si>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</si>
  <si>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</si>
  <si>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</si>
  <si>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</si>
  <si>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</si>
  <si>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</si>
  <si>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</si>
  <si>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</si>
  <si>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</si>
  <si>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</si>
  <si>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</si>
  <si>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</si>
  <si>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</si>
  <si>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</si>
  <si>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</si>
  <si>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</si>
  <si>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</si>
  <si>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</si>
  <si>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</si>
  <si>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</si>
  <si>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</si>
  <si>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</si>
  <si>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</si>
  <si>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</si>
  <si>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</si>
  <si>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</si>
  <si>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</si>
  <si>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</si>
  <si>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</si>
  <si>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</si>
  <si>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</si>
  <si>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</si>
  <si>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</si>
  <si>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</si>
  <si>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</si>
  <si>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</si>
  <si>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</si>
  <si>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</si>
  <si>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</si>
  <si>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</si>
  <si>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</si>
  <si>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</si>
  <si>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</si>
  <si>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</si>
  <si>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</si>
  <si>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</si>
  <si>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</si>
  <si>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</si>
  <si>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</si>
  <si>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</si>
  <si>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</si>
  <si>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</si>
  <si>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</si>
  <si>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</si>
  <si>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</si>
  <si>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</si>
  <si>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</si>
  <si>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</si>
  <si>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</si>
  <si>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</si>
  <si>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</si>
  <si>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</si>
  <si>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</si>
  <si>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</si>
  <si>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</si>
  <si>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</si>
  <si>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</si>
  <si>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</si>
  <si>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</si>
  <si>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</si>
  <si>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</si>
  <si>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</si>
  <si>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</si>
  <si>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</si>
  <si>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</si>
  <si>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</si>
  <si>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</si>
  <si>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</si>
  <si>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</si>
  <si>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</si>
  <si>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</si>
  <si>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</si>
  <si>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</si>
  <si>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</si>
  <si>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</si>
  <si>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</si>
  <si>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</si>
  <si>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</si>
  <si>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</si>
  <si>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</si>
  <si>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</si>
  <si>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</si>
  <si>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</si>
  <si>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</si>
  <si>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</si>
  <si>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</si>
  <si>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</si>
  <si>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</si>
  <si>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</si>
  <si>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</si>
  <si>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</si>
  <si>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</si>
  <si>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</si>
  <si>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</si>
  <si>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</si>
  <si>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</si>
  <si>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</si>
  <si>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</si>
  <si>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</si>
  <si>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</si>
  <si>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</si>
  <si>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</si>
  <si>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</si>
  <si>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</si>
  <si>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</si>
  <si>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</si>
  <si>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</si>
  <si>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</si>
  <si>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</si>
  <si>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</si>
  <si>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</si>
  <si>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</si>
  <si>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</si>
  <si>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</si>
  <si>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</si>
  <si>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</si>
  <si>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</si>
  <si>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</si>
  <si>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</si>
  <si>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</si>
  <si>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</si>
  <si>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</si>
  <si>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</si>
  <si>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</si>
  <si>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</si>
  <si>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</si>
  <si>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</si>
  <si>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</si>
  <si>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</si>
  <si>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</si>
  <si>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</si>
  <si>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</si>
  <si>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</si>
  <si>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</si>
  <si>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</si>
  <si>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</si>
  <si>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</si>
  <si>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</si>
  <si>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</si>
  <si>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</si>
  <si>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</si>
  <si>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</si>
  <si>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</si>
  <si>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</si>
  <si>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</si>
  <si>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</si>
  <si>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</si>
  <si>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</si>
  <si>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</si>
  <si>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</si>
  <si>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</si>
  <si>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</si>
  <si>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</si>
  <si>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</si>
  <si>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</si>
  <si>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</si>
  <si>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</si>
  <si>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</si>
  <si>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</si>
  <si>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</si>
  <si>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</si>
  <si>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</si>
  <si>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</si>
  <si>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</si>
  <si>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</si>
  <si>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</si>
  <si>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</si>
  <si>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</si>
  <si>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</si>
  <si>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</si>
  <si>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</si>
  <si>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</si>
  <si>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</si>
  <si>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</si>
  <si>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</si>
  <si>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</si>
  <si>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</si>
  <si>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</si>
  <si>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</si>
  <si>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</si>
  <si>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</si>
  <si>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</si>
  <si>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</si>
  <si>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</si>
  <si>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</si>
  <si>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</si>
  <si>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</si>
  <si>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</si>
  <si>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</si>
  <si>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</si>
  <si>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</si>
  <si>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</si>
  <si>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</si>
  <si>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</si>
  <si>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</si>
  <si>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</si>
  <si>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</si>
  <si>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</si>
  <si>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</si>
  <si>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</si>
  <si>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</si>
  <si>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</si>
  <si>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</si>
  <si>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</si>
  <si>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</si>
  <si>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</si>
  <si>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</si>
  <si>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</si>
  <si>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</si>
  <si>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</si>
  <si>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</si>
  <si>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</si>
  <si>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</si>
  <si>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</si>
  <si>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</si>
  <si>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</si>
  <si>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</si>
  <si>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</si>
  <si>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</si>
  <si>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</si>
  <si>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</si>
  <si>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</si>
  <si>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</si>
  <si>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</si>
  <si>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</si>
  <si>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</si>
  <si>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</si>
  <si>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</si>
  <si>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</si>
  <si>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</si>
  <si>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</si>
  <si>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</si>
  <si>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</si>
  <si>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</si>
  <si>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</si>
  <si>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</si>
  <si>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</si>
  <si>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</si>
  <si>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</si>
  <si>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</si>
  <si>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</si>
  <si>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</si>
  <si>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</si>
  <si>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</si>
  <si>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</si>
  <si>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</si>
  <si>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</si>
  <si>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</si>
  <si>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</si>
  <si>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</si>
  <si>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</si>
  <si>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</si>
  <si>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</si>
  <si>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</si>
  <si>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</si>
  <si>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</si>
  <si>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</si>
  <si>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</si>
  <si>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</si>
  <si>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</si>
  <si>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</si>
  <si>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</si>
  <si>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</si>
  <si>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</si>
  <si>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</si>
  <si>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</si>
  <si>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</si>
  <si>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</si>
  <si>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</si>
  <si>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</si>
  <si>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</si>
  <si>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</si>
  <si>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</si>
  <si>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</si>
  <si>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</si>
  <si>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</si>
  <si>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</si>
  <si>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</si>
  <si>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</si>
  <si>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</si>
  <si>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2014</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</si>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</sst>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20930.725633316801</v>
      </c>
      <c r="F22" s="3384" t="str">
        <f t="shared" si="0"/>
        <v>NA</v>
      </c>
      <c r="G22" s="3360">
        <v>322.52345407701802</v>
      </c>
      <c r="H22" s="3339">
        <f t="shared" si="1"/>
        <v>1182.5859982823993</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25290</v>
      </c>
      <c r="F24" s="3384" t="str">
        <f t="shared" si="0"/>
        <v>NA</v>
      </c>
      <c r="G24" s="3360">
        <v>556.60990909090913</v>
      </c>
      <c r="H24" s="3339">
        <f t="shared" si="1"/>
        <v>2040.9030000000002</v>
      </c>
      <c r="I24" s="2599" t="s">
        <v>205</v>
      </c>
      <c r="J24" s="2600"/>
      <c r="M24" s="125"/>
    </row>
    <row r="25" spans="2:13" ht="18" customHeight="1" x14ac:dyDescent="0.2">
      <c r="B25" s="165"/>
      <c r="C25" s="1566"/>
      <c r="D25" s="1451" t="s">
        <v>458</v>
      </c>
      <c r="E25" s="3379">
        <v>13012.71</v>
      </c>
      <c r="F25" s="3384" t="str">
        <f t="shared" si="0"/>
        <v>NA</v>
      </c>
      <c r="G25" s="3360">
        <v>247.12910750454549</v>
      </c>
      <c r="H25" s="3339">
        <f t="shared" si="1"/>
        <v>906.14006085000017</v>
      </c>
      <c r="I25" s="2599" t="s">
        <v>205</v>
      </c>
      <c r="J25" s="2600"/>
      <c r="M25" s="125"/>
    </row>
    <row r="26" spans="2:13" ht="18" customHeight="1" x14ac:dyDescent="0.2">
      <c r="B26" s="165"/>
      <c r="C26" s="1566"/>
      <c r="D26" s="1451" t="s">
        <v>459</v>
      </c>
      <c r="E26" s="3383">
        <v>23403.346958800004</v>
      </c>
      <c r="F26" s="3384">
        <f t="shared" si="0"/>
        <v>28.775999651034109</v>
      </c>
      <c r="G26" s="3360">
        <v>673.45470391945901</v>
      </c>
      <c r="H26" s="3339">
        <f t="shared" si="1"/>
        <v>2469.3339143713497</v>
      </c>
      <c r="I26" s="3360">
        <v>2469.3339143713501</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39924.902345762704</v>
      </c>
      <c r="F28" s="3384">
        <f>IF(I28="NA","NA",I28/(44/12)*1000/E28)</f>
        <v>1.0364649596337367</v>
      </c>
      <c r="G28" s="3360">
        <v>735.98937315272724</v>
      </c>
      <c r="H28" s="3339">
        <f>IF(G28="NA","NA",IF(G28="NO","NO",G28*44/12))</f>
        <v>2698.6277015599999</v>
      </c>
      <c r="I28" s="3360">
        <v>151.72946175999999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122561.68493787952</v>
      </c>
      <c r="F31" s="3324">
        <f t="shared" ref="F31" si="3">IF(I31="NA","NA",I31/(44/12)*1000/E31)</f>
        <v>5.8324546254398824</v>
      </c>
      <c r="G31" s="3388">
        <f>SUM(G11:G29)</f>
        <v>2535.706547744659</v>
      </c>
      <c r="H31" s="3336">
        <f t="shared" ref="H31" si="4">IF(G31="NA","NA",IF(G31="NO","NO",G31*44/12))</f>
        <v>9297.5906750637496</v>
      </c>
      <c r="I31" s="3388">
        <f>SUM(I11:I29)</f>
        <v>2621.0633761313502</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v>21.698332870909098</v>
      </c>
      <c r="H34" s="3361">
        <f t="shared" ref="H34:H42" si="5">IF(G34="NA","NA",IF(G34="NO","NO",G34*44/12))</f>
        <v>79.560553860000027</v>
      </c>
      <c r="I34" s="2388" t="s">
        <v>274</v>
      </c>
      <c r="J34" s="2600"/>
      <c r="M34" s="125"/>
    </row>
    <row r="35" spans="2:13" ht="18" customHeight="1" x14ac:dyDescent="0.2">
      <c r="B35" s="1433"/>
      <c r="C35" s="1566"/>
      <c r="D35" s="1451" t="s">
        <v>392</v>
      </c>
      <c r="E35" s="3379">
        <v>13520.578020000001</v>
      </c>
      <c r="F35" s="3384">
        <f>IF(I35="NA","NA",I35/(44/12)*1000/E35)</f>
        <v>24.834621648681694</v>
      </c>
      <c r="G35" s="3364">
        <v>335.77843959818199</v>
      </c>
      <c r="H35" s="3361">
        <f t="shared" si="5"/>
        <v>1231.1876118600005</v>
      </c>
      <c r="I35" s="3360">
        <v>1231.1876118600001</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v>5.786603727273E-2</v>
      </c>
      <c r="H37" s="3339">
        <f t="shared" si="5"/>
        <v>0.21217547000001</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50029.0196717867</v>
      </c>
      <c r="F41" s="3384">
        <f t="shared" ref="F41" si="8">IF(I41="NA","NA",I41/(44/12)*1000/E41)</f>
        <v>29.238830892040767</v>
      </c>
      <c r="G41" s="3360">
        <v>1462.79004587795</v>
      </c>
      <c r="H41" s="3361">
        <f t="shared" si="5"/>
        <v>5363.5635015524831</v>
      </c>
      <c r="I41" s="3360">
        <v>5363.5635015524904</v>
      </c>
      <c r="J41" s="3381" t="s">
        <v>460</v>
      </c>
      <c r="M41" s="125"/>
    </row>
    <row r="42" spans="2:13" ht="18" customHeight="1" x14ac:dyDescent="0.2">
      <c r="B42" s="1433"/>
      <c r="C42" s="1567"/>
      <c r="D42" s="1451" t="s">
        <v>467</v>
      </c>
      <c r="E42" s="3379">
        <v>22944.400798532944</v>
      </c>
      <c r="F42" s="3384">
        <f>IF(I42="NA","NA",I42/(44/12)*1000/E42)</f>
        <v>6.0496997279599798</v>
      </c>
      <c r="G42" s="3360">
        <v>386.505561550908</v>
      </c>
      <c r="H42" s="3361">
        <f t="shared" si="5"/>
        <v>1417.187059019996</v>
      </c>
      <c r="I42" s="3360">
        <v>508.95802931999481</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86493.998490319645</v>
      </c>
      <c r="F45" s="3308">
        <f>IF(I45="NA","NA",I45/(44/12)*1000/E45)</f>
        <v>22.398955471599031</v>
      </c>
      <c r="G45" s="3388">
        <f>SUM(G33:G43)</f>
        <v>2206.8302459352217</v>
      </c>
      <c r="H45" s="3336">
        <f t="shared" ref="H45" si="9">IF(G45="NA","NA",IF(G45="NO","NO",G45*44/12))</f>
        <v>8091.7109017624798</v>
      </c>
      <c r="I45" s="3388">
        <f>SUM(I33:I43)</f>
        <v>7103.7091427324858</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56191.786691699985</v>
      </c>
      <c r="F47" s="3384">
        <f t="shared" ref="F47" si="10">IF(I47="NA","NA",I47/(44/12)*1000/E47)</f>
        <v>14.021432274345001</v>
      </c>
      <c r="G47" s="3360">
        <v>787.88933147211208</v>
      </c>
      <c r="H47" s="3339">
        <f t="shared" ref="H47" si="11">IF(G47="NA","NA",IF(G47="NO","NO",G47*44/12))</f>
        <v>2888.9275487310774</v>
      </c>
      <c r="I47" s="3360">
        <v>2888.9275487310774</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56191.786691699985</v>
      </c>
      <c r="F50" s="3308">
        <f>IF(I50="NA","NA",I50/(44/12)*1000/E50)</f>
        <v>14.021432274345001</v>
      </c>
      <c r="G50" s="3388">
        <f>SUM(G47:G48)</f>
        <v>787.88933147211208</v>
      </c>
      <c r="H50" s="3362">
        <f t="shared" ref="H50" si="13">IF(G50="NA","NA",IF(G50="NO","NO",G50*44/12))</f>
        <v>2888.9275487310774</v>
      </c>
      <c r="I50" s="3388">
        <f>SUM(I47:I48)</f>
        <v>2888.9275487310774</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265247.47011989914</v>
      </c>
      <c r="F55" s="3319">
        <f t="shared" si="14"/>
        <v>12.96939803753814</v>
      </c>
      <c r="G55" s="3388">
        <f>SUM(G31,G45,G50,G54)</f>
        <v>5530.4261251519929</v>
      </c>
      <c r="H55" s="3363">
        <f t="shared" si="15"/>
        <v>20278.229125557307</v>
      </c>
      <c r="I55" s="3388">
        <f>SUM(I31,I45,I50,I54)</f>
        <v>12613.700067594913</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9"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625.40884885391995</v>
      </c>
      <c r="D10" s="3105"/>
      <c r="E10" s="3105"/>
      <c r="F10" s="3057">
        <f>SUM(F11,F18)</f>
        <v>994.0994845095189</v>
      </c>
      <c r="G10" s="3057">
        <f>SUM(G11,G18)</f>
        <v>1837.8700527484677</v>
      </c>
      <c r="H10" s="3057">
        <f>H11</f>
        <v>-534.98817567969706</v>
      </c>
      <c r="I10" s="3106" t="s">
        <v>199</v>
      </c>
      <c r="L10" s="3676"/>
    </row>
    <row r="11" spans="2:12" ht="18" customHeight="1" x14ac:dyDescent="0.2">
      <c r="B11" s="1251" t="s">
        <v>486</v>
      </c>
      <c r="C11" s="3014">
        <v>121.064159</v>
      </c>
      <c r="D11" s="3057">
        <f>IFERROR(SUM(F11,-H11)/$C$11,"NA")</f>
        <v>10.151786503016977</v>
      </c>
      <c r="E11" s="3057">
        <f>IFERROR(SUM(G11)/$C$11,"NA")</f>
        <v>14.039820429004655</v>
      </c>
      <c r="F11" s="3057">
        <f>SUM(F12:F16)</f>
        <v>694.02931965560435</v>
      </c>
      <c r="G11" s="3057">
        <f>SUM(G12:G16)</f>
        <v>1699.7190527484677</v>
      </c>
      <c r="H11" s="3057">
        <f>H12</f>
        <v>-534.98817567969706</v>
      </c>
      <c r="I11" s="3106" t="s">
        <v>199</v>
      </c>
    </row>
    <row r="12" spans="2:12" ht="18" customHeight="1" x14ac:dyDescent="0.2">
      <c r="B12" s="160" t="s">
        <v>487</v>
      </c>
      <c r="C12" s="3027"/>
      <c r="D12" s="3057">
        <f>IFERROR(SUM(F12,-H12)/$C$11,"NA")</f>
        <v>9.4850307506600071</v>
      </c>
      <c r="E12" s="3057">
        <f>IFERROR(SUM(G12)/$C$11,"NA")</f>
        <v>8.0133191108935726</v>
      </c>
      <c r="F12" s="3104">
        <v>613.30909523809532</v>
      </c>
      <c r="G12" s="3104">
        <v>970.12573895895821</v>
      </c>
      <c r="H12" s="3104">
        <v>-534.98817567969706</v>
      </c>
      <c r="I12" s="3015" t="s">
        <v>199</v>
      </c>
    </row>
    <row r="13" spans="2:12" ht="18" customHeight="1" x14ac:dyDescent="0.2">
      <c r="B13" s="160" t="s">
        <v>488</v>
      </c>
      <c r="C13" s="3027"/>
      <c r="D13" s="3057">
        <f>IFERROR(SUM(F13)/$C$11,"NA")</f>
        <v>0.35911174265280899</v>
      </c>
      <c r="E13" s="3057" t="s">
        <v>205</v>
      </c>
      <c r="F13" s="3104">
        <v>43.475561111286751</v>
      </c>
      <c r="G13" s="3104" t="s">
        <v>221</v>
      </c>
      <c r="H13" s="3104" t="s">
        <v>199</v>
      </c>
      <c r="I13" s="3015" t="s">
        <v>199</v>
      </c>
    </row>
    <row r="14" spans="2:12" ht="18" customHeight="1" x14ac:dyDescent="0.2">
      <c r="B14" s="160" t="s">
        <v>489</v>
      </c>
      <c r="C14" s="3442">
        <v>118</v>
      </c>
      <c r="D14" s="3057">
        <f>IFERROR(SUM(F14)/$C$11,"NA")</f>
        <v>0.28709991302890114</v>
      </c>
      <c r="E14" s="3057" t="s">
        <v>205</v>
      </c>
      <c r="F14" s="3104">
        <v>34.757509519817063</v>
      </c>
      <c r="G14" s="3104" t="s">
        <v>205</v>
      </c>
      <c r="H14" s="3104" t="s">
        <v>199</v>
      </c>
      <c r="I14" s="3015" t="s">
        <v>199</v>
      </c>
    </row>
    <row r="15" spans="2:12" ht="18" customHeight="1" x14ac:dyDescent="0.2">
      <c r="B15" s="160" t="s">
        <v>490</v>
      </c>
      <c r="C15" s="3014">
        <v>0.27707687802993902</v>
      </c>
      <c r="D15" s="3057">
        <f>IFERROR(SUM(F15)/$C15,"NA")</f>
        <v>8.9764032426282405</v>
      </c>
      <c r="E15" s="3057">
        <f>IFERROR(SUM(G15)/$C15,"NA")</f>
        <v>2633.1800725381154</v>
      </c>
      <c r="F15" s="3104">
        <v>2.487153786405254</v>
      </c>
      <c r="G15" s="3104">
        <v>729.59331378950935</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504.34468985391999</v>
      </c>
      <c r="D18" s="3057">
        <f>IFERROR(SUM(F18)/$C$18,"NA")</f>
        <v>0.59497040593572592</v>
      </c>
      <c r="E18" s="3057">
        <f>IFERROR(SUM(G18)/$C$18,"NA")</f>
        <v>0.27392178956025981</v>
      </c>
      <c r="F18" s="3057">
        <f>SUM(F19:F21)</f>
        <v>300.07016485391455</v>
      </c>
      <c r="G18" s="3109">
        <f t="shared" ref="G18" si="1">SUM(G19:G21)</f>
        <v>138.15099999999998</v>
      </c>
      <c r="H18" s="3057" t="s">
        <v>199</v>
      </c>
      <c r="I18" s="3106" t="s">
        <v>199</v>
      </c>
    </row>
    <row r="19" spans="2:9" ht="18" customHeight="1" x14ac:dyDescent="0.2">
      <c r="B19" s="160" t="s">
        <v>493</v>
      </c>
      <c r="C19" s="3027"/>
      <c r="D19" s="3057">
        <f>IFERROR(SUM(F19)/$C$18,"NA")</f>
        <v>0.59497040593572592</v>
      </c>
      <c r="E19" s="3057">
        <f>IFERROR(SUM(G19)/$C$18,"NA")</f>
        <v>0.27392178956025981</v>
      </c>
      <c r="F19" s="3104">
        <v>300.07016485391455</v>
      </c>
      <c r="G19" s="3104">
        <v>138.15099999999998</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6" workbookViewId="0">
      <selection activeCell="G18" sqref="G18"/>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200.04990489814813</v>
      </c>
      <c r="J10" s="3123">
        <f>IF(SUM(J11:J16)=0,"NO",SUM(J11:J16))</f>
        <v>3.7926987804482053</v>
      </c>
      <c r="K10" s="4433">
        <f>IF(SUM(K11:K16)=0,"NO",SUM(K11:K16))</f>
        <v>6.0126316500000001E-3</v>
      </c>
      <c r="L10" s="3124" t="s">
        <v>199</v>
      </c>
    </row>
    <row r="11" spans="2:12" ht="18" customHeight="1" x14ac:dyDescent="0.2">
      <c r="B11" s="1251" t="s">
        <v>520</v>
      </c>
      <c r="C11" s="2190" t="s">
        <v>521</v>
      </c>
      <c r="D11" s="2190" t="s">
        <v>522</v>
      </c>
      <c r="E11" s="699">
        <v>71</v>
      </c>
      <c r="F11" s="1938" t="s">
        <v>205</v>
      </c>
      <c r="G11" s="1938" t="s">
        <v>205</v>
      </c>
      <c r="H11" s="1938" t="s">
        <v>205</v>
      </c>
      <c r="I11" s="3119" t="s">
        <v>199</v>
      </c>
      <c r="J11" s="4434" t="s">
        <v>199</v>
      </c>
      <c r="K11" s="4440" t="s">
        <v>199</v>
      </c>
      <c r="L11" s="3072" t="s">
        <v>199</v>
      </c>
    </row>
    <row r="12" spans="2:12" ht="18" customHeight="1" x14ac:dyDescent="0.2">
      <c r="B12" s="1251" t="s">
        <v>523</v>
      </c>
      <c r="C12" s="2190" t="s">
        <v>524</v>
      </c>
      <c r="D12" s="2190" t="s">
        <v>525</v>
      </c>
      <c r="E12" s="699">
        <v>745.16490399999986</v>
      </c>
      <c r="F12" s="1938" t="s">
        <v>205</v>
      </c>
      <c r="G12" s="1938">
        <f>J12*1000000/$E12</f>
        <v>2672.1071355540616</v>
      </c>
      <c r="H12" s="3075"/>
      <c r="I12" s="3125" t="s">
        <v>205</v>
      </c>
      <c r="J12" s="699">
        <v>1.9911604571428572</v>
      </c>
      <c r="K12" s="3027"/>
      <c r="L12" s="3072" t="s">
        <v>199</v>
      </c>
    </row>
    <row r="13" spans="2:12" ht="18" customHeight="1" x14ac:dyDescent="0.2">
      <c r="B13" s="1251" t="s">
        <v>526</v>
      </c>
      <c r="C13" s="2190" t="s">
        <v>527</v>
      </c>
      <c r="D13" s="2190" t="s">
        <v>525</v>
      </c>
      <c r="E13" s="699">
        <v>632.1168429999999</v>
      </c>
      <c r="F13" s="1938" t="s">
        <v>205</v>
      </c>
      <c r="G13" s="1938">
        <f>J13*1000000/$E13</f>
        <v>98.877939688153376</v>
      </c>
      <c r="H13" s="3075"/>
      <c r="I13" s="3125" t="s">
        <v>205</v>
      </c>
      <c r="J13" s="699">
        <v>6.2502411078019904E-2</v>
      </c>
      <c r="K13" s="3027"/>
      <c r="L13" s="3072" t="s">
        <v>199</v>
      </c>
    </row>
    <row r="14" spans="2:12" ht="18" customHeight="1" x14ac:dyDescent="0.2">
      <c r="B14" s="1251" t="s">
        <v>528</v>
      </c>
      <c r="C14" s="2190" t="s">
        <v>529</v>
      </c>
      <c r="D14" s="2190" t="s">
        <v>525</v>
      </c>
      <c r="E14" s="699">
        <v>1229.4963994562997</v>
      </c>
      <c r="F14" s="1938">
        <f>I14*1000000/$E14</f>
        <v>162708.81719264321</v>
      </c>
      <c r="G14" s="1938">
        <f>J14*1000000/$E14</f>
        <v>1341.3935631748445</v>
      </c>
      <c r="H14" s="1938">
        <f>K14*1000000/$E14</f>
        <v>4.8903206651592219</v>
      </c>
      <c r="I14" s="3125">
        <v>200.04990489814813</v>
      </c>
      <c r="J14" s="699">
        <v>1.649238556177328</v>
      </c>
      <c r="K14" s="4439">
        <v>6.0126316500000001E-3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8.9797356050000013E-2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3147</v>
      </c>
      <c r="F18" s="1938" t="s">
        <v>205</v>
      </c>
      <c r="G18" s="1938">
        <f>J18*1000000/$E18</f>
        <v>28.534272656498256</v>
      </c>
      <c r="H18" s="3126"/>
      <c r="I18" s="3128" t="s">
        <v>205</v>
      </c>
      <c r="J18" s="2215">
        <v>8.9797356050000013E-2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127.94771875777793</v>
      </c>
      <c r="J21" s="4437">
        <f>IF(SUM(J22:J27)=0,"NO",SUM(J22:J27))</f>
        <v>152.89153581478865</v>
      </c>
      <c r="K21" s="4438">
        <f>IF(SUM(K22:K27)=0,"NO",SUM(K22:K27))</f>
        <v>3.2804166372299996E-3</v>
      </c>
      <c r="L21" s="3047" t="str">
        <f>IF(SUM(L22:L27)=0,"NO",SUM(L22:L27))</f>
        <v>NO</v>
      </c>
    </row>
    <row r="22" spans="2:12" ht="18" customHeight="1" x14ac:dyDescent="0.2">
      <c r="B22" s="1468" t="s">
        <v>535</v>
      </c>
      <c r="C22" s="2190" t="s">
        <v>521</v>
      </c>
      <c r="D22" s="2190" t="s">
        <v>522</v>
      </c>
      <c r="E22" s="699">
        <v>1685.8376607226965</v>
      </c>
      <c r="F22" s="1938">
        <f>I22*1000000/$E22</f>
        <v>66081.741880668764</v>
      </c>
      <c r="G22" s="1938">
        <f>J22*1000000/$E22</f>
        <v>2985.9422844054229</v>
      </c>
      <c r="H22" s="1938">
        <f>K22*1000000/$E22</f>
        <v>1.9458674542978998</v>
      </c>
      <c r="I22" s="3119">
        <v>111.40308914858765</v>
      </c>
      <c r="J22" s="700">
        <v>5.033813955795023</v>
      </c>
      <c r="K22" s="4129">
        <v>3.2804166372299996E-3</v>
      </c>
      <c r="L22" s="3133" t="s">
        <v>199</v>
      </c>
    </row>
    <row r="23" spans="2:12" ht="18" customHeight="1" x14ac:dyDescent="0.2">
      <c r="B23" s="1251" t="s">
        <v>536</v>
      </c>
      <c r="C23" s="2190" t="s">
        <v>537</v>
      </c>
      <c r="D23" s="2190" t="s">
        <v>525</v>
      </c>
      <c r="E23" s="699">
        <v>3545.6795556664129</v>
      </c>
      <c r="F23" s="1938">
        <f>I23*1000000/$E23</f>
        <v>171.53490568119025</v>
      </c>
      <c r="G23" s="1938">
        <f>J23*1000000/$E23</f>
        <v>6721.0509054561217</v>
      </c>
      <c r="H23" s="3075"/>
      <c r="I23" s="3125">
        <v>0.60820780815696274</v>
      </c>
      <c r="J23" s="699">
        <v>23.830692788069001</v>
      </c>
      <c r="K23" s="3027"/>
      <c r="L23" s="3133" t="s">
        <v>199</v>
      </c>
    </row>
    <row r="24" spans="2:12" ht="18" customHeight="1" x14ac:dyDescent="0.2">
      <c r="B24" s="1251" t="s">
        <v>538</v>
      </c>
      <c r="C24" s="2190" t="s">
        <v>537</v>
      </c>
      <c r="D24" s="2190" t="s">
        <v>525</v>
      </c>
      <c r="E24" s="699">
        <v>3545.6795556664129</v>
      </c>
      <c r="F24" s="1938">
        <f t="shared" ref="F24:F26" si="0">I24*1000000/$E24</f>
        <v>1076.4382546073991</v>
      </c>
      <c r="G24" s="1938">
        <f t="shared" ref="G24:G26" si="1">J24*1000000/$E24</f>
        <v>6557.316469841192</v>
      </c>
      <c r="H24" s="1885"/>
      <c r="I24" s="699">
        <v>3.8167051122986919</v>
      </c>
      <c r="J24" s="699">
        <v>23.250142947150568</v>
      </c>
      <c r="K24" s="1939"/>
      <c r="L24" s="3072" t="str">
        <f>IF(Table1.C!E21="NO","NO",-Table1.C!E21)</f>
        <v>NO</v>
      </c>
    </row>
    <row r="25" spans="2:12" ht="18" customHeight="1" x14ac:dyDescent="0.2">
      <c r="B25" s="1251" t="s">
        <v>539</v>
      </c>
      <c r="C25" s="2190" t="s">
        <v>540</v>
      </c>
      <c r="D25" s="2190" t="s">
        <v>541</v>
      </c>
      <c r="E25" s="699">
        <v>28033</v>
      </c>
      <c r="F25" s="1938">
        <f t="shared" si="0"/>
        <v>20</v>
      </c>
      <c r="G25" s="1938">
        <f t="shared" si="1"/>
        <v>756.77492343207757</v>
      </c>
      <c r="H25" s="3075"/>
      <c r="I25" s="3125">
        <v>0.56066000000000005</v>
      </c>
      <c r="J25" s="699">
        <v>21.214671428571428</v>
      </c>
      <c r="K25" s="3027"/>
      <c r="L25" s="3072" t="s">
        <v>199</v>
      </c>
    </row>
    <row r="26" spans="2:12" ht="18" customHeight="1" x14ac:dyDescent="0.2">
      <c r="B26" s="1251" t="s">
        <v>542</v>
      </c>
      <c r="C26" s="2190" t="s">
        <v>543</v>
      </c>
      <c r="D26" s="2190" t="s">
        <v>525</v>
      </c>
      <c r="E26" s="699">
        <v>353.43341366666664</v>
      </c>
      <c r="F26" s="1938">
        <f t="shared" si="0"/>
        <v>31150.410507141394</v>
      </c>
      <c r="G26" s="1938">
        <f t="shared" si="1"/>
        <v>183396.2418083926</v>
      </c>
      <c r="H26" s="3075"/>
      <c r="I26" s="3125">
        <v>11.009595922656983</v>
      </c>
      <c r="J26" s="699">
        <v>64.818359795977642</v>
      </c>
      <c r="K26" s="3027"/>
      <c r="L26" s="3072" t="s">
        <v>199</v>
      </c>
    </row>
    <row r="27" spans="2:12" ht="18" customHeight="1" x14ac:dyDescent="0.2">
      <c r="B27" s="2436" t="s">
        <v>544</v>
      </c>
      <c r="C27" s="607"/>
      <c r="D27" s="607"/>
      <c r="E27" s="615"/>
      <c r="F27" s="615"/>
      <c r="G27" s="615"/>
      <c r="H27" s="3126"/>
      <c r="I27" s="1938">
        <f>IF(SUM(I29:I30)=0,"NO",SUM(I29:I30))</f>
        <v>0.54946076607763694</v>
      </c>
      <c r="J27" s="1938">
        <f>IF(SUM(J29:J30)=0,"NO",SUM(J29:J30))</f>
        <v>14.743854899224988</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0.54946076607763694</v>
      </c>
      <c r="J29" s="3128">
        <v>14.451710194974989</v>
      </c>
      <c r="K29" s="3110"/>
      <c r="L29" s="3080" t="s">
        <v>199</v>
      </c>
    </row>
    <row r="30" spans="2:12" ht="18" customHeight="1" thickBot="1" x14ac:dyDescent="0.25">
      <c r="B30" s="2437" t="s">
        <v>547</v>
      </c>
      <c r="C30" s="2190" t="s">
        <v>533</v>
      </c>
      <c r="D30" s="2190" t="s">
        <v>522</v>
      </c>
      <c r="E30" s="699">
        <v>15553</v>
      </c>
      <c r="F30" s="1938" t="s">
        <v>205</v>
      </c>
      <c r="G30" s="1938">
        <f t="shared" ref="G30" si="2">J30*1000000/$E30</f>
        <v>18.783816900276474</v>
      </c>
      <c r="H30" s="3126"/>
      <c r="I30" s="3128" t="s">
        <v>205</v>
      </c>
      <c r="J30" s="3128">
        <v>0.29214470425</v>
      </c>
      <c r="K30" s="3110"/>
      <c r="L30" s="3080" t="s">
        <v>199</v>
      </c>
    </row>
    <row r="31" spans="2:12" ht="18" customHeight="1" x14ac:dyDescent="0.2">
      <c r="B31" s="1254" t="s">
        <v>548</v>
      </c>
      <c r="C31" s="2192"/>
      <c r="D31" s="2192"/>
      <c r="E31" s="3183"/>
      <c r="F31" s="3183"/>
      <c r="G31" s="3183"/>
      <c r="H31" s="3183"/>
      <c r="I31" s="4437">
        <f>IF(SUM(I32,I36)=0,"NO",SUM(I32,I36))</f>
        <v>7114.7536728566847</v>
      </c>
      <c r="J31" s="3046">
        <f>IF(SUM(J32,J36)=0,"NO",SUM(J32,J36))</f>
        <v>66.153215453272765</v>
      </c>
      <c r="K31" s="3046">
        <f>IF(SUM(K32,K36)=0,"NO",SUM(K32,K36))</f>
        <v>0.10770340558162828</v>
      </c>
      <c r="L31" s="3047" t="str">
        <f>IF(SUM(L32,L36)=0,"NO",SUM(L32,L36))</f>
        <v>NO</v>
      </c>
    </row>
    <row r="32" spans="2:12" ht="18" customHeight="1" x14ac:dyDescent="0.2">
      <c r="B32" s="1467" t="s">
        <v>549</v>
      </c>
      <c r="C32" s="2195"/>
      <c r="D32" s="2195"/>
      <c r="E32" s="3007"/>
      <c r="F32" s="3007"/>
      <c r="G32" s="3007"/>
      <c r="H32" s="3007"/>
      <c r="I32" s="3134">
        <f>IF(SUM(I33:I35)=0,"NO",SUM(I33:I35))</f>
        <v>4120.0335673078271</v>
      </c>
      <c r="J32" s="1938">
        <f>IF(SUM(J33:J35)=0,"NO",SUM(J33:J35))</f>
        <v>52.263310583950002</v>
      </c>
      <c r="K32" s="1938">
        <f>IF(SUM(K33:K35)=0,"NO",SUM(K33:K35))</f>
        <v>6.9741935483870962E-3</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4290.8444596664131</v>
      </c>
      <c r="F35" s="1938">
        <f t="shared" ref="F35" si="3">SUM(I35,L35)*1000000/$E35</f>
        <v>960191.77717482089</v>
      </c>
      <c r="G35" s="1938">
        <f t="shared" ref="G35" si="4">J35*1000000/$E35</f>
        <v>12180.192285043388</v>
      </c>
      <c r="H35" s="1938">
        <f t="shared" ref="H35" si="5">K35*1000000/$E35</f>
        <v>1.6253661986454986</v>
      </c>
      <c r="I35" s="699">
        <v>4120.0335673078271</v>
      </c>
      <c r="J35" s="699">
        <v>52.263310583950002</v>
      </c>
      <c r="K35" s="699">
        <v>6.9741935483870962E-3</v>
      </c>
      <c r="L35" s="3072" t="s">
        <v>199</v>
      </c>
    </row>
    <row r="36" spans="2:12" ht="18" customHeight="1" x14ac:dyDescent="0.2">
      <c r="B36" s="1467" t="s">
        <v>554</v>
      </c>
      <c r="C36" s="2195"/>
      <c r="D36" s="2195"/>
      <c r="E36" s="3007"/>
      <c r="F36" s="3007"/>
      <c r="G36" s="3007"/>
      <c r="H36" s="3007"/>
      <c r="I36" s="3134">
        <f>IF(SUM(I37:I39)=0,"NO",SUM(I37:I39))</f>
        <v>2994.7201055488572</v>
      </c>
      <c r="J36" s="3134">
        <f>IF(SUM(J37:J39)=0,"NO",SUM(J37:J39))</f>
        <v>13.889904869322756</v>
      </c>
      <c r="K36" s="1938">
        <f>IF(SUM(K37:K39)=0,"NO",SUM(K37:K39))</f>
        <v>0.10072921203324117</v>
      </c>
      <c r="L36" s="3044" t="str">
        <f>IF(SUM(L37:L39)=0,"NO",SUM(L37:L39))</f>
        <v>NO</v>
      </c>
    </row>
    <row r="37" spans="2:12" ht="18" customHeight="1" x14ac:dyDescent="0.2">
      <c r="B37" s="1469" t="s">
        <v>555</v>
      </c>
      <c r="C37" s="277" t="s">
        <v>556</v>
      </c>
      <c r="D37" s="277" t="s">
        <v>525</v>
      </c>
      <c r="E37" s="699">
        <v>8.90468228905163</v>
      </c>
      <c r="F37" s="1938">
        <f t="shared" ref="F37:F38" si="6">SUM(I37,L37)*1000000/$E37</f>
        <v>93806727.744782984</v>
      </c>
      <c r="G37" s="1938">
        <f t="shared" ref="G37:H38" si="7">J37*1000000/$E37</f>
        <v>1132150.1624370364</v>
      </c>
      <c r="H37" s="1938">
        <f t="shared" si="7"/>
        <v>2620.1189473542836</v>
      </c>
      <c r="I37" s="700">
        <v>835.31910714285721</v>
      </c>
      <c r="J37" s="700">
        <v>10.081437500000003</v>
      </c>
      <c r="K37" s="700">
        <v>2.3331326785714288E-2</v>
      </c>
      <c r="L37" s="3133" t="s">
        <v>199</v>
      </c>
    </row>
    <row r="38" spans="2:12" ht="18" customHeight="1" x14ac:dyDescent="0.2">
      <c r="B38" s="1469" t="s">
        <v>557</v>
      </c>
      <c r="C38" s="277" t="s">
        <v>556</v>
      </c>
      <c r="D38" s="277" t="s">
        <v>525</v>
      </c>
      <c r="E38" s="699">
        <v>48.677610189622143</v>
      </c>
      <c r="F38" s="1938">
        <f t="shared" si="6"/>
        <v>44361278.008392751</v>
      </c>
      <c r="G38" s="1938">
        <f t="shared" si="7"/>
        <v>78238.585552720921</v>
      </c>
      <c r="H38" s="1938">
        <f t="shared" si="7"/>
        <v>1590.0099644585221</v>
      </c>
      <c r="I38" s="699">
        <v>2159.4009984059999</v>
      </c>
      <c r="J38" s="699">
        <v>3.8084673693227518</v>
      </c>
      <c r="K38" s="699">
        <v>7.7397885247526887E-2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16" sqref="F1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41.713286112999242</v>
      </c>
      <c r="M9" s="3323">
        <f>100*C10/SUM(C10,'Table1.A(a)s3'!C16)</f>
        <v>58.286713887000758</v>
      </c>
    </row>
    <row r="10" spans="1:13" ht="18" customHeight="1" thickTop="1" thickBot="1" x14ac:dyDescent="0.25">
      <c r="B10" s="223" t="s">
        <v>603</v>
      </c>
      <c r="C10" s="3303">
        <f>IF(SUM(C11:C13)=0,"NO",SUM(C11:C13))</f>
        <v>170880</v>
      </c>
      <c r="D10" s="3304"/>
      <c r="E10" s="3305"/>
      <c r="F10" s="3305"/>
      <c r="G10" s="3303">
        <f>IF(SUM(G11:G13)=0,"NO",SUM(G11:G13))</f>
        <v>11893.248</v>
      </c>
      <c r="H10" s="3303">
        <f>IF(SUM(H11:H13)=0,"NO",SUM(H11:H13))</f>
        <v>2.4198210000000005E-2</v>
      </c>
      <c r="I10" s="1154">
        <f>IF(SUM(I11:I13)=0,"NO",SUM(I11:I13))</f>
        <v>6.0041472922105266E-2</v>
      </c>
      <c r="J10" s="4"/>
      <c r="K10" s="68" t="s">
        <v>604</v>
      </c>
      <c r="L10" s="3324">
        <f>100-M10</f>
        <v>39.083746342970976</v>
      </c>
      <c r="M10" s="3325">
        <f>100*C14/SUM(C14,'Table1.A(a)s3'!C88)</f>
        <v>60.916253657029024</v>
      </c>
    </row>
    <row r="11" spans="1:13" ht="18" customHeight="1" x14ac:dyDescent="0.2">
      <c r="B11" s="1257" t="s">
        <v>293</v>
      </c>
      <c r="C11" s="3306">
        <v>170880</v>
      </c>
      <c r="D11" s="116">
        <f>IF(G11="NO","NA",G11*1000/$C11)</f>
        <v>69.599999999999994</v>
      </c>
      <c r="E11" s="116">
        <f t="shared" ref="E11:F13" si="0">IF(H11="NO","NA",H11*1000000/$C11)</f>
        <v>0.14160937500000004</v>
      </c>
      <c r="F11" s="116">
        <f t="shared" si="0"/>
        <v>0.3513662975310467</v>
      </c>
      <c r="G11" s="3041">
        <v>11893.248</v>
      </c>
      <c r="H11" s="3041">
        <v>2.4198210000000005E-2</v>
      </c>
      <c r="I11" s="3042">
        <v>6.0041472922105266E-2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30445</v>
      </c>
      <c r="D14" s="3313"/>
      <c r="E14" s="3314"/>
      <c r="F14" s="3315"/>
      <c r="G14" s="3387">
        <f>IF(SUM(G15:G18,G20:G22)=0,"NO",SUM(G15:G18,G20:G22))</f>
        <v>2235.0724999999998</v>
      </c>
      <c r="H14" s="3387">
        <f>IF(SUM(H15:H18,H20:H22)=0,"NO",SUM(H15:H18,H20:H22))</f>
        <v>0.21311500000000003</v>
      </c>
      <c r="I14" s="4428">
        <f>IF(SUM(I15:I18,I20:I22)=0,"NO",SUM(I15:I18,I20:I22))</f>
        <v>6.0890000000000007E-2</v>
      </c>
      <c r="J14" s="4"/>
      <c r="K14" s="1045"/>
      <c r="L14" s="1045"/>
      <c r="M14" s="1045"/>
    </row>
    <row r="15" spans="1:13" ht="18" customHeight="1" x14ac:dyDescent="0.2">
      <c r="B15" s="1259" t="s">
        <v>306</v>
      </c>
      <c r="C15" s="143">
        <v>28910</v>
      </c>
      <c r="D15" s="116">
        <f>IF(G15="NO","NA",G15*1000/$C15)</f>
        <v>73.599999999999994</v>
      </c>
      <c r="E15" s="116">
        <f t="shared" ref="E15:F17" si="1">IF(H15="NO","NA",H15*1000000/$C15)</f>
        <v>7.0000000000000009</v>
      </c>
      <c r="F15" s="116">
        <f t="shared" si="1"/>
        <v>2</v>
      </c>
      <c r="G15" s="3043">
        <v>2127.7759999999998</v>
      </c>
      <c r="H15" s="3043">
        <v>0.20237000000000002</v>
      </c>
      <c r="I15" s="135">
        <v>5.7820000000000003E-2</v>
      </c>
      <c r="J15" s="4"/>
      <c r="K15" s="1045"/>
      <c r="L15" s="1045"/>
      <c r="M15" s="1045"/>
    </row>
    <row r="16" spans="1:13" ht="18" customHeight="1" x14ac:dyDescent="0.2">
      <c r="B16" s="1259" t="s">
        <v>307</v>
      </c>
      <c r="C16" s="3316">
        <v>1535</v>
      </c>
      <c r="D16" s="116">
        <f>IF(G16="NO","NA",G16*1000/$C16)</f>
        <v>69.900000000000006</v>
      </c>
      <c r="E16" s="116">
        <f t="shared" si="1"/>
        <v>7.0000000000000009</v>
      </c>
      <c r="F16" s="116">
        <f t="shared" si="1"/>
        <v>2.0000000000000004</v>
      </c>
      <c r="G16" s="3043">
        <v>107.29650000000001</v>
      </c>
      <c r="H16" s="3043">
        <v>1.0745000000000001E-2</v>
      </c>
      <c r="I16" s="135">
        <v>3.0700000000000002E-3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19170.429333493204</v>
      </c>
      <c r="D10" s="2923">
        <f t="shared" ref="D10:N10" si="0">IF(SUM(D11,D16,D27,D35,D39,D45,D52,D57)=0,"NO",SUM(D11,D16,D27,D35,D39,D45,D52,D57))</f>
        <v>2.6007179785275616</v>
      </c>
      <c r="E10" s="2923">
        <f t="shared" si="0"/>
        <v>4.7415792911946166</v>
      </c>
      <c r="F10" s="2923">
        <f t="shared" si="0"/>
        <v>8837.371668775806</v>
      </c>
      <c r="G10" s="2923">
        <f t="shared" si="0"/>
        <v>173.10697875319798</v>
      </c>
      <c r="H10" s="2923" t="str">
        <f t="shared" si="0"/>
        <v>NO</v>
      </c>
      <c r="I10" s="2923">
        <f t="shared" si="0"/>
        <v>4.3475420467156238E-3</v>
      </c>
      <c r="J10" s="2923" t="str">
        <f t="shared" si="0"/>
        <v>NO</v>
      </c>
      <c r="K10" s="2923">
        <f t="shared" si="0"/>
        <v>6.1612072033099388</v>
      </c>
      <c r="L10" s="2924">
        <f t="shared" si="0"/>
        <v>15.078320432952427</v>
      </c>
      <c r="M10" s="2925">
        <f t="shared" si="0"/>
        <v>236.99285335702208</v>
      </c>
      <c r="N10" s="2926">
        <f t="shared" si="0"/>
        <v>1819.4223234821475</v>
      </c>
      <c r="O10" s="3002">
        <f t="shared" ref="O10:O58" si="1">IF(SUM(C10:J10)=0,"NO",SUM(C10,F10:H10)+28*SUM(D10)+265*SUM(E10)+23500*SUM(I10)+16100*SUM(J10))</f>
        <v>29612.413834685372</v>
      </c>
    </row>
    <row r="11" spans="1:15" ht="18" customHeight="1" x14ac:dyDescent="0.2">
      <c r="B11" s="1262" t="s">
        <v>621</v>
      </c>
      <c r="C11" s="2163">
        <f>IF(SUM(C12:C15)=0,"NO",SUM(C12:C15))</f>
        <v>6004.4444739685987</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6004.4444739685987</v>
      </c>
    </row>
    <row r="12" spans="1:15" ht="18" customHeight="1" x14ac:dyDescent="0.2">
      <c r="B12" s="1263" t="s">
        <v>622</v>
      </c>
      <c r="C12" s="2930">
        <f>'Table2(I).A-H'!H11</f>
        <v>3137.5666682912001</v>
      </c>
      <c r="D12" s="2162"/>
      <c r="E12" s="2162"/>
      <c r="F12" s="615"/>
      <c r="G12" s="615"/>
      <c r="H12" s="2161"/>
      <c r="I12" s="615"/>
      <c r="J12" s="2161"/>
      <c r="K12" s="2161"/>
      <c r="L12" s="2161"/>
      <c r="M12" s="2161"/>
      <c r="N12" s="2929" t="s">
        <v>199</v>
      </c>
      <c r="O12" s="2943">
        <f t="shared" si="1"/>
        <v>3137.5666682912001</v>
      </c>
    </row>
    <row r="13" spans="1:15" ht="18" customHeight="1" x14ac:dyDescent="0.2">
      <c r="B13" s="1263" t="s">
        <v>623</v>
      </c>
      <c r="C13" s="1884">
        <f>'Table2(I).A-H'!H12</f>
        <v>1185.9275469224776</v>
      </c>
      <c r="D13" s="2135"/>
      <c r="E13" s="2135"/>
      <c r="F13" s="615"/>
      <c r="G13" s="615"/>
      <c r="H13" s="2161"/>
      <c r="I13" s="615"/>
      <c r="J13" s="2161"/>
      <c r="K13" s="615"/>
      <c r="L13" s="615"/>
      <c r="M13" s="615"/>
      <c r="N13" s="1842"/>
      <c r="O13" s="1887">
        <f t="shared" si="1"/>
        <v>1185.9275469224776</v>
      </c>
    </row>
    <row r="14" spans="1:15" ht="18" customHeight="1" x14ac:dyDescent="0.2">
      <c r="B14" s="1263" t="s">
        <v>624</v>
      </c>
      <c r="C14" s="1884">
        <f>'Table2(I).A-H'!H13</f>
        <v>81.076104707709987</v>
      </c>
      <c r="D14" s="2135"/>
      <c r="E14" s="2135"/>
      <c r="F14" s="615"/>
      <c r="G14" s="615"/>
      <c r="H14" s="2161"/>
      <c r="I14" s="615"/>
      <c r="J14" s="2161"/>
      <c r="K14" s="615"/>
      <c r="L14" s="615"/>
      <c r="M14" s="615"/>
      <c r="N14" s="1842"/>
      <c r="O14" s="1887">
        <f t="shared" si="1"/>
        <v>81.076104707709987</v>
      </c>
    </row>
    <row r="15" spans="1:15" ht="18" customHeight="1" thickBot="1" x14ac:dyDescent="0.25">
      <c r="B15" s="1263" t="s">
        <v>625</v>
      </c>
      <c r="C15" s="1884">
        <f>'Table2(I).A-H'!H14</f>
        <v>1599.8741540472115</v>
      </c>
      <c r="D15" s="1885"/>
      <c r="E15" s="1885"/>
      <c r="F15" s="3003"/>
      <c r="G15" s="3003"/>
      <c r="H15" s="3003"/>
      <c r="I15" s="3003"/>
      <c r="J15" s="3003"/>
      <c r="K15" s="2622" t="s">
        <v>199</v>
      </c>
      <c r="L15" s="2622" t="s">
        <v>199</v>
      </c>
      <c r="M15" s="2622" t="s">
        <v>199</v>
      </c>
      <c r="N15" s="2623" t="s">
        <v>199</v>
      </c>
      <c r="O15" s="1887">
        <f t="shared" si="1"/>
        <v>1599.8741540472115</v>
      </c>
    </row>
    <row r="16" spans="1:15" ht="18" customHeight="1" x14ac:dyDescent="0.2">
      <c r="B16" s="1264" t="s">
        <v>626</v>
      </c>
      <c r="C16" s="2163">
        <f>IF(SUM(C17:C26)=0,"NO",SUM(C17:C26))</f>
        <v>3127.379594033554</v>
      </c>
      <c r="D16" s="2163">
        <f t="shared" ref="D16:N16" si="3">IF(SUM(D17:D26)=0,"NO",SUM(D17:D26))</f>
        <v>0.57776359999999993</v>
      </c>
      <c r="E16" s="2163">
        <f t="shared" si="3"/>
        <v>4.6936928492164975</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4387.3855798759259</v>
      </c>
    </row>
    <row r="17" spans="2:15" ht="18" customHeight="1" x14ac:dyDescent="0.2">
      <c r="B17" s="1265" t="s">
        <v>627</v>
      </c>
      <c r="C17" s="2930">
        <f>'Table2(I).A-H'!H23</f>
        <v>2543.0009776942097</v>
      </c>
      <c r="D17" s="2165" t="str">
        <f>'Table2(I).A-H'!I23</f>
        <v>NO</v>
      </c>
      <c r="E17" s="2165" t="str">
        <f>'Table2(I).A-H'!J23</f>
        <v>NO</v>
      </c>
      <c r="F17" s="2161"/>
      <c r="G17" s="2161"/>
      <c r="H17" s="2161"/>
      <c r="I17" s="2161"/>
      <c r="J17" s="2161"/>
      <c r="K17" s="700" t="s">
        <v>199</v>
      </c>
      <c r="L17" s="700" t="s">
        <v>199</v>
      </c>
      <c r="M17" s="700" t="s">
        <v>199</v>
      </c>
      <c r="N17" s="700" t="s">
        <v>199</v>
      </c>
      <c r="O17" s="2943">
        <f t="shared" si="1"/>
        <v>2543.0009776942097</v>
      </c>
    </row>
    <row r="18" spans="2:15" ht="18" customHeight="1" x14ac:dyDescent="0.2">
      <c r="B18" s="1263" t="s">
        <v>628</v>
      </c>
      <c r="C18" s="1935"/>
      <c r="D18" s="2162"/>
      <c r="E18" s="2165">
        <f>'Table2(I).A-H'!J24</f>
        <v>4.6936928492164975</v>
      </c>
      <c r="F18" s="615"/>
      <c r="G18" s="615"/>
      <c r="H18" s="2161"/>
      <c r="I18" s="615"/>
      <c r="J18" s="2161"/>
      <c r="K18" s="700" t="s">
        <v>199</v>
      </c>
      <c r="L18" s="615"/>
      <c r="M18" s="615"/>
      <c r="N18" s="1842"/>
      <c r="O18" s="2943">
        <f t="shared" si="1"/>
        <v>1243.8286050423719</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525.67596837135</v>
      </c>
      <c r="D22" s="1939"/>
      <c r="E22" s="615"/>
      <c r="F22" s="615"/>
      <c r="G22" s="615"/>
      <c r="H22" s="2161"/>
      <c r="I22" s="615"/>
      <c r="J22" s="2161"/>
      <c r="K22" s="1939"/>
      <c r="L22" s="1939"/>
      <c r="M22" s="1939"/>
      <c r="N22" s="2931"/>
      <c r="O22" s="1887">
        <f t="shared" si="1"/>
        <v>525.67596837135</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10.40784196799461</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10.40784196799461</v>
      </c>
    </row>
    <row r="27" spans="2:15" ht="18" customHeight="1" x14ac:dyDescent="0.2">
      <c r="B27" s="1262" t="s">
        <v>637</v>
      </c>
      <c r="C27" s="2163">
        <f>IF(SUM(C28:C34)=0,"NO",SUM(C28:C34))</f>
        <v>9608.8558369057646</v>
      </c>
      <c r="D27" s="2163">
        <f t="shared" ref="D27:N27" si="4">IF(SUM(D28:D34)=0,"NO",SUM(D28:D34))</f>
        <v>2.0229543785275617</v>
      </c>
      <c r="E27" s="2163">
        <f t="shared" si="4"/>
        <v>4.7886441978119261E-2</v>
      </c>
      <c r="F27" s="2164" t="str">
        <f t="shared" si="4"/>
        <v>NO</v>
      </c>
      <c r="G27" s="2164">
        <f t="shared" si="4"/>
        <v>173.10697875319798</v>
      </c>
      <c r="H27" s="2164" t="str">
        <f t="shared" si="4"/>
        <v>NO</v>
      </c>
      <c r="I27" s="2164" t="str">
        <f t="shared" si="4"/>
        <v>NO</v>
      </c>
      <c r="J27" s="2164" t="str">
        <f t="shared" si="4"/>
        <v>NO</v>
      </c>
      <c r="K27" s="2163">
        <f t="shared" si="4"/>
        <v>6.1612072033099388</v>
      </c>
      <c r="L27" s="2163">
        <f t="shared" si="4"/>
        <v>15.078320432952427</v>
      </c>
      <c r="M27" s="2927">
        <f t="shared" si="4"/>
        <v>5.8830747934416977E-2</v>
      </c>
      <c r="N27" s="2928">
        <f t="shared" si="4"/>
        <v>1819.4223234821475</v>
      </c>
      <c r="O27" s="2950">
        <f t="shared" si="1"/>
        <v>9851.2954453819366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2702.3783482352073</v>
      </c>
      <c r="D30" s="1885"/>
      <c r="E30" s="615"/>
      <c r="F30" s="615"/>
      <c r="G30" s="2166">
        <f>SUM('Table2(II)'!X41:Y41)</f>
        <v>173.10697875319798</v>
      </c>
      <c r="H30" s="2162"/>
      <c r="I30" s="2168" t="s">
        <v>199</v>
      </c>
      <c r="J30" s="2161"/>
      <c r="K30" s="699" t="s">
        <v>205</v>
      </c>
      <c r="L30" s="699" t="s">
        <v>205</v>
      </c>
      <c r="M30" s="699" t="s">
        <v>205</v>
      </c>
      <c r="N30" s="2921">
        <v>45.411575779999993</v>
      </c>
      <c r="O30" s="1887">
        <f t="shared" si="1"/>
        <v>2875.4853269884052</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6906.4774886705563</v>
      </c>
      <c r="D34" s="1888">
        <f>'Table2(I).A-H'!I67</f>
        <v>2.0229543785275617</v>
      </c>
      <c r="E34" s="1888">
        <f>'Table2(I).A-H'!J67</f>
        <v>4.7886441978119261E-2</v>
      </c>
      <c r="F34" s="2172" t="s">
        <v>199</v>
      </c>
      <c r="G34" s="2172" t="s">
        <v>199</v>
      </c>
      <c r="H34" s="2172" t="s">
        <v>199</v>
      </c>
      <c r="I34" s="2172" t="s">
        <v>199</v>
      </c>
      <c r="J34" s="2172" t="s">
        <v>199</v>
      </c>
      <c r="K34" s="2622">
        <v>6.1612072033099388</v>
      </c>
      <c r="L34" s="2622">
        <v>15.078320432952427</v>
      </c>
      <c r="M34" s="2622">
        <v>5.8830747934416977E-2</v>
      </c>
      <c r="N34" s="2623">
        <v>1774.0107477021475</v>
      </c>
      <c r="O34" s="1890">
        <f t="shared" si="1"/>
        <v>6975.8101183935296</v>
      </c>
    </row>
    <row r="35" spans="2:15" ht="18" customHeight="1" x14ac:dyDescent="0.2">
      <c r="B35" s="2489" t="s">
        <v>645</v>
      </c>
      <c r="C35" s="2930">
        <f>IF(SUM(C36:C38)=0,"NO",SUM(C36:C38))</f>
        <v>228.05065580499999</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185.8346670942193</v>
      </c>
      <c r="N35" s="2077" t="str">
        <f t="shared" ref="N35" si="7">IF(SUM(N36:N38)=0,"NO",SUM(N36:N38))</f>
        <v>NO</v>
      </c>
      <c r="O35" s="2943">
        <f t="shared" si="1"/>
        <v>228.05065580499999</v>
      </c>
    </row>
    <row r="36" spans="2:15" ht="18" customHeight="1" x14ac:dyDescent="0.2">
      <c r="B36" s="1269" t="s">
        <v>646</v>
      </c>
      <c r="C36" s="1884">
        <f>'Table2(I).A-H'!H73</f>
        <v>228.05065580499999</v>
      </c>
      <c r="D36" s="2166" t="str">
        <f>'Table2(I).A-H'!I73</f>
        <v>NO</v>
      </c>
      <c r="E36" s="2166" t="str">
        <f>'Table2(I).A-H'!J73</f>
        <v>NO</v>
      </c>
      <c r="F36" s="615"/>
      <c r="G36" s="615"/>
      <c r="H36" s="2161"/>
      <c r="I36" s="615"/>
      <c r="J36" s="2161"/>
      <c r="K36" s="2173" t="s">
        <v>205</v>
      </c>
      <c r="L36" s="2173" t="s">
        <v>205</v>
      </c>
      <c r="M36" s="699" t="s">
        <v>205</v>
      </c>
      <c r="N36" s="2167" t="s">
        <v>205</v>
      </c>
      <c r="O36" s="1887">
        <f t="shared" si="1"/>
        <v>228.05065580499999</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185.8346670942193</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8837.371668775806</v>
      </c>
      <c r="G45" s="2163" t="str">
        <f t="shared" ref="G45:J45" si="9">IF(SUM(G46:G51)=0,"NO",SUM(G46:G51))</f>
        <v>NO</v>
      </c>
      <c r="H45" s="2930" t="str">
        <f t="shared" si="9"/>
        <v>NO</v>
      </c>
      <c r="I45" s="2930" t="str">
        <f t="shared" si="9"/>
        <v>NO</v>
      </c>
      <c r="J45" s="2165" t="str">
        <f t="shared" si="9"/>
        <v>NO</v>
      </c>
      <c r="K45" s="1955"/>
      <c r="L45" s="1955"/>
      <c r="M45" s="1955"/>
      <c r="N45" s="2178"/>
      <c r="O45" s="2950">
        <f t="shared" si="1"/>
        <v>8837.371668775806</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8462.9838296511753</v>
      </c>
      <c r="G46" s="1884" t="s">
        <v>199</v>
      </c>
      <c r="H46" s="1884" t="s">
        <v>199</v>
      </c>
      <c r="I46" s="1884" t="s">
        <v>199</v>
      </c>
      <c r="J46" s="2165" t="str">
        <f t="shared" ref="J46" si="10">IF(SUM(J47:J52)=0,"NO",SUM(J47:J52))</f>
        <v>NO</v>
      </c>
      <c r="K46" s="615"/>
      <c r="L46" s="615"/>
      <c r="M46" s="615"/>
      <c r="N46" s="1842"/>
      <c r="O46" s="1887">
        <f t="shared" si="1"/>
        <v>8462.9838296511753</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70.641113130876164</v>
      </c>
      <c r="G47" s="1884" t="s">
        <v>199</v>
      </c>
      <c r="H47" s="1884" t="s">
        <v>199</v>
      </c>
      <c r="I47" s="1884" t="s">
        <v>199</v>
      </c>
      <c r="J47" s="2165" t="str">
        <f t="shared" ref="J47" si="11">IF(SUM(J48:J53)=0,"NO",SUM(J48:J53))</f>
        <v>NO</v>
      </c>
      <c r="K47" s="615"/>
      <c r="L47" s="615"/>
      <c r="M47" s="615"/>
      <c r="N47" s="1842"/>
      <c r="O47" s="1887">
        <f t="shared" si="1"/>
        <v>70.641113130876164</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72.969348919314001</v>
      </c>
      <c r="G48" s="1884" t="s">
        <v>199</v>
      </c>
      <c r="H48" s="1884" t="s">
        <v>199</v>
      </c>
      <c r="I48" s="1884" t="s">
        <v>199</v>
      </c>
      <c r="J48" s="2165" t="str">
        <f t="shared" ref="J48" si="12">IF(SUM(J49:J54)=0,"NO",SUM(J49:J54))</f>
        <v>NO</v>
      </c>
      <c r="K48" s="615"/>
      <c r="L48" s="615"/>
      <c r="M48" s="615"/>
      <c r="N48" s="1842"/>
      <c r="O48" s="1887">
        <f t="shared" si="1"/>
        <v>72.969348919314001</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135.59134443225327</v>
      </c>
      <c r="G49" s="1884" t="s">
        <v>199</v>
      </c>
      <c r="H49" s="1884" t="s">
        <v>199</v>
      </c>
      <c r="I49" s="1884" t="s">
        <v>199</v>
      </c>
      <c r="J49" s="2165" t="str">
        <f t="shared" ref="J49" si="13">IF(SUM(J50:J55)=0,"NO",SUM(J50:J55))</f>
        <v>NO</v>
      </c>
      <c r="K49" s="615"/>
      <c r="L49" s="615"/>
      <c r="M49" s="615"/>
      <c r="N49" s="1842"/>
      <c r="O49" s="1887">
        <f t="shared" si="1"/>
        <v>135.59134443225327</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95.186032642186618</v>
      </c>
      <c r="G50" s="1884" t="s">
        <v>199</v>
      </c>
      <c r="H50" s="1884" t="s">
        <v>199</v>
      </c>
      <c r="I50" s="1884" t="s">
        <v>199</v>
      </c>
      <c r="J50" s="2165" t="str">
        <f t="shared" ref="J50" si="14">IF(SUM(J51:J56)=0,"NO",SUM(J51:J56))</f>
        <v>NO</v>
      </c>
      <c r="K50" s="615"/>
      <c r="L50" s="615"/>
      <c r="M50" s="615"/>
      <c r="N50" s="1842"/>
      <c r="O50" s="1887">
        <f t="shared" si="1"/>
        <v>95.186032642186618</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4.3475420467156238E-3</v>
      </c>
      <c r="J52" s="2165" t="str">
        <f t="shared" si="16"/>
        <v>NO</v>
      </c>
      <c r="K52" s="2165" t="str">
        <f t="shared" si="16"/>
        <v>NO</v>
      </c>
      <c r="L52" s="2165" t="str">
        <f t="shared" si="16"/>
        <v>NO</v>
      </c>
      <c r="M52" s="2165" t="str">
        <f t="shared" si="16"/>
        <v>NO</v>
      </c>
      <c r="N52" s="2077" t="str">
        <f t="shared" si="16"/>
        <v>NO</v>
      </c>
      <c r="O52" s="2943">
        <f t="shared" si="1"/>
        <v>102.16723809781716</v>
      </c>
    </row>
    <row r="53" spans="2:15" ht="18" customHeight="1" x14ac:dyDescent="0.2">
      <c r="B53" s="1269" t="s">
        <v>663</v>
      </c>
      <c r="C53" s="2161"/>
      <c r="D53" s="2161"/>
      <c r="E53" s="2161"/>
      <c r="F53" s="2930" t="s">
        <v>199</v>
      </c>
      <c r="G53" s="2930" t="s">
        <v>199</v>
      </c>
      <c r="H53" s="2930" t="s">
        <v>199</v>
      </c>
      <c r="I53" s="2930">
        <f>SUM('Table2(II).B-Hs2'!J163:M163)/1000</f>
        <v>3.5351042453342645E-3</v>
      </c>
      <c r="J53" s="2930" t="s">
        <v>199</v>
      </c>
      <c r="K53" s="2161"/>
      <c r="L53" s="2161"/>
      <c r="M53" s="2161"/>
      <c r="N53" s="2174"/>
      <c r="O53" s="2943">
        <f t="shared" si="1"/>
        <v>83.074949765355214</v>
      </c>
    </row>
    <row r="54" spans="2:15" ht="18" customHeight="1" x14ac:dyDescent="0.2">
      <c r="B54" s="1269" t="s">
        <v>664</v>
      </c>
      <c r="C54" s="2161"/>
      <c r="D54" s="2161"/>
      <c r="E54" s="2161"/>
      <c r="F54" s="2161"/>
      <c r="G54" s="2930" t="s">
        <v>199</v>
      </c>
      <c r="H54" s="3007"/>
      <c r="I54" s="2930">
        <f>SUM('Table2(II).B-Hs2'!J165:M165)/1000</f>
        <v>8.1243780138135955E-4</v>
      </c>
      <c r="J54" s="2161"/>
      <c r="K54" s="2161"/>
      <c r="L54" s="2161"/>
      <c r="M54" s="2161"/>
      <c r="N54" s="2174"/>
      <c r="O54" s="2943">
        <f t="shared" si="1"/>
        <v>19.092288332461948</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201.69877278028781</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48.256794834168375</v>
      </c>
      <c r="N57" s="2100" t="str">
        <f>N58</f>
        <v>NA</v>
      </c>
      <c r="O57" s="2950">
        <f t="shared" si="1"/>
        <v>201.69877278028781</v>
      </c>
    </row>
    <row r="58" spans="2:15" ht="18" customHeight="1" thickBot="1" x14ac:dyDescent="0.25">
      <c r="B58" s="2613" t="s">
        <v>668</v>
      </c>
      <c r="C58" s="2517">
        <f>'Table2(I).A-H'!H98</f>
        <v>201.69877278028781</v>
      </c>
      <c r="D58" s="2517" t="str">
        <f>'Table2(I).A-H'!I98</f>
        <v>NO</v>
      </c>
      <c r="E58" s="2517" t="str">
        <f>'Table2(I).A-H'!J98</f>
        <v>NO</v>
      </c>
      <c r="F58" s="2517" t="s">
        <v>199</v>
      </c>
      <c r="G58" s="2517" t="s">
        <v>199</v>
      </c>
      <c r="H58" s="2517" t="s">
        <v>199</v>
      </c>
      <c r="I58" s="2517" t="s">
        <v>199</v>
      </c>
      <c r="J58" s="2517" t="s">
        <v>199</v>
      </c>
      <c r="K58" s="2922" t="s">
        <v>205</v>
      </c>
      <c r="L58" s="2922" t="s">
        <v>205</v>
      </c>
      <c r="M58" s="2922">
        <v>48.256794834168375</v>
      </c>
      <c r="N58" s="2932" t="s">
        <v>205</v>
      </c>
      <c r="O58" s="2935">
        <f t="shared" si="1"/>
        <v>201.69877278028781</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35.550506588870356</v>
      </c>
      <c r="D10" s="4431">
        <f t="shared" ref="D10:X10" si="0">IF(SUM(D11,D16,D20,D26,D33,D37)=0,"NO",SUM(D11,D16,D20,D26,D33,D37))</f>
        <v>336.99002552044709</v>
      </c>
      <c r="E10" s="4431" t="str">
        <f t="shared" si="0"/>
        <v>NO</v>
      </c>
      <c r="F10" s="4431" t="str">
        <f t="shared" si="0"/>
        <v>NO</v>
      </c>
      <c r="G10" s="4431">
        <f t="shared" si="0"/>
        <v>798.76903205124324</v>
      </c>
      <c r="H10" s="4431">
        <f t="shared" si="0"/>
        <v>1.7036541165022521</v>
      </c>
      <c r="I10" s="4431">
        <f t="shared" si="0"/>
        <v>2110.9418851703326</v>
      </c>
      <c r="J10" s="4431" t="str">
        <f t="shared" si="0"/>
        <v>NO</v>
      </c>
      <c r="K10" s="4431">
        <f t="shared" si="0"/>
        <v>546.5063694705126</v>
      </c>
      <c r="L10" s="2073" t="str">
        <f t="shared" si="0"/>
        <v>NO</v>
      </c>
      <c r="M10" s="2073">
        <f t="shared" si="0"/>
        <v>78.864639059538476</v>
      </c>
      <c r="N10" s="2073" t="str">
        <f t="shared" si="0"/>
        <v>NO</v>
      </c>
      <c r="O10" s="4431">
        <f t="shared" si="0"/>
        <v>32.883673377806424</v>
      </c>
      <c r="P10" s="2073" t="str">
        <f t="shared" si="0"/>
        <v>NO</v>
      </c>
      <c r="Q10" s="2073" t="str">
        <f t="shared" si="0"/>
        <v>NO</v>
      </c>
      <c r="R10" s="2073">
        <f t="shared" si="0"/>
        <v>2.7056684195564991</v>
      </c>
      <c r="S10" s="2073" t="str">
        <f t="shared" si="0"/>
        <v>NO</v>
      </c>
      <c r="T10" s="2073">
        <f t="shared" si="0"/>
        <v>85.040698434488746</v>
      </c>
      <c r="U10" s="2073">
        <f t="shared" si="0"/>
        <v>63.589500844986361</v>
      </c>
      <c r="V10" s="2074" t="str">
        <f t="shared" si="0"/>
        <v>NO</v>
      </c>
      <c r="W10" s="2075"/>
      <c r="X10" s="2073">
        <f t="shared" si="0"/>
        <v>22.08604974371648</v>
      </c>
      <c r="Y10" s="4431">
        <f t="shared" ref="Y10" si="1">IF(SUM(Y11,Y16,Y20,Y26,Y33,Y37)=0,"NO",SUM(Y11,Y16,Y20,Y26,Y33,Y37))</f>
        <v>2.4032854912033965</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4.3475420467156241</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22.08604974371648</v>
      </c>
      <c r="Y16" s="4432">
        <f t="shared" ref="Y16" si="35">IF(SUM(Y17:Y19)=0,"NO",SUM(Y17:Y19))</f>
        <v>2.4032854912033965</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22.08604974371648</v>
      </c>
      <c r="Y17" s="4432">
        <f>'Table2(II).B-Hs1'!G26</f>
        <v>2.4032854912033965</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35.550506588870356</v>
      </c>
      <c r="D26" s="4430">
        <f t="shared" ref="D26:AK26" si="58">IF(SUM(D27:D32)=0,"NO",SUM(D27:D32))</f>
        <v>336.99002552044709</v>
      </c>
      <c r="E26" s="2097" t="str">
        <f t="shared" si="58"/>
        <v>NO</v>
      </c>
      <c r="F26" s="2097" t="str">
        <f t="shared" si="58"/>
        <v>NO</v>
      </c>
      <c r="G26" s="4430">
        <f t="shared" si="58"/>
        <v>798.76903205124324</v>
      </c>
      <c r="H26" s="4430">
        <f t="shared" si="58"/>
        <v>1.7036541165022521</v>
      </c>
      <c r="I26" s="4430">
        <f t="shared" si="58"/>
        <v>2110.9418851703326</v>
      </c>
      <c r="J26" s="4430" t="str">
        <f t="shared" si="58"/>
        <v>NO</v>
      </c>
      <c r="K26" s="4430">
        <f t="shared" si="58"/>
        <v>546.5063694705126</v>
      </c>
      <c r="L26" s="2097" t="str">
        <f t="shared" si="58"/>
        <v>NO</v>
      </c>
      <c r="M26" s="2097">
        <f t="shared" si="58"/>
        <v>78.864639059538476</v>
      </c>
      <c r="N26" s="2097" t="str">
        <f t="shared" si="58"/>
        <v>NO</v>
      </c>
      <c r="O26" s="4430">
        <f t="shared" si="58"/>
        <v>32.883673377806424</v>
      </c>
      <c r="P26" s="2097" t="str">
        <f t="shared" si="58"/>
        <v>NO</v>
      </c>
      <c r="Q26" s="2097" t="str">
        <f t="shared" si="58"/>
        <v>NO</v>
      </c>
      <c r="R26" s="2097">
        <f t="shared" si="58"/>
        <v>2.7056684195564991</v>
      </c>
      <c r="S26" s="2097" t="str">
        <f t="shared" si="58"/>
        <v>NO</v>
      </c>
      <c r="T26" s="2097">
        <f t="shared" si="58"/>
        <v>85.040698434488746</v>
      </c>
      <c r="U26" s="2097">
        <f t="shared" si="58"/>
        <v>63.589500844986361</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34.044439192314108</v>
      </c>
      <c r="D27" s="4431">
        <f>IF(SUM('Table2(II).B-Hs2'!J14:M14,'Table2(II).B-Hs2'!J27:M27,'Table2(II).B-Hs2'!J40:M40,'Table2(II).B-Hs2'!J53:M53,'Table2(II).B-Hs2'!J66:M66,'Table2(II).B-Hs2'!J79:M79)=0,"NO",SUM('Table2(II).B-Hs2'!J14:M14,'Table2(II).B-Hs2'!J27:M27,'Table2(II).B-Hs2'!J40:M40,'Table2(II).B-Hs2'!J53:M53,'Table2(II).B-Hs2'!J66:M66,'Table2(II).B-Hs2'!J79:M79))</f>
        <v>322.71372571210924</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764.92985191062087</v>
      </c>
      <c r="H27" s="4431">
        <f>IF(SUM('Table2(II).B-Hs2'!J17:M17,'Table2(II).B-Hs2'!J30:M30,'Table2(II).B-Hs2'!J43:M43,'Table2(II).B-Hs2'!J56:M56,'Table2(II).B-Hs2'!J69:M69,'Table2(II).B-Hs2'!J82:M82)=0,"NO",SUM('Table2(II).B-Hs2'!J17:M17,'Table2(II).B-Hs2'!J30:M30,'Table2(II).B-Hs2'!J43:M43,'Table2(II).B-Hs2'!J56:M56,'Table2(II).B-Hs2'!J69:M69,'Table2(II).B-Hs2'!J82:M82))</f>
        <v>1.6314802386572553</v>
      </c>
      <c r="I27" s="4431">
        <f>IF(SUM('Table2(II).B-Hs2'!J18:M18,'Table2(II).B-Hs2'!J31:M31,'Table2(II).B-Hs2'!J44:M44,'Table2(II).B-Hs2'!J57:M57,'Table2(II).B-Hs2'!J70:M70,'Table2(II).B-Hs2'!J83:M83)=0,"NO",SUM('Table2(II).B-Hs2'!J18:M18,'Table2(II).B-Hs2'!J31:M31,'Table2(II).B-Hs2'!J44:M44,'Table2(II).B-Hs2'!J57:M57,'Table2(II).B-Hs2'!J70:M70,'Table2(II).B-Hs2'!J83:M83))</f>
        <v>2021.5136025850341</v>
      </c>
      <c r="J27" s="4431" t="s">
        <v>199</v>
      </c>
      <c r="K27" s="4431">
        <f>IF(SUM('Table2(II).B-Hs2'!J19:M19,'Table2(II).B-Hs2'!J32:M32,'Table2(II).B-Hs2'!J45:M45,'Table2(II).B-Hs2'!J58:M58,'Table2(II).B-Hs2'!J71:M71,'Table2(II).B-Hs2'!J84:M84)=0,"NO",SUM('Table2(II).B-Hs2'!J19:M19,'Table2(II).B-Hs2'!J32:M32,'Table2(II).B-Hs2'!J45:M45,'Table2(II).B-Hs2'!J58:M58,'Table2(II).B-Hs2'!J71:M71,'Table2(II).B-Hs2'!J84:M84))</f>
        <v>523.35408546543636</v>
      </c>
      <c r="L27" s="2073" t="s">
        <v>199</v>
      </c>
      <c r="M27" s="2073">
        <f>IF(SUM('Table2(II).B-Hs2'!J20:M20,'Table2(II).B-Hs2'!J33:M33,'Table2(II).B-Hs2'!J46:M46,'Table2(II).B-Hs2'!J59:M59,'Table2(II).B-Hs2'!J72:M72,'Table2(II).B-Hs2'!J85:M85)=0,"NO",SUM('Table2(II).B-Hs2'!J20:M20,'Table2(II).B-Hs2'!J33:M33,'Table2(II).B-Hs2'!J46:M46,'Table2(II).B-Hs2'!J59:M59,'Table2(II).B-Hs2'!J72:M72,'Table2(II).B-Hs2'!J85:M85))</f>
        <v>75.523604767050173</v>
      </c>
      <c r="N27" s="2073" t="s">
        <v>199</v>
      </c>
      <c r="O27" s="4431">
        <f>IF(SUM('Table2(II).B-Hs2'!J21:M21,'Table2(II).B-Hs2'!J34:M34,'Table2(II).B-Hs2'!J47:M47,'Table2(II).B-Hs2'!J60:M60,'Table2(II).B-Hs2'!J73:M73,'Table2(II).B-Hs2'!J86:M86)=0,"NO",SUM('Table2(II).B-Hs2'!J21:M21,'Table2(II).B-Hs2'!J34:M34,'Table2(II).B-Hs2'!J47:M47,'Table2(II).B-Hs2'!J60:M60,'Table2(II).B-Hs2'!J73:M73,'Table2(II).B-Hs2'!J86:M86))</f>
        <v>31.490584133648554</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2.5910450461201942</v>
      </c>
      <c r="S27" s="2073" t="s">
        <v>199</v>
      </c>
      <c r="T27" s="2073">
        <f>IF(SUM('Table2(II).B-Hs2'!J23:M23,'Table2(II).B-Hs2'!J36:M36,'Table2(II).B-Hs2'!J49:M49,'Table2(II).B-Hs2'!J62:M62,'Table2(II).B-Hs2'!J75:M75,'Table2(II).B-Hs2'!J88:M88)=0,"NO",SUM('Table2(II).B-Hs2'!J23:M23,'Table2(II).B-Hs2'!J36:M36,'Table2(II).B-Hs2'!J49:M49,'Table2(II).B-Hs2'!J62:M62,'Table2(II).B-Hs2'!J75:M75,'Table2(II).B-Hs2'!J88:M88))</f>
        <v>81.438020566245598</v>
      </c>
      <c r="U27" s="2073">
        <f>IF(SUM('Table2(II).B-Hs2'!J24:M24,'Table2(II).B-Hs2'!J37:M37,'Table2(II).B-Hs2'!J50:M50,'Table2(II).B-Hs2'!J63:M63,'Table2(II).B-Hs2'!J76:M76,'Table2(II).B-Hs2'!J89:M89)=0,"NO",SUM('Table2(II).B-Hs2'!J24:M24,'Table2(II).B-Hs2'!J37:M37,'Table2(II).B-Hs2'!J50:M50,'Table2(II).B-Hs2'!J63:M63,'Table2(II).B-Hs2'!J76:M76,'Table2(II).B-Hs2'!J89:M89))</f>
        <v>60.895584972184089</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0.28417129571197841</v>
      </c>
      <c r="D28" s="4431">
        <f>IF(SUM('Table2(II).B-Hs2'!J93:M93,'Table2(II).B-Hs2'!J106:M106)=0,"NO",SUM('Table2(II).B-Hs2'!J93:M93,'Table2(II).B-Hs2'!J106:M106))</f>
        <v>2.6937138562221832</v>
      </c>
      <c r="E28" s="2073" t="s">
        <v>199</v>
      </c>
      <c r="F28" s="2073" t="str">
        <f>IF(SUM('Table2(II).B-Hs2'!J94:M94,'Table2(II).B-Hs2'!J107:M107)=0,"NO",SUM('Table2(II).B-Hs2'!J94:M94,'Table2(II).B-Hs2'!J107:M107))</f>
        <v>NO</v>
      </c>
      <c r="G28" s="4431">
        <f>IF(SUM('Table2(II).B-Hs2'!J95:M95,'Table2(II).B-Hs2'!J108:M108)=0,"NO",SUM('Table2(II).B-Hs2'!J95:M95,'Table2(II).B-Hs2'!J108:M108))</f>
        <v>6.3849225395754701</v>
      </c>
      <c r="H28" s="4431">
        <f>IF(SUM('Table2(II).B-Hs2'!J96:M96,'Table2(II).B-Hs2'!J109:M109)=0,"NO",SUM('Table2(II).B-Hs2'!J96:M96,'Table2(II).B-Hs2'!J109:M109))</f>
        <v>1.3618078733174933E-2</v>
      </c>
      <c r="I28" s="4431">
        <f>IF(SUM('Table2(II).B-Hs2'!J97:M97,'Table2(II).B-Hs2'!J110:M110)=0,"NO",SUM('Table2(II).B-Hs2'!J97:M97,'Table2(II).B-Hs2'!J110:M110))</f>
        <v>16.87371427976608</v>
      </c>
      <c r="J28" s="4431" t="s">
        <v>199</v>
      </c>
      <c r="K28" s="4431">
        <f>IF(SUM('Table2(II).B-Hs2'!J98:M98,'Table2(II).B-Hs2'!J111:M111)=0,"NO",SUM('Table2(II).B-Hs2'!J98:M98,'Table2(II).B-Hs2'!J111:M111))</f>
        <v>4.3684728581590537</v>
      </c>
      <c r="L28" s="2073" t="s">
        <v>199</v>
      </c>
      <c r="M28" s="2073">
        <f>IF(SUM('Table2(II).B-Hs2'!J99:M99,'Table2(II).B-Hs2'!J112:M112)=0,"NO",SUM('Table2(II).B-Hs2'!J99:M99,'Table2(II).B-Hs2'!J112:M112))</f>
        <v>0.63040076830923941</v>
      </c>
      <c r="N28" s="2073" t="s">
        <v>199</v>
      </c>
      <c r="O28" s="4431">
        <f>IF(SUM('Table2(II).B-Hs2'!J100:M100,'Table2(II).B-Hs2'!J113:M113)=0,"NO",SUM('Table2(II).B-Hs2'!J100:M100,'Table2(II).B-Hs2'!J113:M113))</f>
        <v>0.26285409036804591</v>
      </c>
      <c r="P28" s="2073" t="s">
        <v>199</v>
      </c>
      <c r="Q28" s="2073" t="s">
        <v>199</v>
      </c>
      <c r="R28" s="2073">
        <f>IF(SUM('Table2(II).B-Hs2'!J101:M101,'Table2(II).B-Hs2'!J114:M114)=0,"NO",SUM('Table2(II).B-Hs2'!J101:M101,'Table2(II).B-Hs2'!J114:M114))</f>
        <v>2.1627632749206985E-2</v>
      </c>
      <c r="S28" s="2073" t="s">
        <v>199</v>
      </c>
      <c r="T28" s="2073">
        <f>IF(SUM('Table2(II).B-Hs2'!J102:M102,'Table2(II).B-Hs2'!J115:M115)=0,"NO",SUM('Table2(II).B-Hs2'!J102:M102,'Table2(II).B-Hs2'!J115:M115))</f>
        <v>0.67976880728742861</v>
      </c>
      <c r="U28" s="2073">
        <f>IF(SUM('Table2(II).B-Hs2'!J103:M103,'Table2(II).B-Hs2'!J116:M116)=0,"NO",SUM('Table2(II).B-Hs2'!J103:M103,'Table2(II).B-Hs2'!J116:M116))</f>
        <v>0.50829967228807138</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0.29353719824946539</v>
      </c>
      <c r="D29" s="4431">
        <f>IF(SUM('Table2(II).B-Hs2'!J119:M119)=0,"NO",SUM('Table2(II).B-Hs2'!J119:M119))</f>
        <v>2.7824950308937653</v>
      </c>
      <c r="E29" s="2073" t="s">
        <v>199</v>
      </c>
      <c r="F29" s="2073" t="str">
        <f>IF(SUM('Table2(II).B-Hs2'!J120:M120)=0,"NO",SUM('Table2(II).B-Hs2'!J120:M120))</f>
        <v>NO</v>
      </c>
      <c r="G29" s="4431">
        <f>IF(SUM('Table2(II).B-Hs2'!J121:M121)=0,"NO",SUM('Table2(II).B-Hs2'!J121:M121))</f>
        <v>6.5953609727227738</v>
      </c>
      <c r="H29" s="4431">
        <f>IF(SUM('Table2(II).B-Hs2'!J122:M122)=0,"NO",SUM('Table2(II).B-Hs2'!J122:M122))</f>
        <v>1.4066912236372995E-2</v>
      </c>
      <c r="I29" s="4431">
        <f>IF(SUM('Table2(II).B-Hs2'!J123:M123)=0,"NO",SUM('Table2(II).B-Hs2'!J123:M123))</f>
        <v>17.429849138474225</v>
      </c>
      <c r="J29" s="4431" t="s">
        <v>199</v>
      </c>
      <c r="K29" s="4431">
        <f>IF(SUM('Table2(II).B-Hs2'!J124:M124)=0,"NO",SUM('Table2(II).B-Hs2'!J124:M124))</f>
        <v>4.5124518301543244</v>
      </c>
      <c r="L29" s="2073" t="s">
        <v>199</v>
      </c>
      <c r="M29" s="2073">
        <f>IF(SUM('Table2(II).B-Hs2'!J125:M125)=0,"NO",SUM('Table2(II).B-Hs2'!J125:M125))</f>
        <v>0.6511779271730449</v>
      </c>
      <c r="N29" s="2073" t="s">
        <v>199</v>
      </c>
      <c r="O29" s="4431">
        <f>IF(SUM('Table2(II).B-Hs2'!J126:M126)=0,"NO",SUM('Table2(II).B-Hs2'!J126:M126))</f>
        <v>0.27151740657596485</v>
      </c>
      <c r="P29" s="2073" t="s">
        <v>199</v>
      </c>
      <c r="Q29" s="2073" t="s">
        <v>199</v>
      </c>
      <c r="R29" s="2073">
        <f>IF(SUM('Table2(II).B-Hs2'!J127:M127)=0,"NO",SUM('Table2(II).B-Hs2'!J127:M127))</f>
        <v>2.2340450347262144E-2</v>
      </c>
      <c r="S29" s="2073" t="s">
        <v>199</v>
      </c>
      <c r="T29" s="2073">
        <f>IF(SUM('Table2(II).B-Hs2'!J128:M128)=0,"NO",SUM('Table2(II).B-Hs2'!J128:M128))</f>
        <v>0.70217307011463093</v>
      </c>
      <c r="U29" s="2073">
        <f>IF(SUM('Table2(II).B-Hs2'!J129:M129)=0,"NO",SUM('Table2(II).B-Hs2'!J129:M129))</f>
        <v>0.52505254375089427</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0.54544961605087128</v>
      </c>
      <c r="D30" s="4431">
        <f>IF(SUM('Table2(II).B-Hs2'!J133:M133)=0,"NO",SUM('Table2(II).B-Hs2'!J133:M133))</f>
        <v>5.1704208370028137</v>
      </c>
      <c r="E30" s="2073" t="s">
        <v>199</v>
      </c>
      <c r="F30" s="2073" t="str">
        <f>IF(SUM('Table2(II).B-Hs2'!J134:M134)=0,"NO",SUM('Table2(II).B-Hs2'!J134:M134))</f>
        <v>NO</v>
      </c>
      <c r="G30" s="4431">
        <f>IF(SUM('Table2(II).B-Hs2'!J135:M135)=0,"NO",SUM('Table2(II).B-Hs2'!J135:M135))</f>
        <v>12.255472668343797</v>
      </c>
      <c r="H30" s="4431">
        <f>IF(SUM('Table2(II).B-Hs2'!J136:M136)=0,"NO",SUM('Table2(II).B-Hs2'!J136:M136))</f>
        <v>2.6139078536241117E-2</v>
      </c>
      <c r="I30" s="4431">
        <f>IF(SUM('Table2(II).B-Hs2'!J137:M137)=0,"NO",SUM('Table2(II).B-Hs2'!J137:M137))</f>
        <v>32.388074074092891</v>
      </c>
      <c r="J30" s="4431" t="s">
        <v>199</v>
      </c>
      <c r="K30" s="4431">
        <f>IF(SUM('Table2(II).B-Hs2'!J138:M138)=0,"NO",SUM('Table2(II).B-Hs2'!J138:M138))</f>
        <v>8.3850194554012027</v>
      </c>
      <c r="L30" s="2073" t="s">
        <v>199</v>
      </c>
      <c r="M30" s="2073">
        <f>IF(SUM('Table2(II).B-Hs2'!J139:M139)=0,"NO",SUM('Table2(II).B-Hs2'!J139:M139))</f>
        <v>1.2100161494880879</v>
      </c>
      <c r="N30" s="2073" t="s">
        <v>199</v>
      </c>
      <c r="O30" s="4431">
        <f>IF(SUM('Table2(II).B-Hs2'!J140:M140)=0,"NO",SUM('Table2(II).B-Hs2'!J140:M140))</f>
        <v>0.50453252961188566</v>
      </c>
      <c r="P30" s="2073" t="s">
        <v>199</v>
      </c>
      <c r="Q30" s="2073" t="s">
        <v>199</v>
      </c>
      <c r="R30" s="2073">
        <f>IF(SUM('Table2(II).B-Hs2'!J141:M141)=0,"NO",SUM('Table2(II).B-Hs2'!J141:M141))</f>
        <v>4.1512933069428735E-2</v>
      </c>
      <c r="S30" s="2073" t="s">
        <v>199</v>
      </c>
      <c r="T30" s="2073">
        <f>IF(SUM('Table2(II).B-Hs2'!J142:M142)=0,"NO",SUM('Table2(II).B-Hs2'!J142:M142))</f>
        <v>1.3047751146339919</v>
      </c>
      <c r="U30" s="2073">
        <f>IF(SUM('Table2(II).B-Hs2'!J143:M143)=0,"NO",SUM('Table2(II).B-Hs2'!J143:M143))</f>
        <v>0.97565048008691413</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0.38290928654393008</v>
      </c>
      <c r="D31" s="4431">
        <f>IF(SUM('Table2(II).B-Hs2'!J148:M148)=0,"NO",SUM('Table2(II).B-Hs2'!J148:M148))</f>
        <v>3.6296700842190557</v>
      </c>
      <c r="E31" s="2073" t="s">
        <v>199</v>
      </c>
      <c r="F31" s="2073" t="str">
        <f>IF(SUM('Table2(II).B-Hs2'!J149:M149)=0,"NO",SUM('Table2(II).B-Hs2'!J149:M149))</f>
        <v>NO</v>
      </c>
      <c r="G31" s="4431">
        <f>IF(SUM('Table2(II).B-Hs2'!J150:M150)=0,"NO",SUM('Table2(II).B-Hs2'!J150:M150))</f>
        <v>8.6034239599803701</v>
      </c>
      <c r="H31" s="4431">
        <f>IF(SUM('Table2(II).B-Hs2'!J151:M151)=0,"NO",SUM('Table2(II).B-Hs2'!J151:M151))</f>
        <v>1.8349808339207564E-2</v>
      </c>
      <c r="I31" s="4431">
        <f>IF(SUM('Table2(II).B-Hs2'!J152:M152)=0,"NO",SUM('Table2(II).B-Hs2'!J152:M152))</f>
        <v>22.736645092965333</v>
      </c>
      <c r="J31" s="4431" t="s">
        <v>199</v>
      </c>
      <c r="K31" s="4431">
        <f>IF(SUM('Table2(II).B-Hs2'!J153:M153)=0,"NO",SUM('Table2(II).B-Hs2'!J153:M153))</f>
        <v>5.8863398613616456</v>
      </c>
      <c r="L31" s="2073" t="s">
        <v>199</v>
      </c>
      <c r="M31" s="2073">
        <f>IF(SUM('Table2(II).B-Hs2'!J154:M154)=0,"NO",SUM('Table2(II).B-Hs2'!J154:M154))</f>
        <v>0.84943944751792633</v>
      </c>
      <c r="N31" s="2073" t="s">
        <v>199</v>
      </c>
      <c r="O31" s="4431">
        <f>IF(SUM('Table2(II).B-Hs2'!J155:M155)=0,"NO",SUM('Table2(II).B-Hs2'!J155:M155))</f>
        <v>0.35418521760197474</v>
      </c>
      <c r="P31" s="2073" t="s">
        <v>199</v>
      </c>
      <c r="Q31" s="2073" t="s">
        <v>199</v>
      </c>
      <c r="R31" s="2073">
        <f>IF(SUM('Table2(II).B-Hs2'!J156:M156)=0,"NO",SUM('Table2(II).B-Hs2'!J156:M156))</f>
        <v>2.9142357270407114E-2</v>
      </c>
      <c r="S31" s="2073" t="s">
        <v>199</v>
      </c>
      <c r="T31" s="2073">
        <f>IF(SUM('Table2(II).B-Hs2'!J157:M157)=0,"NO",SUM('Table2(II).B-Hs2'!J157:M157))</f>
        <v>0.91596087620708933</v>
      </c>
      <c r="U31" s="2073">
        <f>IF(SUM('Table2(II).B-Hs2'!J158:M158)=0,"NO",SUM('Table2(II).B-Hs2'!J158:M158))</f>
        <v>0.68491317667639673</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4.3475420467156241</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3.5351042453342645</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0.81243780138135957</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440.8262817019924</v>
      </c>
      <c r="D39" s="4183">
        <f t="shared" ref="D39:AK39" si="72">IF(SUM(D40:D45)=0,"NO",SUM(D40:D45))</f>
        <v>228.14224727734268</v>
      </c>
      <c r="E39" s="4183" t="str">
        <f t="shared" si="72"/>
        <v>NO</v>
      </c>
      <c r="F39" s="4183" t="str">
        <f t="shared" si="72"/>
        <v>NO</v>
      </c>
      <c r="G39" s="4183">
        <f t="shared" si="72"/>
        <v>2532.0978316024411</v>
      </c>
      <c r="H39" s="4183">
        <f t="shared" si="72"/>
        <v>1.9080926104825224</v>
      </c>
      <c r="I39" s="4183">
        <f t="shared" si="72"/>
        <v>2744.2244507214323</v>
      </c>
      <c r="J39" s="4183" t="str">
        <f t="shared" si="72"/>
        <v>NO</v>
      </c>
      <c r="K39" s="4183">
        <f t="shared" si="72"/>
        <v>2623.2305734584606</v>
      </c>
      <c r="L39" s="4183" t="str">
        <f t="shared" si="72"/>
        <v>NO</v>
      </c>
      <c r="M39" s="4183">
        <f t="shared" si="72"/>
        <v>10.88332019021631</v>
      </c>
      <c r="N39" s="4183" t="str">
        <f t="shared" si="72"/>
        <v>NO</v>
      </c>
      <c r="O39" s="4183">
        <f t="shared" si="72"/>
        <v>110.16030581565151</v>
      </c>
      <c r="P39" s="4183" t="str">
        <f t="shared" si="72"/>
        <v>NO</v>
      </c>
      <c r="Q39" s="4183" t="str">
        <f t="shared" si="72"/>
        <v>NO</v>
      </c>
      <c r="R39" s="4183">
        <f t="shared" si="72"/>
        <v>21.807687461625381</v>
      </c>
      <c r="S39" s="4183" t="str">
        <f t="shared" si="72"/>
        <v>NO</v>
      </c>
      <c r="T39" s="4183">
        <f t="shared" si="72"/>
        <v>72.964919256791347</v>
      </c>
      <c r="U39" s="4183">
        <f t="shared" si="72"/>
        <v>51.125958679369035</v>
      </c>
      <c r="V39" s="4183" t="str">
        <f t="shared" si="72"/>
        <v>NO</v>
      </c>
      <c r="W39" s="4183">
        <f t="shared" si="72"/>
        <v>8837.371668775806</v>
      </c>
      <c r="X39" s="4183">
        <f t="shared" si="72"/>
        <v>146.43050980084027</v>
      </c>
      <c r="Y39" s="4183">
        <f t="shared" si="72"/>
        <v>26.676468952357698</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173.10697875319798</v>
      </c>
      <c r="AI39" s="4184" t="str">
        <f t="shared" si="72"/>
        <v>NO</v>
      </c>
      <c r="AJ39" s="4184">
        <f t="shared" si="72"/>
        <v>102.16723809781718</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146.43050980084027</v>
      </c>
      <c r="Y41" s="4186">
        <f>IF(SUM(Y16)=0,"NO",Y16*11100/1000)</f>
        <v>26.676468952357698</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173.10697875319798</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440.8262817019924</v>
      </c>
      <c r="D43" s="4186">
        <f>IF(SUM(D26)=0,"NO",D26*677/1000)</f>
        <v>228.14224727734268</v>
      </c>
      <c r="E43" s="4186" t="str">
        <f>IF(SUM(E26)=0,"NO",E26*116/1000)</f>
        <v>NO</v>
      </c>
      <c r="F43" s="4186" t="str">
        <f>IF(SUM(F26)=0,"NO",F26*1650/1000)</f>
        <v>NO</v>
      </c>
      <c r="G43" s="4186">
        <f>IF(SUM(G26)=0,"NO",G26*3170/1000)</f>
        <v>2532.0978316024411</v>
      </c>
      <c r="H43" s="4186">
        <f>IF(SUM(H26)=0,"NO",H26*1120/1000)</f>
        <v>1.9080926104825224</v>
      </c>
      <c r="I43" s="4186">
        <f>IF(SUM(I26)=0,"NO",I26*1300/1000)</f>
        <v>2744.2244507214323</v>
      </c>
      <c r="J43" s="4186" t="str">
        <f>IF(SUM(J26)=0,"NO",J26*328/1000)</f>
        <v>NO</v>
      </c>
      <c r="K43" s="4186">
        <f>IF(SUM(K26)=0,"NO",K26*4800/1000)</f>
        <v>2623.2305734584606</v>
      </c>
      <c r="L43" s="4186" t="str">
        <f>IF(SUM(L26)=0,"NO",L26*16/1000)</f>
        <v>NO</v>
      </c>
      <c r="M43" s="4186">
        <f>IF(SUM(M26)=0,"NO",M26*138/1000)</f>
        <v>10.88332019021631</v>
      </c>
      <c r="N43" s="4186" t="str">
        <f>IF(SUM(N26)=0,"NO",N26*4/1000)</f>
        <v>NO</v>
      </c>
      <c r="O43" s="4186">
        <f>IF(SUM(O26)=0,"NO",O26*3350/1000)</f>
        <v>110.16030581565151</v>
      </c>
      <c r="P43" s="4186" t="str">
        <f>IF(SUM(P26)=0,"NO",P26*1210/1000)</f>
        <v>NO</v>
      </c>
      <c r="Q43" s="4186" t="str">
        <f>IF(SUM(Q26)=0,"NO",Q26*1330/1000)</f>
        <v>NO</v>
      </c>
      <c r="R43" s="4186">
        <f>IF(SUM(R26)=0,"NO",R26*8060/1000)</f>
        <v>21.807687461625381</v>
      </c>
      <c r="S43" s="4186" t="str">
        <f>IF(SUM(S26)=0,"NO",S26*716/1000)</f>
        <v>NO</v>
      </c>
      <c r="T43" s="4186">
        <f>IF(SUM(T26)=0,"NO",T26*858/1000)</f>
        <v>72.964919256791347</v>
      </c>
      <c r="U43" s="4186">
        <f>IF(SUM(U26)=0,"NO",U26*804/1000)</f>
        <v>51.125958679369035</v>
      </c>
      <c r="V43" s="4186" t="str">
        <f>IF(SUM(V26)=0,"NO",V26*1/1000)</f>
        <v>NO</v>
      </c>
      <c r="W43" s="4186">
        <f t="shared" si="73"/>
        <v>8837.371668775806</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102.16723809781718</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58"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6004.4444739685987</v>
      </c>
      <c r="I10" s="615"/>
      <c r="J10" s="615"/>
      <c r="K10" s="3161" t="str">
        <f>IF(SUM(K11:K14)=0,"NO",SUM(K11:K14))</f>
        <v>NO</v>
      </c>
      <c r="L10" s="3161" t="str">
        <f>IF(SUM(L11:L14)=0,"NO",SUM(L11:L14))</f>
        <v>NO</v>
      </c>
      <c r="M10" s="615"/>
      <c r="N10" s="1842"/>
    </row>
    <row r="11" spans="2:14" ht="18" customHeight="1" x14ac:dyDescent="0.2">
      <c r="B11" s="286" t="s">
        <v>748</v>
      </c>
      <c r="C11" s="2126" t="s">
        <v>749</v>
      </c>
      <c r="D11" s="699">
        <v>5738.6127999999999</v>
      </c>
      <c r="E11" s="1938">
        <f>IF(SUM($D11)=0,"NA",H11/$D11)</f>
        <v>0.5467465357291923</v>
      </c>
      <c r="F11" s="615"/>
      <c r="G11" s="615"/>
      <c r="H11" s="3149">
        <v>3137.5666682912001</v>
      </c>
      <c r="I11" s="615"/>
      <c r="J11" s="615"/>
      <c r="K11" s="3149" t="s">
        <v>199</v>
      </c>
      <c r="L11" s="699" t="s">
        <v>199</v>
      </c>
      <c r="M11" s="615"/>
      <c r="N11" s="1842"/>
    </row>
    <row r="12" spans="2:14" ht="18" customHeight="1" x14ac:dyDescent="0.2">
      <c r="B12" s="286" t="s">
        <v>750</v>
      </c>
      <c r="C12" s="2127" t="s">
        <v>751</v>
      </c>
      <c r="D12" s="699">
        <v>1546.7551599999999</v>
      </c>
      <c r="E12" s="1938">
        <f>IF(SUM($D12)=0,"NA",H12/$D12)</f>
        <v>0.76671963190507653</v>
      </c>
      <c r="F12" s="615"/>
      <c r="G12" s="615"/>
      <c r="H12" s="3149">
        <v>1185.9275469224776</v>
      </c>
      <c r="I12" s="615"/>
      <c r="J12" s="615"/>
      <c r="K12" s="3149" t="s">
        <v>199</v>
      </c>
      <c r="L12" s="699" t="s">
        <v>199</v>
      </c>
      <c r="M12" s="615"/>
      <c r="N12" s="1842"/>
    </row>
    <row r="13" spans="2:14" ht="18" customHeight="1" x14ac:dyDescent="0.2">
      <c r="B13" s="286" t="s">
        <v>752</v>
      </c>
      <c r="C13" s="2127" t="s">
        <v>753</v>
      </c>
      <c r="D13" s="699">
        <v>189.20777999999999</v>
      </c>
      <c r="E13" s="1938">
        <f>IF(SUM($D13)=0,"NA",H13/$D13)</f>
        <v>0.4285030177284993</v>
      </c>
      <c r="F13" s="615"/>
      <c r="G13" s="615"/>
      <c r="H13" s="3149">
        <v>81.076104707709987</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1599.8741540472115</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249.35809625085071</v>
      </c>
      <c r="I15" s="615"/>
      <c r="J15" s="615"/>
      <c r="K15" s="3149" t="s">
        <v>199</v>
      </c>
      <c r="L15" s="699" t="s">
        <v>199</v>
      </c>
      <c r="M15" s="615"/>
      <c r="N15" s="1842"/>
    </row>
    <row r="16" spans="2:14" ht="18" customHeight="1" x14ac:dyDescent="0.2">
      <c r="B16" s="160" t="s">
        <v>756</v>
      </c>
      <c r="C16" s="474" t="s">
        <v>757</v>
      </c>
      <c r="D16" s="2917">
        <v>316.76142400000003</v>
      </c>
      <c r="E16" s="1938">
        <f>IF(SUM($D16)=0,"NA",H16/$D16)</f>
        <v>0.4149199999999999</v>
      </c>
      <c r="F16" s="615"/>
      <c r="G16" s="615"/>
      <c r="H16" s="3149">
        <v>131.43065004607999</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1219.0854077502809</v>
      </c>
      <c r="I18" s="615"/>
      <c r="J18" s="615"/>
      <c r="K18" s="3150" t="str">
        <f>K19</f>
        <v>NO</v>
      </c>
      <c r="L18" s="3162" t="str">
        <f>L19</f>
        <v>NO</v>
      </c>
      <c r="M18" s="615"/>
      <c r="N18" s="1842"/>
    </row>
    <row r="19" spans="2:14" ht="18" customHeight="1" x14ac:dyDescent="0.2">
      <c r="B19" s="3151" t="s">
        <v>761</v>
      </c>
      <c r="C19" s="474" t="s">
        <v>753</v>
      </c>
      <c r="D19" s="2917">
        <v>1240.5814649499998</v>
      </c>
      <c r="E19" s="1938">
        <f>IF(SUM($D19)=0,"NA",H19/$D19)</f>
        <v>0.41481859828661227</v>
      </c>
      <c r="F19" s="615"/>
      <c r="G19" s="615"/>
      <c r="H19" s="3149">
        <v>514.61626435091091</v>
      </c>
      <c r="I19" s="615"/>
      <c r="J19" s="615"/>
      <c r="K19" s="3149" t="s">
        <v>199</v>
      </c>
      <c r="L19" s="3149" t="s">
        <v>199</v>
      </c>
      <c r="M19" s="615"/>
      <c r="N19" s="1842"/>
    </row>
    <row r="20" spans="2:14" ht="18" customHeight="1" x14ac:dyDescent="0.2">
      <c r="B20" s="3152" t="s">
        <v>762</v>
      </c>
      <c r="C20" s="474" t="s">
        <v>753</v>
      </c>
      <c r="D20" s="2917">
        <v>541.33943093920334</v>
      </c>
      <c r="E20" s="1938">
        <f>IF(SUM($D20)=0,"NA",H20/$D20)</f>
        <v>0.51635014304279081</v>
      </c>
      <c r="F20" s="615"/>
      <c r="G20" s="615"/>
      <c r="H20" s="3149">
        <v>279.5206926001606</v>
      </c>
      <c r="I20" s="615"/>
      <c r="J20" s="615"/>
      <c r="K20" s="3149" t="s">
        <v>199</v>
      </c>
      <c r="L20" s="3149" t="s">
        <v>199</v>
      </c>
      <c r="M20" s="2161"/>
      <c r="N20" s="2174"/>
    </row>
    <row r="21" spans="2:14" ht="18" customHeight="1" thickBot="1" x14ac:dyDescent="0.25">
      <c r="B21" s="3152" t="s">
        <v>763</v>
      </c>
      <c r="C21" s="474" t="s">
        <v>753</v>
      </c>
      <c r="D21" s="2917">
        <v>985.45525793399997</v>
      </c>
      <c r="E21" s="1938">
        <f>IF(SUM($D21)=0,"NA",H21/$D21)</f>
        <v>0.4312204408854754</v>
      </c>
      <c r="F21" s="615"/>
      <c r="G21" s="615"/>
      <c r="H21" s="3149">
        <v>424.94845079920935</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3127.379594033554</v>
      </c>
      <c r="I22" s="3046">
        <f>IF(SUM(I23:I26,I30,I33:I35,I47)=0,"IE",SUM(I23:I26,I30,I33:I35,I47))</f>
        <v>0.57776359999999993</v>
      </c>
      <c r="J22" s="3046">
        <f>IF(SUM(J23:J26,J30,J33:J35,J47)=0,"IE",SUM(J23:J26,J30,J33:J35,J47))</f>
        <v>4.6936928492164975</v>
      </c>
      <c r="K22" s="3046">
        <f>IF(SUM(K23:K26,K30,K33:K35,K47)=0,"NO",SUM(K23:K26,K30,K33:K35,K47))</f>
        <v>-336.96679999999998</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2037.15642</v>
      </c>
      <c r="E23" s="1938">
        <f>IF(SUM($D23)=0,"NA",(H23-K23)/$D23)</f>
        <v>1.4137195108926441</v>
      </c>
      <c r="F23" s="1938" t="str">
        <f>IFERROR(IF(SUM($D23)=0,"NA",I23/$D23),"NA")</f>
        <v>NA</v>
      </c>
      <c r="G23" s="1938" t="str">
        <f>IFERROR(IF(SUM($D23)=0,"NA",J23/$D23),"NA")</f>
        <v>NA</v>
      </c>
      <c r="H23" s="699">
        <v>2543.0009776942097</v>
      </c>
      <c r="I23" s="699" t="s">
        <v>199</v>
      </c>
      <c r="J23" s="699" t="s">
        <v>199</v>
      </c>
      <c r="K23" s="3149">
        <v>-336.96679999999998</v>
      </c>
      <c r="L23" s="699" t="s">
        <v>199</v>
      </c>
      <c r="M23" s="699" t="s">
        <v>199</v>
      </c>
      <c r="N23" s="2921" t="s">
        <v>199</v>
      </c>
    </row>
    <row r="24" spans="2:14" ht="18" customHeight="1" x14ac:dyDescent="0.2">
      <c r="B24" s="286" t="s">
        <v>766</v>
      </c>
      <c r="C24" s="474" t="s">
        <v>349</v>
      </c>
      <c r="D24" s="699">
        <v>1465.9242899999997</v>
      </c>
      <c r="E24" s="2135"/>
      <c r="F24" s="2135"/>
      <c r="G24" s="1938">
        <f>IF(SUM($D24)=0,"NA",J24/$D24)</f>
        <v>3.2018657997791265E-3</v>
      </c>
      <c r="H24" s="2135"/>
      <c r="I24" s="2135"/>
      <c r="J24" s="699">
        <v>4.6936928492164975</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525.67596837135</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10.40784196799461</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10.40784196799461</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10.40784196799461</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9608.8558369057646</v>
      </c>
      <c r="I52" s="3161">
        <f>IF(SUM(I53,I62:I67)=0,"IE",SUM(I53,I62:I67))</f>
        <v>2.0229543785275617</v>
      </c>
      <c r="J52" s="1934">
        <f>J67</f>
        <v>4.7886441978119261E-2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1778.057</v>
      </c>
      <c r="E63" s="4121">
        <f>IF(SUM($D63)=0,"NA",H63/$D63)</f>
        <v>1.5198491095815305</v>
      </c>
      <c r="F63" s="1917"/>
      <c r="G63" s="2134"/>
      <c r="H63" s="699">
        <v>2702.3783482352073</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6906.4774886705563</v>
      </c>
      <c r="I67" s="3168">
        <f t="shared" ref="I67:N67" si="8">IF(SUM(I69:I70)=0,I70,SUM(I69:I70))</f>
        <v>2.0229543785275617</v>
      </c>
      <c r="J67" s="3168">
        <f t="shared" si="8"/>
        <v>4.7886441978119261E-2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6906.4774886705563</v>
      </c>
      <c r="I70" s="3074">
        <f t="shared" si="9"/>
        <v>2.0229543785275617</v>
      </c>
      <c r="J70" s="3074">
        <f t="shared" si="9"/>
        <v>4.7886441978119261E-2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6906.4774886705563</v>
      </c>
      <c r="I71" s="3101">
        <v>2.0229543785275617</v>
      </c>
      <c r="J71" s="3101">
        <v>4.7886441978119261E-2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228.05065580499999</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424.14948453608253</v>
      </c>
      <c r="E73" s="4121">
        <f t="shared" ref="E73:G74" si="11">IF(SUM($D73)=0,"NA",H73/$D73)</f>
        <v>0.53766576199999994</v>
      </c>
      <c r="F73" s="276" t="s">
        <v>205</v>
      </c>
      <c r="G73" s="276" t="s">
        <v>205</v>
      </c>
      <c r="H73" s="3100">
        <v>228.05065580499999</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201.69877278028781</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201.69877278028781</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24.489335234919878</v>
      </c>
      <c r="H22" s="2628" t="str">
        <f>H23</f>
        <v>NO</v>
      </c>
    </row>
    <row r="23" spans="2:8" ht="18" customHeight="1" x14ac:dyDescent="0.2">
      <c r="B23" s="169" t="s">
        <v>857</v>
      </c>
      <c r="C23" s="2523"/>
      <c r="D23" s="76"/>
      <c r="E23" s="76"/>
      <c r="F23" s="1829"/>
      <c r="G23" s="3157">
        <f>IF(SUM(G24,G27)=0,"NO",SUM(G24,G27))</f>
        <v>24.489335234919878</v>
      </c>
      <c r="H23" s="2628" t="str">
        <f>H24</f>
        <v>NO</v>
      </c>
    </row>
    <row r="24" spans="2:8" ht="18" customHeight="1" x14ac:dyDescent="0.2">
      <c r="B24" s="171" t="s">
        <v>858</v>
      </c>
      <c r="C24" s="2523"/>
      <c r="D24" s="76"/>
      <c r="E24" s="76"/>
      <c r="F24" s="1829"/>
      <c r="G24" s="3157">
        <f>IF(SUM(G25:G26)=0,"NO",SUM(G25:G26))</f>
        <v>24.489335234919878</v>
      </c>
      <c r="H24" s="2628" t="str">
        <f>H25</f>
        <v>NO</v>
      </c>
    </row>
    <row r="25" spans="2:8" ht="18" customHeight="1" x14ac:dyDescent="0.25">
      <c r="B25" s="2626" t="s">
        <v>859</v>
      </c>
      <c r="C25" s="2638" t="s">
        <v>859</v>
      </c>
      <c r="D25" s="73" t="s">
        <v>860</v>
      </c>
      <c r="E25" s="699">
        <v>1778057</v>
      </c>
      <c r="F25" s="4135">
        <f>IF(SUM(E25)=0,"NA",G25*1000/E25)</f>
        <v>1.2421452036530034E-2</v>
      </c>
      <c r="G25" s="699">
        <v>22.08604974371648</v>
      </c>
      <c r="H25" s="2627" t="s">
        <v>199</v>
      </c>
    </row>
    <row r="26" spans="2:8" ht="18" customHeight="1" x14ac:dyDescent="0.25">
      <c r="B26" s="2626" t="s">
        <v>861</v>
      </c>
      <c r="C26" s="2638" t="s">
        <v>861</v>
      </c>
      <c r="D26" s="73" t="s">
        <v>860</v>
      </c>
      <c r="E26" s="699">
        <v>1778057</v>
      </c>
      <c r="F26" s="4135">
        <f>IF(SUM(E26)=0,"NA",G26*1000/E26)</f>
        <v>1.3516357975044649E-3</v>
      </c>
      <c r="G26" s="699">
        <v>2.4032854912033965</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96"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53.515562574638032</v>
      </c>
      <c r="K10" s="3191">
        <f>IF(SUM(K11,K90,K117,K130,K146,K159)=0,"NO",SUM(K11,K90,K117,K130,K146,K159))</f>
        <v>3059.1934668312851</v>
      </c>
      <c r="L10" s="3192">
        <f>IF(SUM(L11,L90,L117,L130,L146,L159)=0,"NO",SUM(L11,L90,L117,L130,L146,L159))</f>
        <v>1229.864053248948</v>
      </c>
      <c r="M10" s="3462">
        <f>IF(SUM(M11,M90,M117,M130,M146,M159)=0,"NO",SUM(M11,M90,M117,M130,M146,M159))</f>
        <v>-249.02742960058637</v>
      </c>
    </row>
    <row r="11" spans="1:13" ht="18" customHeight="1" x14ac:dyDescent="0.2">
      <c r="B11" s="147" t="s">
        <v>888</v>
      </c>
      <c r="C11" s="2524"/>
      <c r="D11" s="150"/>
      <c r="E11" s="150"/>
      <c r="F11" s="150"/>
      <c r="G11" s="150"/>
      <c r="H11" s="150"/>
      <c r="I11" s="150"/>
      <c r="J11" s="3081">
        <f>IF(SUM(J12,J25,J38,J51,J64,J77)=0,"NO",SUM(J12,J25,J38,J51,J64,J77))</f>
        <v>27.984146160117923</v>
      </c>
      <c r="K11" s="3081">
        <f t="shared" ref="K11:M11" si="0">IF(SUM(K12,K25,K38,K51,K64,K77)=0,"NO",SUM(K12,K25,K38,K51,K64,K77))</f>
        <v>2940.1381429140561</v>
      </c>
      <c r="L11" s="3081">
        <f t="shared" si="0"/>
        <v>1193.0059811619712</v>
      </c>
      <c r="M11" s="3193">
        <f t="shared" si="0"/>
        <v>-241.0022456467247</v>
      </c>
    </row>
    <row r="12" spans="1:13" ht="18" customHeight="1" x14ac:dyDescent="0.2">
      <c r="B12" s="104" t="s">
        <v>889</v>
      </c>
      <c r="C12" s="2524"/>
      <c r="D12" s="150"/>
      <c r="E12" s="150"/>
      <c r="F12" s="150"/>
      <c r="G12" s="150"/>
      <c r="H12" s="150"/>
      <c r="I12" s="150"/>
      <c r="J12" s="3081">
        <f>IF(SUM(J13:J24)=0,"NO",SUM(J13:J24))</f>
        <v>21.290722938916623</v>
      </c>
      <c r="K12" s="3081">
        <f>IF(SUM(K13:K24)=0,"NO",SUM(K13:K24))</f>
        <v>1763.2183493219923</v>
      </c>
      <c r="L12" s="3081">
        <f>IF(SUM(L13:L24)=0,"NO",SUM(L13:L24))</f>
        <v>452.13742039956651</v>
      </c>
      <c r="M12" s="3193">
        <f>IF(SUM(M13:M24)=0,"NO",SUM(M13:M24))</f>
        <v>-71.097037358638957</v>
      </c>
    </row>
    <row r="13" spans="1:13" ht="18" customHeight="1" x14ac:dyDescent="0.2">
      <c r="B13" s="2634" t="s">
        <v>671</v>
      </c>
      <c r="C13" s="2636" t="s">
        <v>671</v>
      </c>
      <c r="D13" s="3160">
        <v>10.565705838577259</v>
      </c>
      <c r="E13" s="3160">
        <v>109.54394011596114</v>
      </c>
      <c r="F13" s="3160">
        <v>4.5513711827584462</v>
      </c>
      <c r="G13" s="3668">
        <f>IF(SUM(D13)=0,"NA",J13/D13)</f>
        <v>1.7500000000000002E-2</v>
      </c>
      <c r="H13" s="3081">
        <f>IF(SUM(E13)=0,"NA",K13/E13)</f>
        <v>0.13978606982161074</v>
      </c>
      <c r="I13" s="3081">
        <f>IF(SUM(F13)=0,"NA",L13/F13)</f>
        <v>0.86353389491642873</v>
      </c>
      <c r="J13" s="3194">
        <v>0.18489985217510205</v>
      </c>
      <c r="K13" s="3194">
        <v>15.312716861584089</v>
      </c>
      <c r="L13" s="3194">
        <v>3.9302632846577943</v>
      </c>
      <c r="M13" s="3460">
        <v>-0.62110789810064848</v>
      </c>
    </row>
    <row r="14" spans="1:13" ht="18" customHeight="1" x14ac:dyDescent="0.2">
      <c r="B14" s="2634" t="s">
        <v>672</v>
      </c>
      <c r="C14" s="2636" t="s">
        <v>672</v>
      </c>
      <c r="D14" s="3160">
        <v>100.1543387654107</v>
      </c>
      <c r="E14" s="3160">
        <v>1038.3878801559738</v>
      </c>
      <c r="F14" s="3160">
        <v>43.143314630317136</v>
      </c>
      <c r="G14" s="3668">
        <f t="shared" ref="G14:G24" si="1">IF(SUM(D14)=0,"NA",J14/D14)</f>
        <v>1.7499999999999998E-2</v>
      </c>
      <c r="H14" s="3081">
        <f t="shared" ref="H14:H24" si="2">IF(SUM(E14)=0,"NA",K14/E14)</f>
        <v>0.13978606982161071</v>
      </c>
      <c r="I14" s="3081">
        <f t="shared" ref="I14:I24" si="3">IF(SUM(F14)=0,"NA",L14/F14)</f>
        <v>0.86353389491642951</v>
      </c>
      <c r="J14" s="3194">
        <v>1.7527009283946871</v>
      </c>
      <c r="K14" s="3194">
        <v>145.15216071739729</v>
      </c>
      <c r="L14" s="3194">
        <v>37.255714522322734</v>
      </c>
      <c r="M14" s="3460">
        <v>-5.8876001079944</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237.39629713914297</v>
      </c>
      <c r="E16" s="3160">
        <v>2461.2956441216788</v>
      </c>
      <c r="F16" s="3160">
        <v>102.26280025207953</v>
      </c>
      <c r="G16" s="3668">
        <f t="shared" si="1"/>
        <v>1.7500000000000002E-2</v>
      </c>
      <c r="H16" s="3081">
        <f t="shared" si="2"/>
        <v>0.13978606982161074</v>
      </c>
      <c r="I16" s="3081">
        <f t="shared" si="3"/>
        <v>0.86353389491642873</v>
      </c>
      <c r="J16" s="3194">
        <v>4.1544351999350022</v>
      </c>
      <c r="K16" s="3194">
        <v>344.05484476081938</v>
      </c>
      <c r="L16" s="3194">
        <v>88.307394206738991</v>
      </c>
      <c r="M16" s="3460">
        <v>-13.955406045340458</v>
      </c>
    </row>
    <row r="17" spans="2:13" ht="18" customHeight="1" x14ac:dyDescent="0.2">
      <c r="B17" s="2634" t="s">
        <v>676</v>
      </c>
      <c r="C17" s="2636" t="s">
        <v>676</v>
      </c>
      <c r="D17" s="3160">
        <v>0.50633056945746313</v>
      </c>
      <c r="E17" s="3160">
        <v>5.2495731403968025</v>
      </c>
      <c r="F17" s="3160">
        <v>0.21811116057805066</v>
      </c>
      <c r="G17" s="3668">
        <f t="shared" si="1"/>
        <v>1.7500000000000002E-2</v>
      </c>
      <c r="H17" s="3081">
        <f t="shared" si="2"/>
        <v>0.13978606982161071</v>
      </c>
      <c r="I17" s="3081">
        <f t="shared" si="3"/>
        <v>0.86353389491642984</v>
      </c>
      <c r="J17" s="3194">
        <v>8.860784965505606E-3</v>
      </c>
      <c r="K17" s="3194">
        <v>0.73381719753715968</v>
      </c>
      <c r="L17" s="3194">
        <v>0.18834638001870696</v>
      </c>
      <c r="M17" s="3460">
        <v>-2.9764780559343767E-2</v>
      </c>
    </row>
    <row r="18" spans="2:13" ht="18" customHeight="1" x14ac:dyDescent="0.2">
      <c r="B18" s="2634" t="s">
        <v>677</v>
      </c>
      <c r="C18" s="2636" t="s">
        <v>677</v>
      </c>
      <c r="D18" s="3160">
        <v>627.37758589420378</v>
      </c>
      <c r="E18" s="3160">
        <v>6504.5737359412669</v>
      </c>
      <c r="F18" s="3160">
        <v>270.25437853113118</v>
      </c>
      <c r="G18" s="3668">
        <f t="shared" si="1"/>
        <v>1.7500000000000005E-2</v>
      </c>
      <c r="H18" s="3081">
        <f t="shared" si="2"/>
        <v>0.13978606982161071</v>
      </c>
      <c r="I18" s="3081">
        <f t="shared" si="3"/>
        <v>0.86353389491642862</v>
      </c>
      <c r="J18" s="3194">
        <v>10.979107753148568</v>
      </c>
      <c r="K18" s="3194">
        <v>909.24879841210122</v>
      </c>
      <c r="L18" s="3194">
        <v>233.37381611120657</v>
      </c>
      <c r="M18" s="3460">
        <v>-36.880562419924374</v>
      </c>
    </row>
    <row r="19" spans="2:13" ht="18" customHeight="1" x14ac:dyDescent="0.2">
      <c r="B19" s="2634" t="s">
        <v>679</v>
      </c>
      <c r="C19" s="2636" t="s">
        <v>679</v>
      </c>
      <c r="D19" s="3160">
        <v>162.42315772068255</v>
      </c>
      <c r="E19" s="3160">
        <v>1683.9833452334346</v>
      </c>
      <c r="F19" s="3160">
        <v>69.966748152633528</v>
      </c>
      <c r="G19" s="3668">
        <f t="shared" si="1"/>
        <v>1.7500000000000002E-2</v>
      </c>
      <c r="H19" s="3081">
        <f t="shared" si="2"/>
        <v>0.13978606982161071</v>
      </c>
      <c r="I19" s="3081">
        <f t="shared" si="3"/>
        <v>0.86353389491643062</v>
      </c>
      <c r="J19" s="3194">
        <v>2.8424052601119447</v>
      </c>
      <c r="K19" s="3194">
        <v>235.39741347523045</v>
      </c>
      <c r="L19" s="3194">
        <v>60.418658546880607</v>
      </c>
      <c r="M19" s="3460">
        <v>-9.5480896057529954</v>
      </c>
    </row>
    <row r="20" spans="2:13" ht="18" customHeight="1" x14ac:dyDescent="0.2">
      <c r="B20" s="2634" t="s">
        <v>681</v>
      </c>
      <c r="C20" s="2636" t="s">
        <v>681</v>
      </c>
      <c r="D20" s="3160">
        <v>23.438782096835688</v>
      </c>
      <c r="E20" s="3160">
        <v>243.01041327803728</v>
      </c>
      <c r="F20" s="3160">
        <v>10.096684407490331</v>
      </c>
      <c r="G20" s="3668">
        <f t="shared" si="1"/>
        <v>1.7500000000000005E-2</v>
      </c>
      <c r="H20" s="3081">
        <f t="shared" si="2"/>
        <v>0.13978606982161074</v>
      </c>
      <c r="I20" s="3081">
        <f t="shared" si="3"/>
        <v>0.84904901328847449</v>
      </c>
      <c r="J20" s="3194">
        <v>0.41017868669462465</v>
      </c>
      <c r="K20" s="3194">
        <v>33.969470597862198</v>
      </c>
      <c r="L20" s="3194">
        <v>8.572579933664791</v>
      </c>
      <c r="M20" s="3460">
        <v>-1.2316059168709055</v>
      </c>
    </row>
    <row r="21" spans="2:13" ht="18" customHeight="1" x14ac:dyDescent="0.2">
      <c r="B21" s="2634" t="s">
        <v>683</v>
      </c>
      <c r="C21" s="2636" t="s">
        <v>683</v>
      </c>
      <c r="D21" s="3160">
        <v>9.7731158607604236</v>
      </c>
      <c r="E21" s="3160">
        <v>101.32646459724373</v>
      </c>
      <c r="F21" s="3160">
        <v>4.209948542388549</v>
      </c>
      <c r="G21" s="3668">
        <f t="shared" si="1"/>
        <v>1.7500000000000002E-2</v>
      </c>
      <c r="H21" s="3081">
        <f t="shared" si="2"/>
        <v>0.13978606982161074</v>
      </c>
      <c r="I21" s="3081">
        <f t="shared" si="3"/>
        <v>0.86353389491643007</v>
      </c>
      <c r="J21" s="3194">
        <v>0.17102952756330744</v>
      </c>
      <c r="K21" s="3194">
        <v>14.164028254967281</v>
      </c>
      <c r="L21" s="3194">
        <v>3.6354332622065311</v>
      </c>
      <c r="M21" s="3460">
        <v>-0.57451528018201992</v>
      </c>
    </row>
    <row r="22" spans="2:13" ht="18" customHeight="1" x14ac:dyDescent="0.2">
      <c r="B22" s="2634" t="s">
        <v>686</v>
      </c>
      <c r="C22" s="2636" t="s">
        <v>686</v>
      </c>
      <c r="D22" s="3160">
        <v>0.80413190586465255</v>
      </c>
      <c r="E22" s="3160">
        <v>10.040771421926852</v>
      </c>
      <c r="F22" s="3160">
        <v>0.34639453713788398</v>
      </c>
      <c r="G22" s="3668">
        <f t="shared" si="1"/>
        <v>1.7500000000000002E-2</v>
      </c>
      <c r="H22" s="3081">
        <f t="shared" si="2"/>
        <v>0.11606838742903644</v>
      </c>
      <c r="I22" s="3081">
        <f t="shared" si="3"/>
        <v>0.8635338949164294</v>
      </c>
      <c r="J22" s="3194">
        <v>1.4072308352631421E-2</v>
      </c>
      <c r="K22" s="3194">
        <v>1.1654161474866029</v>
      </c>
      <c r="L22" s="3194">
        <v>0.29912342383245072</v>
      </c>
      <c r="M22" s="3460">
        <v>-4.727111330543321E-2</v>
      </c>
    </row>
    <row r="23" spans="2:13" ht="18" customHeight="1" x14ac:dyDescent="0.2">
      <c r="B23" s="2634" t="s">
        <v>688</v>
      </c>
      <c r="C23" s="2636" t="s">
        <v>688</v>
      </c>
      <c r="D23" s="3160">
        <v>25.274323495779939</v>
      </c>
      <c r="E23" s="3160">
        <v>262.04108100230474</v>
      </c>
      <c r="F23" s="3160">
        <v>10.887377462507271</v>
      </c>
      <c r="G23" s="3668">
        <f t="shared" si="1"/>
        <v>1.7500000000000002E-2</v>
      </c>
      <c r="H23" s="3081">
        <f t="shared" si="2"/>
        <v>0.13978606982161071</v>
      </c>
      <c r="I23" s="3081">
        <f t="shared" si="3"/>
        <v>0.84904901328847415</v>
      </c>
      <c r="J23" s="3194">
        <v>0.44230066117614897</v>
      </c>
      <c r="K23" s="3194">
        <v>36.62969284511852</v>
      </c>
      <c r="L23" s="3194">
        <v>9.2439170918409701</v>
      </c>
      <c r="M23" s="3460">
        <v>-1.32805562309973</v>
      </c>
    </row>
    <row r="24" spans="2:13" ht="18" customHeight="1" x14ac:dyDescent="0.2">
      <c r="B24" s="2634" t="s">
        <v>689</v>
      </c>
      <c r="C24" s="2636" t="s">
        <v>689</v>
      </c>
      <c r="D24" s="3160">
        <v>18.898970079948867</v>
      </c>
      <c r="E24" s="3160">
        <v>195.9422000120756</v>
      </c>
      <c r="F24" s="3160">
        <v>8.1410772853085618</v>
      </c>
      <c r="G24" s="3668">
        <f t="shared" si="1"/>
        <v>1.7500000000000002E-2</v>
      </c>
      <c r="H24" s="3081">
        <f t="shared" si="2"/>
        <v>0.13978606982161074</v>
      </c>
      <c r="I24" s="3081">
        <f t="shared" si="3"/>
        <v>0.84904901328847437</v>
      </c>
      <c r="J24" s="3194">
        <v>0.33073197639910523</v>
      </c>
      <c r="K24" s="3194">
        <v>27.389990051888017</v>
      </c>
      <c r="L24" s="3194">
        <v>6.9121736361964459</v>
      </c>
      <c r="M24" s="3460">
        <v>-0.99305856750865829</v>
      </c>
    </row>
    <row r="25" spans="2:13" ht="18" customHeight="1" x14ac:dyDescent="0.2">
      <c r="B25" s="105" t="s">
        <v>890</v>
      </c>
      <c r="C25" s="2524"/>
      <c r="D25" s="150"/>
      <c r="E25" s="150"/>
      <c r="F25" s="150"/>
      <c r="G25" s="3669"/>
      <c r="H25" s="2135"/>
      <c r="I25" s="2135"/>
      <c r="J25" s="3081">
        <f>IF(SUM(J26:J37)=0,"NO",SUM(J26:J37))</f>
        <v>0.17882307318034238</v>
      </c>
      <c r="K25" s="3081">
        <f>IF(SUM(K26:K37)=0,"NO",SUM(K26:K37))</f>
        <v>14.361359696477134</v>
      </c>
      <c r="L25" s="3081">
        <f>IF(SUM(L26:L37)=0,"NO",SUM(L26:L37))</f>
        <v>40.777746296844882</v>
      </c>
      <c r="M25" s="3193">
        <f>IF(SUM(M26:M37)=0,"NO",SUM(M26:M37))</f>
        <v>-5.2819809946605956</v>
      </c>
    </row>
    <row r="26" spans="2:13" ht="18" customHeight="1" x14ac:dyDescent="0.2">
      <c r="B26" s="2634" t="s">
        <v>671</v>
      </c>
      <c r="C26" s="2636" t="s">
        <v>671</v>
      </c>
      <c r="D26" s="3461">
        <v>0.25883229275809361</v>
      </c>
      <c r="E26" s="3461">
        <v>7.0889775008278892</v>
      </c>
      <c r="F26" s="3461">
        <v>0.40000693221449768</v>
      </c>
      <c r="G26" s="3668">
        <f>IF(SUM(D26)=0,"NA",J26/D26)</f>
        <v>6.0000000000000001E-3</v>
      </c>
      <c r="H26" s="3081">
        <f>IF(SUM(E26)=0,"NA",K26/E26)</f>
        <v>1.7593737877392306E-2</v>
      </c>
      <c r="I26" s="3081">
        <f>IF(SUM(F26)=0,"NA",L26/F26)</f>
        <v>0.88532322475051395</v>
      </c>
      <c r="J26" s="3194">
        <v>1.5529937565485618E-3</v>
      </c>
      <c r="K26" s="3194">
        <v>0.12472161196829749</v>
      </c>
      <c r="L26" s="3194">
        <v>0.35413542715069934</v>
      </c>
      <c r="M26" s="3460">
        <v>-4.587150506379839E-2</v>
      </c>
    </row>
    <row r="27" spans="2:13" ht="18" customHeight="1" x14ac:dyDescent="0.2">
      <c r="B27" s="2634" t="s">
        <v>672</v>
      </c>
      <c r="C27" s="2636" t="s">
        <v>672</v>
      </c>
      <c r="D27" s="3461">
        <v>2.4535206192918948</v>
      </c>
      <c r="E27" s="3461">
        <v>67.197768418460527</v>
      </c>
      <c r="F27" s="3461">
        <v>3.7917419252056459</v>
      </c>
      <c r="G27" s="3668">
        <f t="shared" ref="G27:G37" si="7">IF(SUM(D27)=0,"NA",J27/D27)</f>
        <v>6.0000000000000001E-3</v>
      </c>
      <c r="H27" s="3081">
        <f t="shared" ref="H27:H37" si="8">IF(SUM(E27)=0,"NA",K27/E27)</f>
        <v>1.7593737877392306E-2</v>
      </c>
      <c r="I27" s="3081">
        <f t="shared" ref="I27:I37" si="9">IF(SUM(F27)=0,"NA",L27/F27)</f>
        <v>0.88532322475051395</v>
      </c>
      <c r="J27" s="3194">
        <v>1.4721123715751369E-2</v>
      </c>
      <c r="K27" s="3194">
        <v>1.1822599235001054</v>
      </c>
      <c r="L27" s="3194">
        <v>3.3569171886447844</v>
      </c>
      <c r="M27" s="3460">
        <v>-0.43482473656086179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5.8155913877950738</v>
      </c>
      <c r="E29" s="3461">
        <v>159.27918445871191</v>
      </c>
      <c r="F29" s="3461">
        <v>8.9875836019391695</v>
      </c>
      <c r="G29" s="3668">
        <f t="shared" si="7"/>
        <v>6.000000000000001E-3</v>
      </c>
      <c r="H29" s="3081">
        <f t="shared" si="8"/>
        <v>1.759373787739231E-2</v>
      </c>
      <c r="I29" s="3081">
        <f t="shared" si="9"/>
        <v>0.88532322475051395</v>
      </c>
      <c r="J29" s="3194">
        <v>3.4893548326770447E-2</v>
      </c>
      <c r="K29" s="3194">
        <v>2.8023162206913961</v>
      </c>
      <c r="L29" s="3194">
        <v>7.9569164971836246</v>
      </c>
      <c r="M29" s="3460">
        <v>-1.0306671047555451</v>
      </c>
    </row>
    <row r="30" spans="2:13" ht="18" customHeight="1" x14ac:dyDescent="0.2">
      <c r="B30" s="2634" t="s">
        <v>676</v>
      </c>
      <c r="C30" s="2636" t="s">
        <v>676</v>
      </c>
      <c r="D30" s="3461">
        <v>1.2403781080832526E-2</v>
      </c>
      <c r="E30" s="3461">
        <v>0.33971852611681835</v>
      </c>
      <c r="F30" s="3461">
        <v>1.9169163032686912E-2</v>
      </c>
      <c r="G30" s="3668">
        <f t="shared" si="7"/>
        <v>6.000000000000001E-3</v>
      </c>
      <c r="H30" s="3081">
        <f t="shared" si="8"/>
        <v>1.759373787739231E-2</v>
      </c>
      <c r="I30" s="3081">
        <f t="shared" si="9"/>
        <v>0.88532322475051395</v>
      </c>
      <c r="J30" s="3194">
        <v>7.4422686484995165E-5</v>
      </c>
      <c r="K30" s="3194">
        <v>5.9769187005933554E-3</v>
      </c>
      <c r="L30" s="3194">
        <v>1.6970905231866718E-2</v>
      </c>
      <c r="M30" s="3460">
        <v>-2.1982578008201956E-3</v>
      </c>
    </row>
    <row r="31" spans="2:13" ht="18" customHeight="1" x14ac:dyDescent="0.2">
      <c r="B31" s="2634" t="s">
        <v>677</v>
      </c>
      <c r="C31" s="2636" t="s">
        <v>677</v>
      </c>
      <c r="D31" s="3461">
        <v>15.369117923871793</v>
      </c>
      <c r="E31" s="3461">
        <v>420.93407282732073</v>
      </c>
      <c r="F31" s="3461">
        <v>23.751880594422335</v>
      </c>
      <c r="G31" s="3668">
        <f t="shared" si="7"/>
        <v>6.0000000000000001E-3</v>
      </c>
      <c r="H31" s="3081">
        <f t="shared" si="8"/>
        <v>1.7593737877392306E-2</v>
      </c>
      <c r="I31" s="3081">
        <f t="shared" si="9"/>
        <v>0.88532322475051428</v>
      </c>
      <c r="J31" s="3194">
        <v>9.2214707543230759E-2</v>
      </c>
      <c r="K31" s="3194">
        <v>7.4058037409870447</v>
      </c>
      <c r="L31" s="3194">
        <v>21.028091521743143</v>
      </c>
      <c r="M31" s="3460">
        <v>-2.7237890726792018</v>
      </c>
    </row>
    <row r="32" spans="2:13" ht="18" customHeight="1" x14ac:dyDescent="0.2">
      <c r="B32" s="2634" t="s">
        <v>679</v>
      </c>
      <c r="C32" s="2636" t="s">
        <v>679</v>
      </c>
      <c r="D32" s="3461">
        <v>3.9789446111926519</v>
      </c>
      <c r="E32" s="3461">
        <v>108.976544329989</v>
      </c>
      <c r="F32" s="3461">
        <v>6.1491764045922386</v>
      </c>
      <c r="G32" s="3668">
        <f t="shared" si="7"/>
        <v>6.0000000000000001E-3</v>
      </c>
      <c r="H32" s="3081">
        <f t="shared" si="8"/>
        <v>1.7593737877392306E-2</v>
      </c>
      <c r="I32" s="3081">
        <f t="shared" si="9"/>
        <v>0.88532322475051395</v>
      </c>
      <c r="J32" s="3194">
        <v>2.3873667667155912E-2</v>
      </c>
      <c r="K32" s="3194">
        <v>1.9173047557258494</v>
      </c>
      <c r="L32" s="3194">
        <v>5.4440086840733715</v>
      </c>
      <c r="M32" s="3460">
        <v>-0.70516772051886745</v>
      </c>
    </row>
    <row r="33" spans="2:13" ht="18" customHeight="1" x14ac:dyDescent="0.2">
      <c r="B33" s="2634" t="s">
        <v>681</v>
      </c>
      <c r="C33" s="2636" t="s">
        <v>681</v>
      </c>
      <c r="D33" s="3461">
        <v>0.57418915520349767</v>
      </c>
      <c r="E33" s="3461">
        <v>15.726067095736015</v>
      </c>
      <c r="F33" s="3461">
        <v>0.88736857382183476</v>
      </c>
      <c r="G33" s="3668">
        <f t="shared" si="7"/>
        <v>6.0000000000000001E-3</v>
      </c>
      <c r="H33" s="3081">
        <f t="shared" si="8"/>
        <v>1.759373787739231E-2</v>
      </c>
      <c r="I33" s="3081">
        <f t="shared" si="9"/>
        <v>0.88532322475051384</v>
      </c>
      <c r="J33" s="3194">
        <v>3.445134931220986E-3</v>
      </c>
      <c r="K33" s="3194">
        <v>0.27668030232466362</v>
      </c>
      <c r="L33" s="3194">
        <v>0.78560800731821112</v>
      </c>
      <c r="M33" s="3460">
        <v>-0.10176056650362361</v>
      </c>
    </row>
    <row r="34" spans="2:13" ht="18" customHeight="1" x14ac:dyDescent="0.2">
      <c r="B34" s="2634" t="s">
        <v>683</v>
      </c>
      <c r="C34" s="2636" t="s">
        <v>683</v>
      </c>
      <c r="D34" s="3461">
        <v>0.23941590124486539</v>
      </c>
      <c r="E34" s="3461">
        <v>6.5571954688494367</v>
      </c>
      <c r="F34" s="3461">
        <v>0.37000027763086413</v>
      </c>
      <c r="G34" s="3668">
        <f t="shared" si="7"/>
        <v>6.0000000000000001E-3</v>
      </c>
      <c r="H34" s="3081">
        <f t="shared" si="8"/>
        <v>1.759373787739231E-2</v>
      </c>
      <c r="I34" s="3081">
        <f t="shared" si="9"/>
        <v>0.88532322475051373</v>
      </c>
      <c r="J34" s="3194">
        <v>1.4364954074691924E-3</v>
      </c>
      <c r="K34" s="3194">
        <v>0.11536557828976156</v>
      </c>
      <c r="L34" s="3194">
        <v>0.32756983895074199</v>
      </c>
      <c r="M34" s="3460">
        <v>-4.2430438680122071E-2</v>
      </c>
    </row>
    <row r="35" spans="2:13" ht="18" customHeight="1" x14ac:dyDescent="0.2">
      <c r="B35" s="2634" t="s">
        <v>686</v>
      </c>
      <c r="C35" s="2636" t="s">
        <v>686</v>
      </c>
      <c r="D35" s="3461">
        <v>1.96991387092138E-2</v>
      </c>
      <c r="E35" s="3461">
        <v>0.53952599811731816</v>
      </c>
      <c r="F35" s="3461">
        <v>3.0443620300906492E-2</v>
      </c>
      <c r="G35" s="3668">
        <f t="shared" si="7"/>
        <v>6.000000000000001E-3</v>
      </c>
      <c r="H35" s="3081">
        <f t="shared" si="8"/>
        <v>1.759373787739231E-2</v>
      </c>
      <c r="I35" s="3081">
        <f t="shared" si="9"/>
        <v>0.88532322475051417</v>
      </c>
      <c r="J35" s="3194">
        <v>1.1819483225528282E-4</v>
      </c>
      <c r="K35" s="3194">
        <v>9.4922789889145525E-3</v>
      </c>
      <c r="L35" s="3194">
        <v>2.6952444097878753E-2</v>
      </c>
      <c r="M35" s="3460">
        <v>-3.4911762030277482E-3</v>
      </c>
    </row>
    <row r="36" spans="2:13" ht="18" customHeight="1" x14ac:dyDescent="0.2">
      <c r="B36" s="2634" t="s">
        <v>688</v>
      </c>
      <c r="C36" s="2636" t="s">
        <v>688</v>
      </c>
      <c r="D36" s="3461">
        <v>0.61915514195342902</v>
      </c>
      <c r="E36" s="3461">
        <v>16.95760920733299</v>
      </c>
      <c r="F36" s="3461">
        <v>0.95686031390640103</v>
      </c>
      <c r="G36" s="3668">
        <f t="shared" si="7"/>
        <v>6.0000000000000001E-3</v>
      </c>
      <c r="H36" s="3081">
        <f t="shared" si="8"/>
        <v>1.7593737877392306E-2</v>
      </c>
      <c r="I36" s="3081">
        <f t="shared" si="9"/>
        <v>0.88532322475051395</v>
      </c>
      <c r="J36" s="3194">
        <v>3.7149308517205742E-3</v>
      </c>
      <c r="K36" s="3194">
        <v>0.29834773142107096</v>
      </c>
      <c r="L36" s="3194">
        <v>0.84713065874340399</v>
      </c>
      <c r="M36" s="3460">
        <v>-0.10972965516299713</v>
      </c>
    </row>
    <row r="37" spans="2:13" ht="18" customHeight="1" x14ac:dyDescent="0.2">
      <c r="B37" s="2634" t="s">
        <v>689</v>
      </c>
      <c r="C37" s="2636" t="s">
        <v>689</v>
      </c>
      <c r="D37" s="3461">
        <v>0.46297557695572489</v>
      </c>
      <c r="E37" s="3461">
        <v>12.680115813598828</v>
      </c>
      <c r="F37" s="3461">
        <v>0.7154958844388849</v>
      </c>
      <c r="G37" s="3668">
        <f t="shared" si="7"/>
        <v>6.0000000000000001E-3</v>
      </c>
      <c r="H37" s="3081">
        <f t="shared" si="8"/>
        <v>1.759373787739231E-2</v>
      </c>
      <c r="I37" s="3081">
        <f t="shared" si="9"/>
        <v>0.88532322475051395</v>
      </c>
      <c r="J37" s="3194">
        <v>2.7778534617343494E-3</v>
      </c>
      <c r="K37" s="3194">
        <v>0.2230906338794349</v>
      </c>
      <c r="L37" s="3194">
        <v>0.63344512370715467</v>
      </c>
      <c r="M37" s="3460">
        <v>-8.2050760731730329E-2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5.1335128226226479</v>
      </c>
      <c r="K51" s="3081">
        <f>IF(SUM(K52:K63)=0,"NO",SUM(K52:K63))</f>
        <v>138.40193281644545</v>
      </c>
      <c r="L51" s="3081">
        <f>IF(SUM(L52:L63)=0,"NO",SUM(L52:L63))</f>
        <v>64.327244427811067</v>
      </c>
      <c r="M51" s="3193">
        <f>IF(SUM(M52:M63)=0,"NO",SUM(M52:M63))</f>
        <v>-9.7210986936851373</v>
      </c>
    </row>
    <row r="52" spans="2:13" ht="18" customHeight="1" x14ac:dyDescent="0.2">
      <c r="B52" s="2634" t="s">
        <v>671</v>
      </c>
      <c r="C52" s="2636" t="s">
        <v>671</v>
      </c>
      <c r="D52" s="3461">
        <v>0.87415939719991176</v>
      </c>
      <c r="E52" s="3461">
        <v>5.7738346247012435</v>
      </c>
      <c r="F52" s="3461">
        <v>0.64307481414591106</v>
      </c>
      <c r="G52" s="3081">
        <f>IF(SUM(D52)=0,"NA",J52/D52)</f>
        <v>5.0999999999999997E-2</v>
      </c>
      <c r="H52" s="3081">
        <f>IF(SUM(E52)=0,"NA",K52/E52)</f>
        <v>0.20817279352055879</v>
      </c>
      <c r="I52" s="3081">
        <f>IF(SUM(F52)=0,"NA",L52/F52)</f>
        <v>0.86871956503152148</v>
      </c>
      <c r="J52" s="3194">
        <v>4.4582129257195499E-2</v>
      </c>
      <c r="K52" s="3194">
        <v>1.2019552831497851</v>
      </c>
      <c r="L52" s="3194">
        <v>0.55865167282756234</v>
      </c>
      <c r="M52" s="3460">
        <v>-8.4423141318348341E-2</v>
      </c>
    </row>
    <row r="53" spans="2:13" ht="18" customHeight="1" x14ac:dyDescent="0.2">
      <c r="B53" s="2634" t="s">
        <v>672</v>
      </c>
      <c r="C53" s="2636" t="s">
        <v>672</v>
      </c>
      <c r="D53" s="3461">
        <v>8.2863234827590517</v>
      </c>
      <c r="E53" s="3461">
        <v>54.731278516803251</v>
      </c>
      <c r="F53" s="3461">
        <v>6.0958286906221382</v>
      </c>
      <c r="G53" s="3081">
        <f t="shared" ref="G53:G63" si="39">IF(SUM(D53)=0,"NA",J53/D53)</f>
        <v>5.1000000000000004E-2</v>
      </c>
      <c r="H53" s="3081">
        <f t="shared" ref="H53:H63" si="40">IF(SUM(E53)=0,"NA",K53/E53)</f>
        <v>0.20817279352055884</v>
      </c>
      <c r="I53" s="3081">
        <f t="shared" ref="I53:I63" si="41">IF(SUM(F53)=0,"NA",L53/F53)</f>
        <v>0.86871956503152059</v>
      </c>
      <c r="J53" s="3194">
        <v>0.42260249762071167</v>
      </c>
      <c r="K53" s="3194">
        <v>11.393563141794681</v>
      </c>
      <c r="L53" s="3194">
        <v>5.2955656486239278</v>
      </c>
      <c r="M53" s="3460">
        <v>-0.80026304199820208</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19.641111268396678</v>
      </c>
      <c r="E55" s="3461">
        <v>129.72980519609283</v>
      </c>
      <c r="F55" s="3461">
        <v>14.44897122767512</v>
      </c>
      <c r="G55" s="3081">
        <f t="shared" si="39"/>
        <v>5.099999999999999E-2</v>
      </c>
      <c r="H55" s="3081">
        <f t="shared" si="40"/>
        <v>0.20817279352055884</v>
      </c>
      <c r="I55" s="3081">
        <f t="shared" si="41"/>
        <v>0.86871956503152137</v>
      </c>
      <c r="J55" s="3194">
        <v>1.0016966746882303</v>
      </c>
      <c r="K55" s="3194">
        <v>27.006215950548555</v>
      </c>
      <c r="L55" s="3194">
        <v>12.552104000058897</v>
      </c>
      <c r="M55" s="3460">
        <v>-1.8968672276162135</v>
      </c>
    </row>
    <row r="56" spans="2:13" ht="18" customHeight="1" x14ac:dyDescent="0.2">
      <c r="B56" s="2634" t="s">
        <v>676</v>
      </c>
      <c r="C56" s="2636" t="s">
        <v>676</v>
      </c>
      <c r="D56" s="3461">
        <v>4.1891534000952732E-2</v>
      </c>
      <c r="E56" s="3461">
        <v>0.27669414785371899</v>
      </c>
      <c r="F56" s="3461">
        <v>3.0817480802976499E-2</v>
      </c>
      <c r="G56" s="3081">
        <f t="shared" si="39"/>
        <v>5.099999999999999E-2</v>
      </c>
      <c r="H56" s="3081">
        <f t="shared" si="40"/>
        <v>0.20817279352055887</v>
      </c>
      <c r="I56" s="3081">
        <f t="shared" si="41"/>
        <v>0.86871956503152103</v>
      </c>
      <c r="J56" s="3194">
        <v>2.136468234048589E-3</v>
      </c>
      <c r="K56" s="3194">
        <v>5.7600193709499231E-2</v>
      </c>
      <c r="L56" s="3194">
        <v>2.6771748518528996E-2</v>
      </c>
      <c r="M56" s="3460">
        <v>-4.0457322844474758E-3</v>
      </c>
    </row>
    <row r="57" spans="2:13" ht="18" customHeight="1" x14ac:dyDescent="0.2">
      <c r="B57" s="2634" t="s">
        <v>677</v>
      </c>
      <c r="C57" s="2636" t="s">
        <v>677</v>
      </c>
      <c r="D57" s="3461">
        <v>51.906424490790336</v>
      </c>
      <c r="E57" s="3461">
        <v>342.84263479790468</v>
      </c>
      <c r="F57" s="3461">
        <v>38.184928731893677</v>
      </c>
      <c r="G57" s="3081">
        <f t="shared" si="39"/>
        <v>5.0999999999999997E-2</v>
      </c>
      <c r="H57" s="3081">
        <f t="shared" si="40"/>
        <v>0.20817279352055884</v>
      </c>
      <c r="I57" s="3081">
        <f t="shared" si="41"/>
        <v>0.86871956503152092</v>
      </c>
      <c r="J57" s="3194">
        <v>2.6472276490303068</v>
      </c>
      <c r="K57" s="3194">
        <v>71.370509023828575</v>
      </c>
      <c r="L57" s="3194">
        <v>33.1719946787303</v>
      </c>
      <c r="M57" s="3460">
        <v>-5.0129340531633346</v>
      </c>
    </row>
    <row r="58" spans="2:13" ht="18" customHeight="1" x14ac:dyDescent="0.2">
      <c r="B58" s="2634" t="s">
        <v>679</v>
      </c>
      <c r="C58" s="2636" t="s">
        <v>679</v>
      </c>
      <c r="D58" s="3461">
        <v>13.438167957128844</v>
      </c>
      <c r="E58" s="3461">
        <v>88.759280849642636</v>
      </c>
      <c r="F58" s="3461">
        <v>9.8857798579678082</v>
      </c>
      <c r="G58" s="3081">
        <f t="shared" si="39"/>
        <v>5.0999999999999997E-2</v>
      </c>
      <c r="H58" s="3081">
        <f t="shared" si="40"/>
        <v>0.20817279352055887</v>
      </c>
      <c r="I58" s="3081">
        <f t="shared" si="41"/>
        <v>0.86871956503152159</v>
      </c>
      <c r="J58" s="3194">
        <v>0.68534656581357101</v>
      </c>
      <c r="K58" s="3194">
        <v>18.477267445345952</v>
      </c>
      <c r="L58" s="3194">
        <v>8.5879703782111712</v>
      </c>
      <c r="M58" s="3460">
        <v>-1.2978094797566324</v>
      </c>
    </row>
    <row r="59" spans="2:13" ht="18" customHeight="1" x14ac:dyDescent="0.2">
      <c r="B59" s="2634" t="s">
        <v>681</v>
      </c>
      <c r="C59" s="2636" t="s">
        <v>681</v>
      </c>
      <c r="D59" s="3461">
        <v>1.9392203362372786</v>
      </c>
      <c r="E59" s="3461">
        <v>12.808576511511209</v>
      </c>
      <c r="F59" s="3461">
        <v>1.4265862282191628</v>
      </c>
      <c r="G59" s="3081">
        <f t="shared" si="39"/>
        <v>5.1000000000000004E-2</v>
      </c>
      <c r="H59" s="3081">
        <f t="shared" si="40"/>
        <v>0.20817279352055887</v>
      </c>
      <c r="I59" s="3081">
        <f t="shared" si="41"/>
        <v>0.86871956503152148</v>
      </c>
      <c r="J59" s="3194">
        <v>9.8900237148101214E-2</v>
      </c>
      <c r="K59" s="3194">
        <v>2.666397153423103</v>
      </c>
      <c r="L59" s="3194">
        <v>1.2393033676585099</v>
      </c>
      <c r="M59" s="3460">
        <v>-0.18728286056065213</v>
      </c>
    </row>
    <row r="60" spans="2:13" ht="18" customHeight="1" x14ac:dyDescent="0.2">
      <c r="B60" s="2634" t="s">
        <v>683</v>
      </c>
      <c r="C60" s="2636" t="s">
        <v>683</v>
      </c>
      <c r="D60" s="3461">
        <v>0.80858403594904882</v>
      </c>
      <c r="E60" s="3461">
        <v>5.3407084779935419</v>
      </c>
      <c r="F60" s="3461">
        <v>0.59483434063040896</v>
      </c>
      <c r="G60" s="3081">
        <f t="shared" si="39"/>
        <v>5.1000000000000004E-2</v>
      </c>
      <c r="H60" s="3081">
        <f t="shared" si="40"/>
        <v>0.20817279352055884</v>
      </c>
      <c r="I60" s="3081">
        <f t="shared" si="41"/>
        <v>0.86871956503152103</v>
      </c>
      <c r="J60" s="3194">
        <v>4.1237785833401493E-2</v>
      </c>
      <c r="K60" s="3194">
        <v>1.1117902032428477</v>
      </c>
      <c r="L60" s="3194">
        <v>0.5167442296582605</v>
      </c>
      <c r="M60" s="3460">
        <v>-7.8090110972147894E-2</v>
      </c>
    </row>
    <row r="61" spans="2:13" ht="18" customHeight="1" x14ac:dyDescent="0.2">
      <c r="B61" s="2634" t="s">
        <v>686</v>
      </c>
      <c r="C61" s="2636" t="s">
        <v>686</v>
      </c>
      <c r="D61" s="3461">
        <v>6.6530288921475056E-2</v>
      </c>
      <c r="E61" s="3461">
        <v>0.43943345686912777</v>
      </c>
      <c r="F61" s="3461">
        <v>4.8942965459498528E-2</v>
      </c>
      <c r="G61" s="3081">
        <f t="shared" si="39"/>
        <v>5.1000000000000004E-2</v>
      </c>
      <c r="H61" s="3081">
        <f t="shared" si="40"/>
        <v>0.20817279352055887</v>
      </c>
      <c r="I61" s="3081">
        <f t="shared" si="41"/>
        <v>0.86871956503152103</v>
      </c>
      <c r="J61" s="3194">
        <v>3.3930447349952279E-3</v>
      </c>
      <c r="K61" s="3194">
        <v>9.1478090282842345E-2</v>
      </c>
      <c r="L61" s="3194">
        <v>4.251771166532832E-2</v>
      </c>
      <c r="M61" s="3460">
        <v>-6.4252537941701616E-3</v>
      </c>
    </row>
    <row r="62" spans="2:13" ht="18" customHeight="1" x14ac:dyDescent="0.2">
      <c r="B62" s="2634" t="s">
        <v>688</v>
      </c>
      <c r="C62" s="2636" t="s">
        <v>688</v>
      </c>
      <c r="D62" s="3461">
        <v>2.0910848484005897</v>
      </c>
      <c r="E62" s="3461">
        <v>13.811643665397064</v>
      </c>
      <c r="F62" s="3461">
        <v>1.5383052616673005</v>
      </c>
      <c r="G62" s="3081">
        <f t="shared" si="39"/>
        <v>5.1000000000000004E-2</v>
      </c>
      <c r="H62" s="3081">
        <f t="shared" si="40"/>
        <v>0.20817279352055884</v>
      </c>
      <c r="I62" s="3081">
        <f t="shared" si="41"/>
        <v>0.86871956503152081</v>
      </c>
      <c r="J62" s="3194">
        <v>0.10664532726843008</v>
      </c>
      <c r="K62" s="3194">
        <v>2.8752084449362374</v>
      </c>
      <c r="L62" s="3194">
        <v>1.3363558778013171</v>
      </c>
      <c r="M62" s="3460">
        <v>-0.2019493838659816</v>
      </c>
    </row>
    <row r="63" spans="2:13" ht="18" customHeight="1" x14ac:dyDescent="0.2">
      <c r="B63" s="2634" t="s">
        <v>689</v>
      </c>
      <c r="C63" s="2636" t="s">
        <v>689</v>
      </c>
      <c r="D63" s="3461">
        <v>1.5636165292873507</v>
      </c>
      <c r="E63" s="3461">
        <v>10.327708293788278</v>
      </c>
      <c r="F63" s="3461">
        <v>1.1502735224122795</v>
      </c>
      <c r="G63" s="3081">
        <f t="shared" si="39"/>
        <v>5.0999999999999997E-2</v>
      </c>
      <c r="H63" s="3081">
        <f t="shared" si="40"/>
        <v>0.20817279352055884</v>
      </c>
      <c r="I63" s="3081">
        <f t="shared" si="41"/>
        <v>0.86871956503152103</v>
      </c>
      <c r="J63" s="3194">
        <v>7.9744442993654879E-2</v>
      </c>
      <c r="K63" s="3194">
        <v>2.1499478861833503</v>
      </c>
      <c r="L63" s="3194">
        <v>0.99926511405727103</v>
      </c>
      <c r="M63" s="3460">
        <v>-0.1510084083550074</v>
      </c>
    </row>
    <row r="64" spans="2:13" ht="18" customHeight="1" x14ac:dyDescent="0.2">
      <c r="B64" s="104" t="s">
        <v>893</v>
      </c>
      <c r="C64" s="2524"/>
      <c r="D64" s="150"/>
      <c r="E64" s="150"/>
      <c r="F64" s="150"/>
      <c r="G64" s="2135"/>
      <c r="H64" s="2135"/>
      <c r="I64" s="2135"/>
      <c r="J64" s="3081">
        <f>IF(SUM(J65:J76)=0,"NO",SUM(J65:J76))</f>
        <v>0.29231406413389921</v>
      </c>
      <c r="K64" s="3081">
        <f>IF(SUM(K65:K76)=0,"NO",SUM(K65:K76))</f>
        <v>473.75017614671037</v>
      </c>
      <c r="L64" s="3081">
        <f>IF(SUM(L65:L76)=0,"NO",SUM(L65:L76))</f>
        <v>113.49455839229249</v>
      </c>
      <c r="M64" s="3193">
        <f>IF(SUM(M65:M76)=0,"NO",SUM(M65:M76))</f>
        <v>-24.572438412800498</v>
      </c>
    </row>
    <row r="65" spans="2:13" ht="18" customHeight="1" x14ac:dyDescent="0.2">
      <c r="B65" s="2634" t="s">
        <v>671</v>
      </c>
      <c r="C65" s="2636" t="s">
        <v>671</v>
      </c>
      <c r="D65" s="3461">
        <v>0.72531694273105418</v>
      </c>
      <c r="E65" s="3461">
        <v>39.538305195827661</v>
      </c>
      <c r="F65" s="3461">
        <v>1.2667077185677358</v>
      </c>
      <c r="G65" s="3081">
        <f>IF(SUM(D65)=0,"NA",J65/D65)</f>
        <v>3.4999999999999996E-3</v>
      </c>
      <c r="H65" s="3081">
        <f>IF(SUM(E65)=0,"NA",K65/E65)</f>
        <v>0.10405848306550729</v>
      </c>
      <c r="I65" s="3081">
        <f>IF(SUM(F65)=0,"NA",L65/F65)</f>
        <v>0.77811677475337893</v>
      </c>
      <c r="J65" s="3194">
        <v>2.5386092995586893E-3</v>
      </c>
      <c r="K65" s="3194">
        <v>4.1142960616588917</v>
      </c>
      <c r="L65" s="3194">
        <v>0.9856465245271373</v>
      </c>
      <c r="M65" s="3460">
        <v>-0.21339999788376385</v>
      </c>
    </row>
    <row r="66" spans="2:13" ht="18" customHeight="1" x14ac:dyDescent="0.2">
      <c r="B66" s="2634" t="s">
        <v>672</v>
      </c>
      <c r="C66" s="2636" t="s">
        <v>672</v>
      </c>
      <c r="D66" s="3461">
        <v>6.8754174973661684</v>
      </c>
      <c r="E66" s="3461">
        <v>374.79112832525652</v>
      </c>
      <c r="F66" s="3461">
        <v>12.007363814633409</v>
      </c>
      <c r="G66" s="3081">
        <f t="shared" ref="G66:G76" si="42">IF(SUM(D66)=0,"NA",J66/D66)</f>
        <v>3.5000000000000001E-3</v>
      </c>
      <c r="H66" s="3081">
        <f t="shared" ref="H66:H76" si="43">IF(SUM(E66)=0,"NA",K66/E66)</f>
        <v>0.10405848306550729</v>
      </c>
      <c r="I66" s="3081">
        <f t="shared" ref="I66:I76" si="44">IF(SUM(F66)=0,"NA",L66/F66)</f>
        <v>0.7781167747533777</v>
      </c>
      <c r="J66" s="3194">
        <v>2.4063961240781591E-2</v>
      </c>
      <c r="K66" s="3194">
        <v>39.000196279936077</v>
      </c>
      <c r="L66" s="3194">
        <v>9.3431312047329627</v>
      </c>
      <c r="M66" s="3460">
        <v>-2.0228592398012863</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16.296834218869588</v>
      </c>
      <c r="E68" s="3461">
        <v>888.3691626522459</v>
      </c>
      <c r="F68" s="3461">
        <v>28.461110553314899</v>
      </c>
      <c r="G68" s="3081">
        <f t="shared" si="42"/>
        <v>3.4999999999999996E-3</v>
      </c>
      <c r="H68" s="3081">
        <f t="shared" si="43"/>
        <v>0.10405848306550727</v>
      </c>
      <c r="I68" s="3081">
        <f t="shared" si="44"/>
        <v>0.77811677475337926</v>
      </c>
      <c r="J68" s="3194">
        <v>5.7038919766043548E-2</v>
      </c>
      <c r="K68" s="3194">
        <v>92.442347467767604</v>
      </c>
      <c r="L68" s="3194">
        <v>22.146067549644755</v>
      </c>
      <c r="M68" s="3460">
        <v>-4.7947927077561179</v>
      </c>
    </row>
    <row r="69" spans="2:13" ht="18" customHeight="1" x14ac:dyDescent="0.2">
      <c r="B69" s="2634" t="s">
        <v>676</v>
      </c>
      <c r="C69" s="2636" t="s">
        <v>676</v>
      </c>
      <c r="D69" s="3461">
        <v>3.4758694427140462E-2</v>
      </c>
      <c r="E69" s="3461">
        <v>1.8947577086702374</v>
      </c>
      <c r="F69" s="3461">
        <v>6.0703264909836886E-2</v>
      </c>
      <c r="G69" s="3081">
        <f t="shared" si="42"/>
        <v>3.4999999999999996E-3</v>
      </c>
      <c r="H69" s="3081">
        <f t="shared" si="43"/>
        <v>0.10405848306550727</v>
      </c>
      <c r="I69" s="3081">
        <f t="shared" si="44"/>
        <v>0.77811677475337904</v>
      </c>
      <c r="J69" s="3194">
        <v>1.2165543049499161E-4</v>
      </c>
      <c r="K69" s="3194">
        <v>0.19716561294090126</v>
      </c>
      <c r="L69" s="3194">
        <v>4.7234228708642245E-2</v>
      </c>
      <c r="M69" s="3460">
        <v>-1.0226571144560404E-2</v>
      </c>
    </row>
    <row r="70" spans="2:13" ht="18" customHeight="1" x14ac:dyDescent="0.2">
      <c r="B70" s="2634" t="s">
        <v>677</v>
      </c>
      <c r="C70" s="2636" t="s">
        <v>677</v>
      </c>
      <c r="D70" s="3461">
        <v>43.068357144424191</v>
      </c>
      <c r="E70" s="3461">
        <v>2347.7320723370462</v>
      </c>
      <c r="F70" s="3461">
        <v>75.215422675026204</v>
      </c>
      <c r="G70" s="3081">
        <f t="shared" si="42"/>
        <v>3.4999999999999996E-3</v>
      </c>
      <c r="H70" s="3081">
        <f t="shared" si="43"/>
        <v>0.10405848306550729</v>
      </c>
      <c r="I70" s="3081">
        <f t="shared" si="44"/>
        <v>0.7781167747533787</v>
      </c>
      <c r="J70" s="3194">
        <v>0.15073925000548466</v>
      </c>
      <c r="K70" s="3194">
        <v>244.30143809163286</v>
      </c>
      <c r="L70" s="3194">
        <v>58.526382103603538</v>
      </c>
      <c r="M70" s="3460">
        <v>-12.671408569157373</v>
      </c>
    </row>
    <row r="71" spans="2:13" ht="18" customHeight="1" x14ac:dyDescent="0.2">
      <c r="B71" s="2634" t="s">
        <v>679</v>
      </c>
      <c r="C71" s="2636" t="s">
        <v>679</v>
      </c>
      <c r="D71" s="3461">
        <v>11.15006133868979</v>
      </c>
      <c r="E71" s="3461">
        <v>607.80949980480955</v>
      </c>
      <c r="F71" s="3461">
        <v>19.472685564246024</v>
      </c>
      <c r="G71" s="3081">
        <f t="shared" si="42"/>
        <v>3.4999999999999996E-3</v>
      </c>
      <c r="H71" s="3081">
        <f t="shared" si="43"/>
        <v>0.10405848306550729</v>
      </c>
      <c r="I71" s="3081">
        <f t="shared" si="44"/>
        <v>0.7781167747533787</v>
      </c>
      <c r="J71" s="3194">
        <v>3.9025214685414263E-2</v>
      </c>
      <c r="K71" s="3194">
        <v>63.247734542493227</v>
      </c>
      <c r="L71" s="3194">
        <v>15.152023287037792</v>
      </c>
      <c r="M71" s="3460">
        <v>-3.2805287259951998</v>
      </c>
    </row>
    <row r="72" spans="2:13" ht="18" customHeight="1" x14ac:dyDescent="0.2">
      <c r="B72" s="2634" t="s">
        <v>681</v>
      </c>
      <c r="C72" s="2636" t="s">
        <v>681</v>
      </c>
      <c r="D72" s="3461">
        <v>1.6090307672341428</v>
      </c>
      <c r="E72" s="3461">
        <v>87.711103651924233</v>
      </c>
      <c r="F72" s="3461">
        <v>2.8100428546368645</v>
      </c>
      <c r="G72" s="3081">
        <f t="shared" si="42"/>
        <v>3.4999999999999996E-3</v>
      </c>
      <c r="H72" s="3081">
        <f t="shared" si="43"/>
        <v>0.10405848306550727</v>
      </c>
      <c r="I72" s="3081">
        <f t="shared" si="44"/>
        <v>0.77811677475337904</v>
      </c>
      <c r="J72" s="3194">
        <v>5.6316076853194993E-3</v>
      </c>
      <c r="K72" s="3194">
        <v>9.1270843940207111</v>
      </c>
      <c r="L72" s="3194">
        <v>2.1865414829688152</v>
      </c>
      <c r="M72" s="3460">
        <v>-0.4734029251126935</v>
      </c>
    </row>
    <row r="73" spans="2:13" ht="18" customHeight="1" x14ac:dyDescent="0.2">
      <c r="B73" s="2634" t="s">
        <v>683</v>
      </c>
      <c r="C73" s="2636" t="s">
        <v>683</v>
      </c>
      <c r="D73" s="3461">
        <v>0.67090704827323244</v>
      </c>
      <c r="E73" s="3461">
        <v>36.572325930755099</v>
      </c>
      <c r="F73" s="3461">
        <v>1.1716852129350024</v>
      </c>
      <c r="G73" s="3081">
        <f t="shared" si="42"/>
        <v>3.4999999999999996E-3</v>
      </c>
      <c r="H73" s="3081">
        <f t="shared" si="43"/>
        <v>0.1040584830655073</v>
      </c>
      <c r="I73" s="3081">
        <f t="shared" si="44"/>
        <v>0.77811677475337848</v>
      </c>
      <c r="J73" s="3194">
        <v>2.3481746689563133E-3</v>
      </c>
      <c r="K73" s="3194">
        <v>3.8056607585316931</v>
      </c>
      <c r="L73" s="3194">
        <v>0.91170791891520953</v>
      </c>
      <c r="M73" s="3460">
        <v>-0.19739172525409726</v>
      </c>
    </row>
    <row r="74" spans="2:13" ht="18" customHeight="1" x14ac:dyDescent="0.2">
      <c r="B74" s="2634" t="s">
        <v>686</v>
      </c>
      <c r="C74" s="2636" t="s">
        <v>686</v>
      </c>
      <c r="D74" s="3461">
        <v>5.5202227321595028E-2</v>
      </c>
      <c r="E74" s="3461">
        <v>3.009170726265503</v>
      </c>
      <c r="F74" s="3461">
        <v>9.6406251268727414E-2</v>
      </c>
      <c r="G74" s="3081">
        <f t="shared" si="42"/>
        <v>3.4999999999999996E-3</v>
      </c>
      <c r="H74" s="3081">
        <f t="shared" si="43"/>
        <v>0.1040584830655073</v>
      </c>
      <c r="I74" s="3081">
        <f t="shared" si="44"/>
        <v>0.77811677475337793</v>
      </c>
      <c r="J74" s="3194">
        <v>1.9320779562558257E-4</v>
      </c>
      <c r="K74" s="3194">
        <v>0.31312974106031916</v>
      </c>
      <c r="L74" s="3194">
        <v>7.501532130328592E-2</v>
      </c>
      <c r="M74" s="3460">
        <v>-1.6241389797474349E-2</v>
      </c>
    </row>
    <row r="75" spans="2:13" ht="18" customHeight="1" x14ac:dyDescent="0.2">
      <c r="B75" s="2634" t="s">
        <v>688</v>
      </c>
      <c r="C75" s="2636" t="s">
        <v>688</v>
      </c>
      <c r="D75" s="3461">
        <v>1.7350374246291964</v>
      </c>
      <c r="E75" s="3461">
        <v>94.579948681288286</v>
      </c>
      <c r="F75" s="3461">
        <v>3.0301033497250365</v>
      </c>
      <c r="G75" s="3081">
        <f t="shared" si="42"/>
        <v>3.5000000000000001E-3</v>
      </c>
      <c r="H75" s="3081">
        <f t="shared" si="43"/>
        <v>0.10405848306550727</v>
      </c>
      <c r="I75" s="3081">
        <f t="shared" si="44"/>
        <v>0.7781167747533787</v>
      </c>
      <c r="J75" s="3194">
        <v>6.0726309862021875E-3</v>
      </c>
      <c r="K75" s="3194">
        <v>9.8418459881883837</v>
      </c>
      <c r="L75" s="3194">
        <v>2.3577742456574544</v>
      </c>
      <c r="M75" s="3460">
        <v>-0.51047612558171285</v>
      </c>
    </row>
    <row r="76" spans="2:13" ht="18" customHeight="1" x14ac:dyDescent="0.2">
      <c r="B76" s="2634" t="s">
        <v>689</v>
      </c>
      <c r="C76" s="2636" t="s">
        <v>689</v>
      </c>
      <c r="D76" s="3461">
        <v>1.297380734290821</v>
      </c>
      <c r="E76" s="3461">
        <v>70.722510954218819</v>
      </c>
      <c r="F76" s="3461">
        <v>2.265771131526745</v>
      </c>
      <c r="G76" s="3081">
        <f t="shared" si="42"/>
        <v>3.4999999999999996E-3</v>
      </c>
      <c r="H76" s="3081">
        <f t="shared" si="43"/>
        <v>0.10405848306550729</v>
      </c>
      <c r="I76" s="3081">
        <f t="shared" si="44"/>
        <v>0.77811677475337759</v>
      </c>
      <c r="J76" s="3194">
        <v>4.540832570017873E-3</v>
      </c>
      <c r="K76" s="3194">
        <v>7.3592772084797327</v>
      </c>
      <c r="L76" s="3194">
        <v>1.7630345251929018</v>
      </c>
      <c r="M76" s="3460">
        <v>-0.38171043531621546</v>
      </c>
    </row>
    <row r="77" spans="2:13" ht="18" customHeight="1" x14ac:dyDescent="0.2">
      <c r="B77" s="104" t="s">
        <v>894</v>
      </c>
      <c r="C77" s="2524"/>
      <c r="D77" s="150"/>
      <c r="E77" s="150"/>
      <c r="F77" s="150"/>
      <c r="G77" s="2135"/>
      <c r="H77" s="2135"/>
      <c r="I77" s="2135"/>
      <c r="J77" s="3081">
        <f>IF(SUM(J78:J89)=0,"NO",SUM(J78:J89))</f>
        <v>1.0887732612644101</v>
      </c>
      <c r="K77" s="3081">
        <f>IF(SUM(K78:K89)=0,"NO",SUM(K78:K89))</f>
        <v>550.40632493243083</v>
      </c>
      <c r="L77" s="3081">
        <f>IF(SUM(L78:L89)=0,"NO",SUM(L78:L89))</f>
        <v>522.26901164545632</v>
      </c>
      <c r="M77" s="3193">
        <f>IF(SUM(M78:M89)=0,"NO",SUM(M78:M89))</f>
        <v>-130.32969018693953</v>
      </c>
    </row>
    <row r="78" spans="2:13" ht="18" customHeight="1" x14ac:dyDescent="0.2">
      <c r="B78" s="2634" t="s">
        <v>671</v>
      </c>
      <c r="C78" s="2636" t="s">
        <v>671</v>
      </c>
      <c r="D78" s="3461">
        <v>0.90579135633526175</v>
      </c>
      <c r="E78" s="3461">
        <v>119.90341594988402</v>
      </c>
      <c r="F78" s="3461">
        <v>4.0121882129936441</v>
      </c>
      <c r="G78" s="3081">
        <f>IF(SUM(D78)=0,"NA",J78/D78)</f>
        <v>1.0438916654978724E-2</v>
      </c>
      <c r="H78" s="3081">
        <f>IF(SUM(E78)=0,"NA",K78/E78)</f>
        <v>3.986557343591373E-2</v>
      </c>
      <c r="I78" s="3081">
        <f>IF(SUM(F78)=0,"NA",L78/F78)</f>
        <v>0.92266722134246615</v>
      </c>
      <c r="J78" s="3194">
        <v>9.4554804755839321E-3</v>
      </c>
      <c r="K78" s="3194">
        <v>4.7800184337670109</v>
      </c>
      <c r="L78" s="3194">
        <v>3.7019145499858404</v>
      </c>
      <c r="M78" s="3460">
        <v>-0.29810704156043022</v>
      </c>
    </row>
    <row r="79" spans="2:13" ht="18" customHeight="1" x14ac:dyDescent="0.2">
      <c r="B79" s="2634" t="s">
        <v>672</v>
      </c>
      <c r="C79" s="2636" t="s">
        <v>672</v>
      </c>
      <c r="D79" s="3461">
        <v>8.586168850352788</v>
      </c>
      <c r="E79" s="3461">
        <v>1136.5873254135288</v>
      </c>
      <c r="F79" s="3461">
        <v>38.032296527466386</v>
      </c>
      <c r="G79" s="3081">
        <f t="shared" ref="G79:G89" si="45">IF(SUM(D79)=0,"NA",J79/D79)</f>
        <v>1.0438916654978724E-2</v>
      </c>
      <c r="H79" s="3081">
        <f t="shared" ref="H79:H89" si="46">IF(SUM(E79)=0,"NA",K79/E79)</f>
        <v>3.986557343591373E-2</v>
      </c>
      <c r="I79" s="3081">
        <f t="shared" ref="I79:I89" si="47">IF(SUM(F79)=0,"NA",L79/F79)</f>
        <v>3.1533157374077776</v>
      </c>
      <c r="J79" s="3194">
        <v>8.9630301014407235E-2</v>
      </c>
      <c r="K79" s="3194">
        <v>45.310705487601808</v>
      </c>
      <c r="L79" s="3194">
        <v>119.92783916981892</v>
      </c>
      <c r="M79" s="3460">
        <v>-87.662499257895675</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20.351836144208661</v>
      </c>
      <c r="E81" s="3461">
        <v>2694.0582480450603</v>
      </c>
      <c r="F81" s="3461">
        <v>90.148130162051118</v>
      </c>
      <c r="G81" s="3081">
        <f t="shared" si="45"/>
        <v>1.0438916654978725E-2</v>
      </c>
      <c r="H81" s="3081">
        <f t="shared" si="46"/>
        <v>3.9865573435913744E-2</v>
      </c>
      <c r="I81" s="3081">
        <f t="shared" si="47"/>
        <v>0.92266722134246615</v>
      </c>
      <c r="J81" s="3194">
        <v>0.21245112128517779</v>
      </c>
      <c r="K81" s="3194">
        <v>107.40017692806947</v>
      </c>
      <c r="L81" s="3194">
        <v>83.176724765838671</v>
      </c>
      <c r="M81" s="3460">
        <v>-6.6980388152733505</v>
      </c>
    </row>
    <row r="82" spans="2:13" ht="18" customHeight="1" x14ac:dyDescent="0.2">
      <c r="B82" s="2634" t="s">
        <v>676</v>
      </c>
      <c r="C82" s="2636" t="s">
        <v>676</v>
      </c>
      <c r="D82" s="3461">
        <v>4.3407403184398938E-2</v>
      </c>
      <c r="E82" s="3461">
        <v>5.7460207396778085</v>
      </c>
      <c r="F82" s="3461">
        <v>0.19227239274807853</v>
      </c>
      <c r="G82" s="3081">
        <f t="shared" si="45"/>
        <v>1.0438916654978725E-2</v>
      </c>
      <c r="H82" s="3081">
        <f t="shared" si="46"/>
        <v>3.986557343591373E-2</v>
      </c>
      <c r="I82" s="3081">
        <f t="shared" si="47"/>
        <v>1.8484209227939434</v>
      </c>
      <c r="J82" s="3194">
        <v>4.5312626405099861E-4</v>
      </c>
      <c r="K82" s="3194">
        <v>0.22906841176190901</v>
      </c>
      <c r="L82" s="3194">
        <v>0.35540031363120284</v>
      </c>
      <c r="M82" s="3460">
        <v>-0.19228278789316833</v>
      </c>
    </row>
    <row r="83" spans="2:13" ht="18" customHeight="1" x14ac:dyDescent="0.2">
      <c r="B83" s="2634" t="s">
        <v>677</v>
      </c>
      <c r="C83" s="2636" t="s">
        <v>677</v>
      </c>
      <c r="D83" s="3461">
        <v>53.784688230348721</v>
      </c>
      <c r="E83" s="3461">
        <v>7119.7056579455466</v>
      </c>
      <c r="F83" s="3461">
        <v>238.23840959404225</v>
      </c>
      <c r="G83" s="3081">
        <f t="shared" si="45"/>
        <v>1.0438916654978725E-2</v>
      </c>
      <c r="H83" s="3081">
        <f t="shared" si="46"/>
        <v>3.9865573435913737E-2</v>
      </c>
      <c r="I83" s="3081">
        <f t="shared" si="47"/>
        <v>0.9440743488022677</v>
      </c>
      <c r="J83" s="3194">
        <v>0.5614538777506255</v>
      </c>
      <c r="K83" s="3194">
        <v>283.83114874891874</v>
      </c>
      <c r="L83" s="3194">
        <v>224.91477139718336</v>
      </c>
      <c r="M83" s="3460">
        <v>-22.80120036745506</v>
      </c>
    </row>
    <row r="84" spans="2:13" ht="18" customHeight="1" x14ac:dyDescent="0.2">
      <c r="B84" s="2634" t="s">
        <v>679</v>
      </c>
      <c r="C84" s="2636" t="s">
        <v>679</v>
      </c>
      <c r="D84" s="3461">
        <v>13.924435771712158</v>
      </c>
      <c r="E84" s="3461">
        <v>1843.2361962008838</v>
      </c>
      <c r="F84" s="3461">
        <v>61.678063811388689</v>
      </c>
      <c r="G84" s="3081">
        <f t="shared" si="45"/>
        <v>1.0438916654978725E-2</v>
      </c>
      <c r="H84" s="3081">
        <f t="shared" si="46"/>
        <v>3.9865573435913737E-2</v>
      </c>
      <c r="I84" s="3081">
        <f t="shared" si="47"/>
        <v>1.0047810964796871</v>
      </c>
      <c r="J84" s="3194">
        <v>0.1453560244885076</v>
      </c>
      <c r="K84" s="3194">
        <v>73.481667939380628</v>
      </c>
      <c r="L84" s="3194">
        <v>61.972952585151234</v>
      </c>
      <c r="M84" s="3460">
        <v>-9.6473273748368324</v>
      </c>
    </row>
    <row r="85" spans="2:13" ht="18" customHeight="1" x14ac:dyDescent="0.2">
      <c r="B85" s="2634" t="s">
        <v>681</v>
      </c>
      <c r="C85" s="2636" t="s">
        <v>681</v>
      </c>
      <c r="D85" s="3461" t="s">
        <v>199</v>
      </c>
      <c r="E85" s="3461">
        <v>243.68395592758438</v>
      </c>
      <c r="F85" s="3461">
        <v>8.7225732002465435</v>
      </c>
      <c r="G85" s="3081" t="str">
        <f t="shared" si="45"/>
        <v>NA</v>
      </c>
      <c r="H85" s="3081">
        <f t="shared" si="46"/>
        <v>4.3515017388801702E-2</v>
      </c>
      <c r="I85" s="3081">
        <f t="shared" si="47"/>
        <v>0.96350013558206837</v>
      </c>
      <c r="J85" s="3194">
        <v>2.0975877037850539E-2</v>
      </c>
      <c r="K85" s="3194">
        <v>10.603911579560823</v>
      </c>
      <c r="L85" s="3194">
        <v>8.4042004610620609</v>
      </c>
      <c r="M85" s="3460">
        <v>-0.85325178726294926</v>
      </c>
    </row>
    <row r="86" spans="2:13" ht="18" customHeight="1" x14ac:dyDescent="0.2">
      <c r="B86" s="2634" t="s">
        <v>683</v>
      </c>
      <c r="C86" s="2636" t="s">
        <v>683</v>
      </c>
      <c r="D86" s="3461">
        <v>0.83784311302877224</v>
      </c>
      <c r="E86" s="3461">
        <v>110.90882086652533</v>
      </c>
      <c r="F86" s="3461">
        <v>3.7112125644834637</v>
      </c>
      <c r="G86" s="3081">
        <f t="shared" si="45"/>
        <v>1.0438916654978724E-2</v>
      </c>
      <c r="H86" s="3081">
        <f t="shared" si="46"/>
        <v>3.9865573435913737E-2</v>
      </c>
      <c r="I86" s="3081">
        <f t="shared" si="47"/>
        <v>0.9244995593836961</v>
      </c>
      <c r="J86" s="3194">
        <v>8.7461744268552723E-3</v>
      </c>
      <c r="K86" s="3194">
        <v>4.4214437429450673</v>
      </c>
      <c r="L86" s="3194">
        <v>3.4310143806441991</v>
      </c>
      <c r="M86" s="3460">
        <v>-0.28254463751464076</v>
      </c>
    </row>
    <row r="87" spans="2:13" ht="18" customHeight="1" x14ac:dyDescent="0.2">
      <c r="B87" s="2634" t="s">
        <v>686</v>
      </c>
      <c r="C87" s="2636" t="s">
        <v>686</v>
      </c>
      <c r="D87" s="3461">
        <v>6.8937725582532722E-2</v>
      </c>
      <c r="E87" s="3461">
        <v>9.1255770187565393</v>
      </c>
      <c r="F87" s="3461">
        <v>0.30535854430305814</v>
      </c>
      <c r="G87" s="3081">
        <f t="shared" si="45"/>
        <v>1.0438916654978724E-2</v>
      </c>
      <c r="H87" s="3081">
        <f t="shared" si="46"/>
        <v>3.986557343591373E-2</v>
      </c>
      <c r="I87" s="3081">
        <f t="shared" si="47"/>
        <v>2.5008040299523473</v>
      </c>
      <c r="J87" s="3194">
        <v>7.1963517173985361E-4</v>
      </c>
      <c r="K87" s="3194">
        <v>0.36379636078632549</v>
      </c>
      <c r="L87" s="3194">
        <v>0.76364187817347018</v>
      </c>
      <c r="M87" s="3460">
        <v>-0.5045858093443657</v>
      </c>
    </row>
    <row r="88" spans="2:13" ht="18" customHeight="1" x14ac:dyDescent="0.2">
      <c r="B88" s="2634" t="s">
        <v>688</v>
      </c>
      <c r="C88" s="2636" t="s">
        <v>688</v>
      </c>
      <c r="D88" s="3461" t="s">
        <v>199</v>
      </c>
      <c r="E88" s="3461">
        <v>262.76737022426721</v>
      </c>
      <c r="F88" s="3461">
        <v>9.4056566534834598</v>
      </c>
      <c r="G88" s="3081" t="str">
        <f t="shared" si="45"/>
        <v>NA</v>
      </c>
      <c r="H88" s="3081">
        <f t="shared" si="46"/>
        <v>4.3515017388801702E-2</v>
      </c>
      <c r="I88" s="3081">
        <f t="shared" si="47"/>
        <v>0.95675460731137052</v>
      </c>
      <c r="J88" s="3194">
        <v>2.2618543048527624E-2</v>
      </c>
      <c r="K88" s="3194">
        <v>11.434326684518682</v>
      </c>
      <c r="L88" s="3194">
        <v>8.9989053380091466</v>
      </c>
      <c r="M88" s="3460">
        <v>-0.85662564561020671</v>
      </c>
    </row>
    <row r="89" spans="2:13" ht="18" customHeight="1" x14ac:dyDescent="0.2">
      <c r="B89" s="2634" t="s">
        <v>689</v>
      </c>
      <c r="C89" s="2636" t="s">
        <v>689</v>
      </c>
      <c r="D89" s="3461" t="s">
        <v>199</v>
      </c>
      <c r="E89" s="3461">
        <v>196.48528549871781</v>
      </c>
      <c r="F89" s="3461">
        <v>7.0331149993445363</v>
      </c>
      <c r="G89" s="3081" t="str">
        <f t="shared" si="45"/>
        <v>NA</v>
      </c>
      <c r="H89" s="3081">
        <f t="shared" si="46"/>
        <v>4.3515017388801702E-2</v>
      </c>
      <c r="I89" s="3081">
        <f t="shared" si="47"/>
        <v>0.94149559712522701</v>
      </c>
      <c r="J89" s="3194">
        <v>1.6913100301083565E-2</v>
      </c>
      <c r="K89" s="3194">
        <v>8.5500606151203726</v>
      </c>
      <c r="L89" s="3194">
        <v>6.6216468059582745</v>
      </c>
      <c r="M89" s="3460">
        <v>-0.53322666229285143</v>
      </c>
    </row>
    <row r="90" spans="2:13" ht="18" customHeight="1" x14ac:dyDescent="0.2">
      <c r="B90" s="88" t="s">
        <v>657</v>
      </c>
      <c r="C90" s="2524" t="s">
        <v>895</v>
      </c>
      <c r="D90" s="150"/>
      <c r="E90" s="150"/>
      <c r="F90" s="150"/>
      <c r="G90" s="2135"/>
      <c r="H90" s="2135"/>
      <c r="I90" s="2135"/>
      <c r="J90" s="3081">
        <f>IF(SUM(J91,J104)=0,"NO",SUM(J91,J104))</f>
        <v>25.386629198380579</v>
      </c>
      <c r="K90" s="3081">
        <f t="shared" ref="K90:M90" si="48">IF(SUM(K91,K104)=0,"NO",SUM(K91,K104))</f>
        <v>4.0297054502880316</v>
      </c>
      <c r="L90" s="3081">
        <f t="shared" si="48"/>
        <v>3.3052292305013284</v>
      </c>
      <c r="M90" s="3193" t="str">
        <f t="shared" si="48"/>
        <v>NO</v>
      </c>
    </row>
    <row r="91" spans="2:13" ht="18" customHeight="1" x14ac:dyDescent="0.2">
      <c r="B91" s="104" t="s">
        <v>896</v>
      </c>
      <c r="C91" s="2524"/>
      <c r="D91" s="150"/>
      <c r="E91" s="150"/>
      <c r="F91" s="150"/>
      <c r="G91" s="2135"/>
      <c r="H91" s="2135"/>
      <c r="I91" s="2135"/>
      <c r="J91" s="3081">
        <f>IF(SUM(J92:J103)=0,"NO",SUM(J92:J103))</f>
        <v>25.386629198380579</v>
      </c>
      <c r="K91" s="3081">
        <f>IF(SUM(K92:K103)=0,"NO",SUM(K92:K103))</f>
        <v>4.0297054502880316</v>
      </c>
      <c r="L91" s="3081">
        <f>IF(SUM(L92:L103)=0,"NO",SUM(L92:L103))</f>
        <v>3.3052292305013284</v>
      </c>
      <c r="M91" s="3193" t="str">
        <f>IF(SUM(M92:M103)=0,"NO",SUM(M92:M103))</f>
        <v>NO</v>
      </c>
    </row>
    <row r="92" spans="2:13" ht="18" customHeight="1" x14ac:dyDescent="0.2">
      <c r="B92" s="2634" t="s">
        <v>671</v>
      </c>
      <c r="C92" s="2636" t="s">
        <v>671</v>
      </c>
      <c r="D92" s="3461">
        <v>0.36745143252234014</v>
      </c>
      <c r="E92" s="3461">
        <v>1.4666670803032931</v>
      </c>
      <c r="F92" s="3461">
        <v>2.8704351556209602E-2</v>
      </c>
      <c r="G92" s="3081">
        <f>IF(SUM(D92)=0,"NA",J92/D92)</f>
        <v>0.6</v>
      </c>
      <c r="H92" s="3081">
        <f>IF(SUM(E92)=0,"NA",K92/E92)</f>
        <v>2.3860960072225618E-2</v>
      </c>
      <c r="I92" s="3081">
        <f>IF(SUM(F92)=0,"NA",L92/F92)</f>
        <v>1.0000000000000056</v>
      </c>
      <c r="J92" s="3194">
        <v>0.22047085951340406</v>
      </c>
      <c r="K92" s="3194">
        <v>3.4996084642364603E-2</v>
      </c>
      <c r="L92" s="3194">
        <v>2.8704351556209762E-2</v>
      </c>
      <c r="M92" s="3460" t="s">
        <v>199</v>
      </c>
    </row>
    <row r="93" spans="2:13" ht="18" customHeight="1" x14ac:dyDescent="0.2">
      <c r="B93" s="2634" t="s">
        <v>672</v>
      </c>
      <c r="C93" s="2636" t="s">
        <v>672</v>
      </c>
      <c r="D93" s="3461">
        <v>3.4831421407084635</v>
      </c>
      <c r="E93" s="3461">
        <v>13.902816703493604</v>
      </c>
      <c r="F93" s="3461">
        <v>0.27209401754357188</v>
      </c>
      <c r="G93" s="3081">
        <f t="shared" ref="G93:G103" si="49">IF(SUM(D93)=0,"NA",J93/D93)</f>
        <v>0.6</v>
      </c>
      <c r="H93" s="3081">
        <f t="shared" ref="H93:H103" si="50">IF(SUM(E93)=0,"NA",K93/E93)</f>
        <v>2.3860960072225622E-2</v>
      </c>
      <c r="I93" s="3081">
        <f t="shared" ref="I93:I103" si="51">IF(SUM(F93)=0,"NA",L93/F93)</f>
        <v>1.0000000000000038</v>
      </c>
      <c r="J93" s="3194">
        <v>2.0898852844250779</v>
      </c>
      <c r="K93" s="3194">
        <v>0.33173455425353232</v>
      </c>
      <c r="L93" s="3194">
        <v>0.27209401754357287</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8.2561080908365998</v>
      </c>
      <c r="E95" s="3461">
        <v>32.95391139213892</v>
      </c>
      <c r="F95" s="3461">
        <v>0.64494572112202087</v>
      </c>
      <c r="G95" s="3081">
        <f t="shared" si="49"/>
        <v>0.6</v>
      </c>
      <c r="H95" s="3081">
        <f t="shared" si="50"/>
        <v>2.3860960072225618E-2</v>
      </c>
      <c r="I95" s="3081">
        <f t="shared" si="51"/>
        <v>1.0000000000000024</v>
      </c>
      <c r="J95" s="3194">
        <v>4.9536648545019597</v>
      </c>
      <c r="K95" s="3194">
        <v>0.78631196395148772</v>
      </c>
      <c r="L95" s="3194">
        <v>0.64494572112202242</v>
      </c>
      <c r="M95" s="3460" t="s">
        <v>199</v>
      </c>
    </row>
    <row r="96" spans="2:13" ht="18" customHeight="1" x14ac:dyDescent="0.2">
      <c r="B96" s="2634" t="s">
        <v>676</v>
      </c>
      <c r="C96" s="2636" t="s">
        <v>676</v>
      </c>
      <c r="D96" s="3461">
        <v>1.7609035867503404E-2</v>
      </c>
      <c r="E96" s="3461">
        <v>7.0285732853081165E-2</v>
      </c>
      <c r="F96" s="3461">
        <v>1.3755721474183981E-3</v>
      </c>
      <c r="G96" s="3081">
        <f t="shared" si="49"/>
        <v>0.59999999999999987</v>
      </c>
      <c r="H96" s="3081">
        <f t="shared" si="50"/>
        <v>2.3860960072225625E-2</v>
      </c>
      <c r="I96" s="3081">
        <f t="shared" si="51"/>
        <v>1.0000000000000058</v>
      </c>
      <c r="J96" s="3194">
        <v>1.0565421520502041E-2</v>
      </c>
      <c r="K96" s="3194">
        <v>1.6770850652544865E-3</v>
      </c>
      <c r="L96" s="3194">
        <v>1.3755721474184059E-3</v>
      </c>
      <c r="M96" s="3460" t="s">
        <v>199</v>
      </c>
    </row>
    <row r="97" spans="2:13" ht="18" customHeight="1" x14ac:dyDescent="0.2">
      <c r="B97" s="2634" t="s">
        <v>677</v>
      </c>
      <c r="C97" s="2636" t="s">
        <v>677</v>
      </c>
      <c r="D97" s="3461">
        <v>21.818778242673012</v>
      </c>
      <c r="E97" s="3461">
        <v>87.088744113198331</v>
      </c>
      <c r="F97" s="3461">
        <v>1.7044262881369669</v>
      </c>
      <c r="G97" s="3081">
        <f t="shared" si="49"/>
        <v>0.6</v>
      </c>
      <c r="H97" s="3081">
        <f t="shared" si="50"/>
        <v>2.3860960072225618E-2</v>
      </c>
      <c r="I97" s="3081">
        <f t="shared" si="51"/>
        <v>1.0000000000000049</v>
      </c>
      <c r="J97" s="3194">
        <v>13.091266945603806</v>
      </c>
      <c r="K97" s="3194">
        <v>2.0780210460252992</v>
      </c>
      <c r="L97" s="3194">
        <v>1.7044262881369754</v>
      </c>
      <c r="M97" s="3460" t="s">
        <v>199</v>
      </c>
    </row>
    <row r="98" spans="2:13" ht="18" customHeight="1" x14ac:dyDescent="0.2">
      <c r="B98" s="2634" t="s">
        <v>679</v>
      </c>
      <c r="C98" s="2636" t="s">
        <v>679</v>
      </c>
      <c r="D98" s="3461">
        <v>5.6487113015540338</v>
      </c>
      <c r="E98" s="3461">
        <v>22.54659576438792</v>
      </c>
      <c r="F98" s="3461">
        <v>0.44126265592795977</v>
      </c>
      <c r="G98" s="3081">
        <f t="shared" si="49"/>
        <v>0.6</v>
      </c>
      <c r="H98" s="3081">
        <f t="shared" si="50"/>
        <v>2.3860960072225618E-2</v>
      </c>
      <c r="I98" s="3081">
        <f t="shared" si="51"/>
        <v>1.0000000000000064</v>
      </c>
      <c r="J98" s="3194">
        <v>3.3892267809324199</v>
      </c>
      <c r="K98" s="3194">
        <v>0.53798342129867138</v>
      </c>
      <c r="L98" s="3194">
        <v>0.44126265592796265</v>
      </c>
      <c r="M98" s="3460" t="s">
        <v>199</v>
      </c>
    </row>
    <row r="99" spans="2:13" ht="18" customHeight="1" x14ac:dyDescent="0.2">
      <c r="B99" s="2634" t="s">
        <v>681</v>
      </c>
      <c r="C99" s="2636" t="s">
        <v>681</v>
      </c>
      <c r="D99" s="3461">
        <v>0.81514800711326618</v>
      </c>
      <c r="E99" s="3461">
        <v>3.2536293011598905</v>
      </c>
      <c r="F99" s="3461">
        <v>6.3677245196479895E-2</v>
      </c>
      <c r="G99" s="3081">
        <f t="shared" si="49"/>
        <v>0.60000000000000009</v>
      </c>
      <c r="H99" s="3081">
        <f t="shared" si="50"/>
        <v>2.3860960072225618E-2</v>
      </c>
      <c r="I99" s="3081">
        <f t="shared" si="51"/>
        <v>1.0000000000000051</v>
      </c>
      <c r="J99" s="3194">
        <v>0.48908880426795975</v>
      </c>
      <c r="K99" s="3194">
        <v>7.7634718844799486E-2</v>
      </c>
      <c r="L99" s="3194">
        <v>6.3677245196480214E-2</v>
      </c>
      <c r="M99" s="3460" t="s">
        <v>199</v>
      </c>
    </row>
    <row r="100" spans="2:13" ht="18" customHeight="1" x14ac:dyDescent="0.2">
      <c r="B100" s="2634" t="s">
        <v>683</v>
      </c>
      <c r="C100" s="2636" t="s">
        <v>683</v>
      </c>
      <c r="D100" s="3461">
        <v>0.33988693969988404</v>
      </c>
      <c r="E100" s="3461">
        <v>1.356644555883022</v>
      </c>
      <c r="F100" s="3461">
        <v>2.6551084967988338E-2</v>
      </c>
      <c r="G100" s="3081">
        <f t="shared" si="49"/>
        <v>0.60000000000000009</v>
      </c>
      <c r="H100" s="3081">
        <f t="shared" si="50"/>
        <v>2.3860960072225622E-2</v>
      </c>
      <c r="I100" s="3081">
        <f t="shared" si="51"/>
        <v>1.0000000000000029</v>
      </c>
      <c r="J100" s="3194">
        <v>0.20393216381993046</v>
      </c>
      <c r="K100" s="3194">
        <v>3.2370841580127048E-2</v>
      </c>
      <c r="L100" s="3194">
        <v>2.6551084967988414E-2</v>
      </c>
      <c r="M100" s="3460" t="s">
        <v>199</v>
      </c>
    </row>
    <row r="101" spans="2:13" ht="18" customHeight="1" x14ac:dyDescent="0.2">
      <c r="B101" s="2634" t="s">
        <v>686</v>
      </c>
      <c r="C101" s="2636" t="s">
        <v>686</v>
      </c>
      <c r="D101" s="3461">
        <v>2.7965895062877732E-2</v>
      </c>
      <c r="E101" s="3461">
        <v>0.11162470473549031</v>
      </c>
      <c r="F101" s="3461">
        <v>2.1846230887128302E-3</v>
      </c>
      <c r="G101" s="3081">
        <f t="shared" si="49"/>
        <v>0.6</v>
      </c>
      <c r="H101" s="3081">
        <f t="shared" si="50"/>
        <v>2.3860960072225618E-2</v>
      </c>
      <c r="I101" s="3081">
        <f t="shared" si="51"/>
        <v>1.0000000000000042</v>
      </c>
      <c r="J101" s="3194">
        <v>1.6779537037726638E-2</v>
      </c>
      <c r="K101" s="3194">
        <v>2.6634726227675082E-3</v>
      </c>
      <c r="L101" s="3194">
        <v>2.1846230887128393E-3</v>
      </c>
      <c r="M101" s="3460" t="s">
        <v>199</v>
      </c>
    </row>
    <row r="102" spans="2:13" ht="18" customHeight="1" x14ac:dyDescent="0.2">
      <c r="B102" s="2634" t="s">
        <v>688</v>
      </c>
      <c r="C102" s="2636" t="s">
        <v>688</v>
      </c>
      <c r="D102" s="3461">
        <v>0.87898399940764804</v>
      </c>
      <c r="E102" s="3461">
        <v>3.5084280041992977</v>
      </c>
      <c r="F102" s="3461">
        <v>6.8663947118361837E-2</v>
      </c>
      <c r="G102" s="3081">
        <f t="shared" si="49"/>
        <v>0.6</v>
      </c>
      <c r="H102" s="3081">
        <f t="shared" si="50"/>
        <v>2.3860960072225618E-2</v>
      </c>
      <c r="I102" s="3081">
        <f t="shared" si="51"/>
        <v>1.0000000000000056</v>
      </c>
      <c r="J102" s="3194">
        <v>0.52739039964458878</v>
      </c>
      <c r="K102" s="3194">
        <v>8.371446052447766E-2</v>
      </c>
      <c r="L102" s="3194">
        <v>6.8663947118362212E-2</v>
      </c>
      <c r="M102" s="3460" t="s">
        <v>199</v>
      </c>
    </row>
    <row r="103" spans="2:13" ht="18" customHeight="1" x14ac:dyDescent="0.2">
      <c r="B103" s="2634" t="s">
        <v>689</v>
      </c>
      <c r="C103" s="2636" t="s">
        <v>689</v>
      </c>
      <c r="D103" s="3461">
        <v>0.6572635785219979</v>
      </c>
      <c r="E103" s="3461">
        <v>2.6234401838723134</v>
      </c>
      <c r="F103" s="3461">
        <v>5.1343723695622769E-2</v>
      </c>
      <c r="G103" s="3081">
        <f t="shared" si="49"/>
        <v>0.60000000000000009</v>
      </c>
      <c r="H103" s="3081">
        <f t="shared" si="50"/>
        <v>2.3860960072225622E-2</v>
      </c>
      <c r="I103" s="3081">
        <f t="shared" si="51"/>
        <v>1.0000000000000047</v>
      </c>
      <c r="J103" s="3194">
        <v>0.39435814711319883</v>
      </c>
      <c r="K103" s="3194">
        <v>6.259780147924951E-2</v>
      </c>
      <c r="L103" s="3194">
        <v>5.1343723695623011E-2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0.14478721613952805</v>
      </c>
      <c r="K117" s="3081">
        <f>IF(SUM(K118:K129)=0,"NO",SUM(K118:K129))</f>
        <v>19.813695868603425</v>
      </c>
      <c r="L117" s="3081">
        <f>IF(SUM(L118:L129)=0,"NO",SUM(L118:L129))</f>
        <v>21.86672334981143</v>
      </c>
      <c r="M117" s="3193">
        <f>IF(SUM(M118:M129)=0,"NO",SUM(M118:M129))</f>
        <v>-8.0251839538616601</v>
      </c>
    </row>
    <row r="118" spans="2:13" ht="18" customHeight="1" x14ac:dyDescent="0.2">
      <c r="B118" s="2634" t="s">
        <v>671</v>
      </c>
      <c r="C118" s="2636" t="s">
        <v>671</v>
      </c>
      <c r="D118" s="3461">
        <v>0.3579045340186518</v>
      </c>
      <c r="E118" s="3461">
        <v>3.4392981957653244</v>
      </c>
      <c r="F118" s="3461">
        <v>0.25959706758375811</v>
      </c>
      <c r="G118" s="4443">
        <f>IF(SUM(D118)=0,"NA",J118/D118)</f>
        <v>3.5132509572944784E-3</v>
      </c>
      <c r="H118" s="3081">
        <f>IF(SUM(E118)=0,"NA",K118/E118)</f>
        <v>5.0031303285636881E-2</v>
      </c>
      <c r="I118" s="3081">
        <f>IF(SUM(F118)=0,"NA",L118/F118)</f>
        <v>0.73152653417751168</v>
      </c>
      <c r="J118" s="3194">
        <v>1.2574084467610626E-3</v>
      </c>
      <c r="K118" s="3194">
        <v>0.17207257112207866</v>
      </c>
      <c r="L118" s="3194">
        <v>0.18990214313219184</v>
      </c>
      <c r="M118" s="3460">
        <v>-6.9694924451566179E-2</v>
      </c>
    </row>
    <row r="119" spans="2:13" ht="18" customHeight="1" x14ac:dyDescent="0.2">
      <c r="B119" s="2634" t="s">
        <v>672</v>
      </c>
      <c r="C119" s="2636" t="s">
        <v>672</v>
      </c>
      <c r="D119" s="3461">
        <v>3.3926452707874515</v>
      </c>
      <c r="E119" s="3461">
        <v>32.601762899385243</v>
      </c>
      <c r="F119" s="3461">
        <v>2.4607700655796378</v>
      </c>
      <c r="G119" s="4443">
        <f t="shared" ref="G119:G129" si="77">IF(SUM(D119)=0,"NA",J119/D119)</f>
        <v>3.5132509572944788E-3</v>
      </c>
      <c r="H119" s="3081">
        <f t="shared" ref="H119:H129" si="78">IF(SUM(E119)=0,"NA",K119/E119)</f>
        <v>5.0031303285636868E-2</v>
      </c>
      <c r="I119" s="3081">
        <f t="shared" ref="I119:I129" si="79">IF(SUM(F119)=0,"NA",L119/F119)</f>
        <v>0.73152653417751157</v>
      </c>
      <c r="J119" s="3194">
        <v>1.19192142453546E-2</v>
      </c>
      <c r="K119" s="3194">
        <v>1.6311086872655671</v>
      </c>
      <c r="L119" s="3194">
        <v>1.8001185974812404</v>
      </c>
      <c r="M119" s="3460">
        <v>-0.66065146809839648</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8.0416029372231197</v>
      </c>
      <c r="E121" s="3461">
        <v>77.276110929657222</v>
      </c>
      <c r="F121" s="3461">
        <v>5.8327747842033943</v>
      </c>
      <c r="G121" s="4443">
        <f t="shared" si="77"/>
        <v>3.5132509572944788E-3</v>
      </c>
      <c r="H121" s="3081">
        <f t="shared" si="78"/>
        <v>5.0031303285636881E-2</v>
      </c>
      <c r="I121" s="3081">
        <f t="shared" si="79"/>
        <v>0.73152653417751168</v>
      </c>
      <c r="J121" s="3194">
        <v>2.8252169217381218E-2</v>
      </c>
      <c r="K121" s="3194">
        <v>3.8662245426561994</v>
      </c>
      <c r="L121" s="3194">
        <v>4.2668295225262929</v>
      </c>
      <c r="M121" s="3460">
        <v>-1.5659452616770999</v>
      </c>
    </row>
    <row r="122" spans="2:13" ht="18" customHeight="1" x14ac:dyDescent="0.2">
      <c r="B122" s="2634" t="s">
        <v>676</v>
      </c>
      <c r="C122" s="2636" t="s">
        <v>676</v>
      </c>
      <c r="D122" s="3461">
        <v>1.7151528661664323E-2</v>
      </c>
      <c r="E122" s="3461">
        <v>0.16481831319187817</v>
      </c>
      <c r="F122" s="3461">
        <v>1.2440430678966481E-2</v>
      </c>
      <c r="G122" s="4443">
        <f t="shared" si="77"/>
        <v>3.5132509572944788E-3</v>
      </c>
      <c r="H122" s="3081">
        <f t="shared" si="78"/>
        <v>5.0031303285636868E-2</v>
      </c>
      <c r="I122" s="3081">
        <f t="shared" si="79"/>
        <v>0.73152653417751179</v>
      </c>
      <c r="J122" s="3194">
        <v>6.0257624489655872E-5</v>
      </c>
      <c r="K122" s="3194">
        <v>8.2460750143299403E-3</v>
      </c>
      <c r="L122" s="3194">
        <v>9.10050513825994E-3</v>
      </c>
      <c r="M122" s="3460">
        <v>-3.3399255407065387E-3</v>
      </c>
    </row>
    <row r="123" spans="2:13" ht="18" customHeight="1" x14ac:dyDescent="0.2">
      <c r="B123" s="2634" t="s">
        <v>677</v>
      </c>
      <c r="C123" s="2636" t="s">
        <v>677</v>
      </c>
      <c r="D123" s="3461">
        <v>21.251896083778124</v>
      </c>
      <c r="E123" s="3461">
        <v>204.22096092731027</v>
      </c>
      <c r="F123" s="3461">
        <v>15.41452923772138</v>
      </c>
      <c r="G123" s="4443">
        <f t="shared" si="77"/>
        <v>3.5132509572944779E-3</v>
      </c>
      <c r="H123" s="3081">
        <f t="shared" si="78"/>
        <v>5.0031303285636874E-2</v>
      </c>
      <c r="I123" s="3081">
        <f t="shared" si="79"/>
        <v>0.73152653417751168</v>
      </c>
      <c r="J123" s="3194">
        <v>7.4663244260656264E-2</v>
      </c>
      <c r="K123" s="3194">
        <v>10.217440833438458</v>
      </c>
      <c r="L123" s="3194">
        <v>11.276137149248243</v>
      </c>
      <c r="M123" s="3460">
        <v>-4.1383920884731333</v>
      </c>
    </row>
    <row r="124" spans="2:13" ht="18" customHeight="1" x14ac:dyDescent="0.2">
      <c r="B124" s="2634" t="s">
        <v>679</v>
      </c>
      <c r="C124" s="2636" t="s">
        <v>679</v>
      </c>
      <c r="D124" s="3461">
        <v>5.5019499374673781</v>
      </c>
      <c r="E124" s="3461">
        <v>52.871211997936172</v>
      </c>
      <c r="F124" s="3461">
        <v>3.9907012457258761</v>
      </c>
      <c r="G124" s="4443">
        <f t="shared" si="77"/>
        <v>3.5132509572944788E-3</v>
      </c>
      <c r="H124" s="3081">
        <f t="shared" si="78"/>
        <v>5.0031303285636874E-2</v>
      </c>
      <c r="I124" s="3081">
        <f t="shared" si="79"/>
        <v>0.7315265341775119</v>
      </c>
      <c r="J124" s="3194">
        <v>1.9329730884793565E-2</v>
      </c>
      <c r="K124" s="3194">
        <v>2.6452156425479476</v>
      </c>
      <c r="L124" s="3194">
        <v>2.9193038512237295</v>
      </c>
      <c r="M124" s="3460">
        <v>-1.0713973945021462</v>
      </c>
    </row>
    <row r="125" spans="2:13" ht="18" customHeight="1" x14ac:dyDescent="0.2">
      <c r="B125" s="2634" t="s">
        <v>681</v>
      </c>
      <c r="C125" s="2636" t="s">
        <v>681</v>
      </c>
      <c r="D125" s="3461">
        <v>0.79396932987700031</v>
      </c>
      <c r="E125" s="3461">
        <v>7.6296806108543569</v>
      </c>
      <c r="F125" s="3461">
        <v>0.575885718667005</v>
      </c>
      <c r="G125" s="4443">
        <f t="shared" si="77"/>
        <v>3.5132509572944788E-3</v>
      </c>
      <c r="H125" s="3081">
        <f t="shared" si="78"/>
        <v>5.0031303285636874E-2</v>
      </c>
      <c r="I125" s="3081">
        <f t="shared" si="79"/>
        <v>0.73152653417751146</v>
      </c>
      <c r="J125" s="3194">
        <v>2.7894135082528271E-3</v>
      </c>
      <c r="K125" s="3194">
        <v>0.38172286461419752</v>
      </c>
      <c r="L125" s="3194">
        <v>0.4212756838587996</v>
      </c>
      <c r="M125" s="3460">
        <v>-0.15461003480820507</v>
      </c>
    </row>
    <row r="126" spans="2:13" ht="18" customHeight="1" x14ac:dyDescent="0.2">
      <c r="B126" s="2634" t="s">
        <v>683</v>
      </c>
      <c r="C126" s="2636" t="s">
        <v>683</v>
      </c>
      <c r="D126" s="3461">
        <v>0.33105620499905586</v>
      </c>
      <c r="E126" s="3461">
        <v>3.1812980846194914</v>
      </c>
      <c r="F126" s="3461">
        <v>0.24012330622971007</v>
      </c>
      <c r="G126" s="4443">
        <f t="shared" si="77"/>
        <v>3.5132509572944784E-3</v>
      </c>
      <c r="H126" s="3081">
        <f t="shared" si="78"/>
        <v>5.0031303285636868E-2</v>
      </c>
      <c r="I126" s="3081">
        <f t="shared" si="79"/>
        <v>0.73152653417751168</v>
      </c>
      <c r="J126" s="3194">
        <v>1.1630835291312101E-3</v>
      </c>
      <c r="K126" s="3194">
        <v>0.15916448931361343</v>
      </c>
      <c r="L126" s="3194">
        <v>0.17565656998146512</v>
      </c>
      <c r="M126" s="3460">
        <v>-6.446673624824488E-2</v>
      </c>
    </row>
    <row r="127" spans="2:13" ht="18" customHeight="1" x14ac:dyDescent="0.2">
      <c r="B127" s="2634" t="s">
        <v>686</v>
      </c>
      <c r="C127" s="2636" t="s">
        <v>686</v>
      </c>
      <c r="D127" s="3461">
        <v>2.7239302272376465E-2</v>
      </c>
      <c r="E127" s="3461">
        <v>0.26175718454130692</v>
      </c>
      <c r="F127" s="3461">
        <v>1.975734398650569E-2</v>
      </c>
      <c r="G127" s="4443">
        <f t="shared" si="77"/>
        <v>3.5132509572944788E-3</v>
      </c>
      <c r="H127" s="3081">
        <f t="shared" si="78"/>
        <v>5.0031303285636874E-2</v>
      </c>
      <c r="I127" s="3081">
        <f t="shared" si="79"/>
        <v>0.73152653417751168</v>
      </c>
      <c r="J127" s="3194">
        <v>9.5698504784460289E-5</v>
      </c>
      <c r="K127" s="3194">
        <v>1.3096053086980546E-2</v>
      </c>
      <c r="L127" s="3194">
        <v>1.445302137100141E-2</v>
      </c>
      <c r="M127" s="3460">
        <v>-5.3043226155042736E-3</v>
      </c>
    </row>
    <row r="128" spans="2:13" ht="18" customHeight="1" x14ac:dyDescent="0.2">
      <c r="B128" s="2634" t="s">
        <v>688</v>
      </c>
      <c r="C128" s="2636" t="s">
        <v>688</v>
      </c>
      <c r="D128" s="3461">
        <v>0.85614677444132359</v>
      </c>
      <c r="E128" s="3461">
        <v>8.227177296649991</v>
      </c>
      <c r="F128" s="3461">
        <v>0.6209845669478955</v>
      </c>
      <c r="G128" s="4443">
        <f t="shared" si="77"/>
        <v>3.5132509572944784E-3</v>
      </c>
      <c r="H128" s="3081">
        <f t="shared" si="78"/>
        <v>5.0031303285636874E-2</v>
      </c>
      <c r="I128" s="3081">
        <f t="shared" si="79"/>
        <v>0.73152653417751179</v>
      </c>
      <c r="J128" s="3194">
        <v>3.00785847489056E-3</v>
      </c>
      <c r="K128" s="3194">
        <v>0.41161640251340181</v>
      </c>
      <c r="L128" s="3194">
        <v>0.45426668803711701</v>
      </c>
      <c r="M128" s="3460">
        <v>-0.16671787891077833</v>
      </c>
    </row>
    <row r="129" spans="2:13" ht="18" customHeight="1" x14ac:dyDescent="0.2">
      <c r="B129" s="2634" t="s">
        <v>689</v>
      </c>
      <c r="C129" s="2636" t="s">
        <v>689</v>
      </c>
      <c r="D129" s="3461">
        <v>0.64018695799762693</v>
      </c>
      <c r="E129" s="3461">
        <v>6.1519026452986658</v>
      </c>
      <c r="F129" s="3461">
        <v>0.46434353634896858</v>
      </c>
      <c r="G129" s="4443">
        <f t="shared" si="77"/>
        <v>3.5132509572944792E-3</v>
      </c>
      <c r="H129" s="3081">
        <f t="shared" si="78"/>
        <v>5.0031303285636874E-2</v>
      </c>
      <c r="I129" s="3081">
        <f t="shared" si="79"/>
        <v>0.73152653417751146</v>
      </c>
      <c r="J129" s="3194">
        <v>2.2491374430326032E-3</v>
      </c>
      <c r="K129" s="3194">
        <v>0.30778770703064934</v>
      </c>
      <c r="L129" s="3194">
        <v>0.33967961781309031</v>
      </c>
      <c r="M129" s="3460">
        <v>-0.12466391853587801</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62.807062936318125</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62.807062936318125</v>
      </c>
      <c r="L131" s="3196"/>
      <c r="M131" s="3193" t="str">
        <f>IF(SUM(M132:M143)=0,"NO",SUM(M132:M143))</f>
        <v>NO</v>
      </c>
    </row>
    <row r="132" spans="2:13" ht="18" customHeight="1" x14ac:dyDescent="0.2">
      <c r="B132" s="2634" t="s">
        <v>671</v>
      </c>
      <c r="C132" s="2636" t="s">
        <v>671</v>
      </c>
      <c r="D132" s="3461" t="s">
        <v>199</v>
      </c>
      <c r="E132" s="3461">
        <v>0.68908495322464169</v>
      </c>
      <c r="F132" s="346"/>
      <c r="G132" s="3668" t="str">
        <f>IF(SUM(D132)=0,"NA",J132/D132)</f>
        <v>NA</v>
      </c>
      <c r="H132" s="3081">
        <f>IF(SUM(E132)=0,"NA",K132/E132)</f>
        <v>0.7915564162276153</v>
      </c>
      <c r="I132" s="4253"/>
      <c r="J132" s="3194" t="s">
        <v>199</v>
      </c>
      <c r="K132" s="3194">
        <v>0.54544961605087128</v>
      </c>
      <c r="L132" s="3196"/>
      <c r="M132" s="3460" t="s">
        <v>199</v>
      </c>
    </row>
    <row r="133" spans="2:13" ht="18" customHeight="1" x14ac:dyDescent="0.2">
      <c r="B133" s="2634" t="s">
        <v>672</v>
      </c>
      <c r="C133" s="2636" t="s">
        <v>672</v>
      </c>
      <c r="D133" s="3461" t="s">
        <v>199</v>
      </c>
      <c r="E133" s="3461">
        <v>6.531967565424976</v>
      </c>
      <c r="F133" s="346"/>
      <c r="G133" s="3668" t="str">
        <f t="shared" ref="G133:G143" si="80">IF(SUM(D133)=0,"NA",J133/D133)</f>
        <v>NA</v>
      </c>
      <c r="H133" s="3081">
        <f t="shared" ref="H133:H143" si="81">IF(SUM(E133)=0,"NA",K133/E133)</f>
        <v>0.79155641622761508</v>
      </c>
      <c r="I133" s="4253"/>
      <c r="J133" s="3194" t="s">
        <v>199</v>
      </c>
      <c r="K133" s="3194">
        <v>5.1704208370028137</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15.482753240445831</v>
      </c>
      <c r="F135" s="346"/>
      <c r="G135" s="3668" t="str">
        <f t="shared" si="80"/>
        <v>NA</v>
      </c>
      <c r="H135" s="3081">
        <f t="shared" si="81"/>
        <v>0.79155641622761519</v>
      </c>
      <c r="I135" s="4253"/>
      <c r="J135" s="3194" t="s">
        <v>199</v>
      </c>
      <c r="K135" s="3194">
        <v>12.255472668343797</v>
      </c>
      <c r="L135" s="3196"/>
      <c r="M135" s="3460" t="s">
        <v>199</v>
      </c>
    </row>
    <row r="136" spans="2:13" ht="18" customHeight="1" x14ac:dyDescent="0.2">
      <c r="B136" s="2634" t="s">
        <v>676</v>
      </c>
      <c r="C136" s="2636" t="s">
        <v>676</v>
      </c>
      <c r="D136" s="3461" t="s">
        <v>199</v>
      </c>
      <c r="E136" s="3461">
        <v>3.3022382233744312E-2</v>
      </c>
      <c r="F136" s="346"/>
      <c r="G136" s="3668" t="str">
        <f t="shared" si="80"/>
        <v>NA</v>
      </c>
      <c r="H136" s="3081">
        <f t="shared" si="81"/>
        <v>0.79155641622761519</v>
      </c>
      <c r="I136" s="4253"/>
      <c r="J136" s="3194" t="s">
        <v>199</v>
      </c>
      <c r="K136" s="3194">
        <v>2.6139078536241117E-2</v>
      </c>
      <c r="L136" s="3196"/>
      <c r="M136" s="3460" t="s">
        <v>199</v>
      </c>
    </row>
    <row r="137" spans="2:13" ht="18" customHeight="1" x14ac:dyDescent="0.2">
      <c r="B137" s="2634" t="s">
        <v>677</v>
      </c>
      <c r="C137" s="2636" t="s">
        <v>677</v>
      </c>
      <c r="D137" s="3461" t="s">
        <v>199</v>
      </c>
      <c r="E137" s="3461">
        <v>40.916949708332062</v>
      </c>
      <c r="F137" s="346"/>
      <c r="G137" s="3668" t="str">
        <f t="shared" si="80"/>
        <v>NA</v>
      </c>
      <c r="H137" s="3081">
        <f t="shared" si="81"/>
        <v>0.79155641622761519</v>
      </c>
      <c r="I137" s="4253"/>
      <c r="J137" s="3194" t="s">
        <v>199</v>
      </c>
      <c r="K137" s="3194">
        <v>32.388074074092891</v>
      </c>
      <c r="L137" s="3196"/>
      <c r="M137" s="3460" t="s">
        <v>199</v>
      </c>
    </row>
    <row r="138" spans="2:13" ht="18" customHeight="1" x14ac:dyDescent="0.2">
      <c r="B138" s="2634" t="s">
        <v>679</v>
      </c>
      <c r="C138" s="2636" t="s">
        <v>679</v>
      </c>
      <c r="D138" s="3461" t="s">
        <v>199</v>
      </c>
      <c r="E138" s="3461">
        <v>10.593078754085999</v>
      </c>
      <c r="F138" s="346"/>
      <c r="G138" s="3668" t="str">
        <f t="shared" si="80"/>
        <v>NA</v>
      </c>
      <c r="H138" s="3081">
        <f t="shared" si="81"/>
        <v>0.79155641622761508</v>
      </c>
      <c r="I138" s="4253"/>
      <c r="J138" s="3194" t="s">
        <v>199</v>
      </c>
      <c r="K138" s="3194">
        <v>8.3850194554012027</v>
      </c>
      <c r="L138" s="3196"/>
      <c r="M138" s="3460" t="s">
        <v>199</v>
      </c>
    </row>
    <row r="139" spans="2:13" ht="18" customHeight="1" x14ac:dyDescent="0.2">
      <c r="B139" s="2634" t="s">
        <v>681</v>
      </c>
      <c r="C139" s="2636" t="s">
        <v>681</v>
      </c>
      <c r="D139" s="3461" t="s">
        <v>199</v>
      </c>
      <c r="E139" s="3461">
        <v>1.5286543380631796</v>
      </c>
      <c r="F139" s="346"/>
      <c r="G139" s="3668" t="str">
        <f t="shared" si="80"/>
        <v>NA</v>
      </c>
      <c r="H139" s="3081">
        <f t="shared" si="81"/>
        <v>0.7915564162276153</v>
      </c>
      <c r="I139" s="4253"/>
      <c r="J139" s="3194" t="s">
        <v>199</v>
      </c>
      <c r="K139" s="3194">
        <v>1.2100161494880879</v>
      </c>
      <c r="L139" s="3196"/>
      <c r="M139" s="3460" t="s">
        <v>199</v>
      </c>
    </row>
    <row r="140" spans="2:13" ht="18" customHeight="1" x14ac:dyDescent="0.2">
      <c r="B140" s="2634" t="s">
        <v>683</v>
      </c>
      <c r="C140" s="2636" t="s">
        <v>683</v>
      </c>
      <c r="D140" s="3461" t="s">
        <v>199</v>
      </c>
      <c r="E140" s="3461">
        <v>0.63739301364819634</v>
      </c>
      <c r="F140" s="346"/>
      <c r="G140" s="3668" t="str">
        <f t="shared" si="80"/>
        <v>NA</v>
      </c>
      <c r="H140" s="3081">
        <f t="shared" si="81"/>
        <v>0.79155641622761508</v>
      </c>
      <c r="I140" s="4253"/>
      <c r="J140" s="3194" t="s">
        <v>199</v>
      </c>
      <c r="K140" s="3194">
        <v>0.50453252961188566</v>
      </c>
      <c r="L140" s="3196"/>
      <c r="M140" s="3460" t="s">
        <v>199</v>
      </c>
    </row>
    <row r="141" spans="2:13" ht="18" customHeight="1" x14ac:dyDescent="0.2">
      <c r="B141" s="2634" t="s">
        <v>686</v>
      </c>
      <c r="C141" s="2636" t="s">
        <v>686</v>
      </c>
      <c r="D141" s="3461" t="s">
        <v>199</v>
      </c>
      <c r="E141" s="3461">
        <v>5.244469278294818E-2</v>
      </c>
      <c r="F141" s="346"/>
      <c r="G141" s="3668" t="str">
        <f t="shared" si="80"/>
        <v>NA</v>
      </c>
      <c r="H141" s="3081">
        <f t="shared" si="81"/>
        <v>0.79155641622761519</v>
      </c>
      <c r="I141" s="4253"/>
      <c r="J141" s="3194" t="s">
        <v>199</v>
      </c>
      <c r="K141" s="3194">
        <v>4.1512933069428735E-2</v>
      </c>
      <c r="L141" s="3196"/>
      <c r="M141" s="3460" t="s">
        <v>199</v>
      </c>
    </row>
    <row r="142" spans="2:13" ht="18" customHeight="1" x14ac:dyDescent="0.2">
      <c r="B142" s="2634" t="s">
        <v>688</v>
      </c>
      <c r="C142" s="2636" t="s">
        <v>688</v>
      </c>
      <c r="D142" s="3461" t="s">
        <v>199</v>
      </c>
      <c r="E142" s="3461">
        <v>1.648366544550627</v>
      </c>
      <c r="F142" s="346"/>
      <c r="G142" s="3668" t="str">
        <f t="shared" si="80"/>
        <v>NA</v>
      </c>
      <c r="H142" s="3081">
        <f t="shared" si="81"/>
        <v>0.79155641622761519</v>
      </c>
      <c r="I142" s="4253"/>
      <c r="J142" s="3194" t="s">
        <v>199</v>
      </c>
      <c r="K142" s="3194">
        <v>1.3047751146339919</v>
      </c>
      <c r="L142" s="3196"/>
      <c r="M142" s="3460" t="s">
        <v>199</v>
      </c>
    </row>
    <row r="143" spans="2:13" ht="18" customHeight="1" x14ac:dyDescent="0.2">
      <c r="B143" s="2634" t="s">
        <v>689</v>
      </c>
      <c r="C143" s="2636" t="s">
        <v>689</v>
      </c>
      <c r="D143" s="3461" t="s">
        <v>199</v>
      </c>
      <c r="E143" s="3461">
        <v>1.2325722590142734</v>
      </c>
      <c r="F143" s="346"/>
      <c r="G143" s="3668" t="str">
        <f t="shared" si="80"/>
        <v>NA</v>
      </c>
      <c r="H143" s="3081">
        <f t="shared" si="81"/>
        <v>0.79155641622761519</v>
      </c>
      <c r="I143" s="4253"/>
      <c r="J143" s="3194" t="s">
        <v>199</v>
      </c>
      <c r="K143" s="3194">
        <v>0.97565048008691413</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32.404859662019327</v>
      </c>
      <c r="L146" s="3081">
        <f>IF(SUM(L147:L158)=0,"NO",SUM(L147:L158))</f>
        <v>11.686119506664005</v>
      </c>
      <c r="M146" s="3193" t="str">
        <f>IF(SUM(M147:M158)=0,"NO",SUM(M147:M158))</f>
        <v>NO</v>
      </c>
    </row>
    <row r="147" spans="2:13" ht="18" customHeight="1" x14ac:dyDescent="0.2">
      <c r="B147" s="2634" t="s">
        <v>671</v>
      </c>
      <c r="C147" s="2636" t="s">
        <v>671</v>
      </c>
      <c r="D147" s="3461">
        <v>0.42475430727749114</v>
      </c>
      <c r="E147" s="3461">
        <v>0.77521889259260235</v>
      </c>
      <c r="F147" s="3461">
        <v>0.10148841706700162</v>
      </c>
      <c r="G147" s="3668" t="str">
        <f>IFERROR(J147/D147,"NA")</f>
        <v>NA</v>
      </c>
      <c r="H147" s="3081">
        <f>IF(SUM(E147)=0,"NA",K147/E147)</f>
        <v>0.36302117010559276</v>
      </c>
      <c r="I147" s="3081">
        <f>IF(SUM(F147)=0,"NA",L147/F147)</f>
        <v>1.0000000000000011</v>
      </c>
      <c r="J147" s="3194" t="s">
        <v>199</v>
      </c>
      <c r="K147" s="3194">
        <v>0.28142086947692835</v>
      </c>
      <c r="L147" s="3194">
        <v>0.10148841706700173</v>
      </c>
      <c r="M147" s="3460" t="s">
        <v>199</v>
      </c>
    </row>
    <row r="148" spans="2:13" ht="18" customHeight="1" x14ac:dyDescent="0.2">
      <c r="B148" s="2634" t="s">
        <v>672</v>
      </c>
      <c r="C148" s="2636" t="s">
        <v>672</v>
      </c>
      <c r="D148" s="3461">
        <v>4.0263270086332081</v>
      </c>
      <c r="E148" s="3461">
        <v>7.3484475880998934</v>
      </c>
      <c r="F148" s="3461">
        <v>0.96202804232741024</v>
      </c>
      <c r="G148" s="3668" t="str">
        <f t="shared" ref="G148:G158" si="82">IFERROR(J148/D148,"NA")</f>
        <v>NA</v>
      </c>
      <c r="H148" s="3081">
        <f t="shared" ref="H148:H158" si="83">IF(SUM(E148)=0,"NA",K148/E148)</f>
        <v>0.36302117010559282</v>
      </c>
      <c r="I148" s="3081">
        <f t="shared" ref="I148:I158" si="84">IF(SUM(F148)=0,"NA",L148/F148)</f>
        <v>1.0000000000000009</v>
      </c>
      <c r="J148" s="3194" t="s">
        <v>199</v>
      </c>
      <c r="K148" s="3194">
        <v>2.6676420418916447</v>
      </c>
      <c r="L148" s="3194">
        <v>0.96202804232741101</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9.5436217212683836</v>
      </c>
      <c r="E150" s="3461">
        <v>17.418059653132662</v>
      </c>
      <c r="F150" s="3461">
        <v>2.280299563731131</v>
      </c>
      <c r="G150" s="3668" t="str">
        <f t="shared" si="82"/>
        <v>NA</v>
      </c>
      <c r="H150" s="3081">
        <f t="shared" si="83"/>
        <v>0.36302117010559287</v>
      </c>
      <c r="I150" s="3081">
        <f t="shared" si="84"/>
        <v>1.0000000000000013</v>
      </c>
      <c r="J150" s="3194" t="s">
        <v>199</v>
      </c>
      <c r="K150" s="3194">
        <v>6.3231243962492361</v>
      </c>
      <c r="L150" s="3194">
        <v>2.2802995637311341</v>
      </c>
      <c r="M150" s="3460" t="s">
        <v>199</v>
      </c>
    </row>
    <row r="151" spans="2:13" ht="18" customHeight="1" x14ac:dyDescent="0.2">
      <c r="B151" s="2634" t="s">
        <v>676</v>
      </c>
      <c r="C151" s="2636" t="s">
        <v>676</v>
      </c>
      <c r="D151" s="3461">
        <v>2.0355108647647377E-2</v>
      </c>
      <c r="E151" s="3461">
        <v>3.7150099514170393E-2</v>
      </c>
      <c r="F151" s="3461">
        <v>4.8635357440342105E-3</v>
      </c>
      <c r="G151" s="3668" t="str">
        <f t="shared" si="82"/>
        <v>NA</v>
      </c>
      <c r="H151" s="3081">
        <f t="shared" si="83"/>
        <v>0.36302117010559282</v>
      </c>
      <c r="I151" s="3081">
        <f t="shared" si="84"/>
        <v>1.0000000000000004</v>
      </c>
      <c r="J151" s="3194" t="s">
        <v>199</v>
      </c>
      <c r="K151" s="3194">
        <v>1.348627259517335E-2</v>
      </c>
      <c r="L151" s="3194">
        <v>4.8635357440342131E-3</v>
      </c>
      <c r="M151" s="3460" t="s">
        <v>199</v>
      </c>
    </row>
    <row r="152" spans="2:13" ht="18" customHeight="1" x14ac:dyDescent="0.2">
      <c r="B152" s="2634" t="s">
        <v>677</v>
      </c>
      <c r="C152" s="2636" t="s">
        <v>677</v>
      </c>
      <c r="D152" s="3461">
        <v>25.221346871587777</v>
      </c>
      <c r="E152" s="3461">
        <v>46.031468678463206</v>
      </c>
      <c r="F152" s="3461">
        <v>6.0262474716306684</v>
      </c>
      <c r="G152" s="3668" t="str">
        <f t="shared" si="82"/>
        <v>NA</v>
      </c>
      <c r="H152" s="3081">
        <f t="shared" si="83"/>
        <v>0.36302117010559287</v>
      </c>
      <c r="I152" s="3081">
        <f t="shared" si="84"/>
        <v>1.0000000000000007</v>
      </c>
      <c r="J152" s="3194" t="s">
        <v>199</v>
      </c>
      <c r="K152" s="3194">
        <v>16.710397621334661</v>
      </c>
      <c r="L152" s="3194">
        <v>6.026247471630672</v>
      </c>
      <c r="M152" s="3460" t="s">
        <v>199</v>
      </c>
    </row>
    <row r="153" spans="2:13" ht="18" customHeight="1" x14ac:dyDescent="0.2">
      <c r="B153" s="2634" t="s">
        <v>679</v>
      </c>
      <c r="C153" s="2636" t="s">
        <v>679</v>
      </c>
      <c r="D153" s="3461">
        <v>6.5296097485107678</v>
      </c>
      <c r="E153" s="3461">
        <v>11.917187775556714</v>
      </c>
      <c r="F153" s="3461">
        <v>1.5601484107109784</v>
      </c>
      <c r="G153" s="3668" t="str">
        <f t="shared" si="82"/>
        <v>NA</v>
      </c>
      <c r="H153" s="3081">
        <f t="shared" si="83"/>
        <v>0.36302117010559287</v>
      </c>
      <c r="I153" s="3081">
        <f t="shared" si="84"/>
        <v>1.0000000000000009</v>
      </c>
      <c r="J153" s="3194" t="s">
        <v>199</v>
      </c>
      <c r="K153" s="3194">
        <v>4.3261914506506658</v>
      </c>
      <c r="L153" s="3194">
        <v>1.5601484107109798</v>
      </c>
      <c r="M153" s="3460" t="s">
        <v>199</v>
      </c>
    </row>
    <row r="154" spans="2:13" ht="18" customHeight="1" x14ac:dyDescent="0.2">
      <c r="B154" s="2634" t="s">
        <v>681</v>
      </c>
      <c r="C154" s="2636" t="s">
        <v>681</v>
      </c>
      <c r="D154" s="3461">
        <v>0.94226772967873085</v>
      </c>
      <c r="E154" s="3461">
        <v>1.7197324039143429</v>
      </c>
      <c r="F154" s="3461">
        <v>0.22514017798043745</v>
      </c>
      <c r="G154" s="3668" t="str">
        <f t="shared" si="82"/>
        <v>NA</v>
      </c>
      <c r="H154" s="3081">
        <f t="shared" si="83"/>
        <v>0.36302117010559282</v>
      </c>
      <c r="I154" s="3081">
        <f t="shared" si="84"/>
        <v>1.0000000000000007</v>
      </c>
      <c r="J154" s="3194" t="s">
        <v>199</v>
      </c>
      <c r="K154" s="3194">
        <v>0.62429926953748871</v>
      </c>
      <c r="L154" s="3194">
        <v>0.22514017798043762</v>
      </c>
      <c r="M154" s="3460" t="s">
        <v>199</v>
      </c>
    </row>
    <row r="155" spans="2:13" ht="18" customHeight="1" x14ac:dyDescent="0.2">
      <c r="B155" s="2634" t="s">
        <v>683</v>
      </c>
      <c r="C155" s="2636" t="s">
        <v>683</v>
      </c>
      <c r="D155" s="3461">
        <v>0.39289122002841392</v>
      </c>
      <c r="E155" s="3461">
        <v>0.71706558657874697</v>
      </c>
      <c r="F155" s="3461">
        <v>9.3875229319704656E-2</v>
      </c>
      <c r="G155" s="3668" t="str">
        <f t="shared" si="82"/>
        <v>NA</v>
      </c>
      <c r="H155" s="3081">
        <f t="shared" si="83"/>
        <v>0.36302117010559287</v>
      </c>
      <c r="I155" s="3081">
        <f t="shared" si="84"/>
        <v>1.0000000000000007</v>
      </c>
      <c r="J155" s="3194" t="s">
        <v>199</v>
      </c>
      <c r="K155" s="3194">
        <v>0.26030998828227003</v>
      </c>
      <c r="L155" s="3194">
        <v>9.3875229319704712E-2</v>
      </c>
      <c r="M155" s="3460" t="s">
        <v>199</v>
      </c>
    </row>
    <row r="156" spans="2:13" ht="18" customHeight="1" x14ac:dyDescent="0.2">
      <c r="B156" s="2634" t="s">
        <v>686</v>
      </c>
      <c r="C156" s="2636" t="s">
        <v>686</v>
      </c>
      <c r="D156" s="3461">
        <v>3.2327086884075346E-2</v>
      </c>
      <c r="E156" s="3461">
        <v>5.9000151536181385E-2</v>
      </c>
      <c r="F156" s="3461">
        <v>7.7240532233352503E-3</v>
      </c>
      <c r="G156" s="3668" t="str">
        <f t="shared" si="82"/>
        <v>NA</v>
      </c>
      <c r="H156" s="3081">
        <f t="shared" si="83"/>
        <v>0.36302117010559287</v>
      </c>
      <c r="I156" s="3081">
        <f t="shared" si="84"/>
        <v>1.0000000000000007</v>
      </c>
      <c r="J156" s="3194" t="s">
        <v>199</v>
      </c>
      <c r="K156" s="3194">
        <v>2.1418304047071859E-2</v>
      </c>
      <c r="L156" s="3194">
        <v>7.7240532233352546E-3</v>
      </c>
      <c r="M156" s="3460" t="s">
        <v>199</v>
      </c>
    </row>
    <row r="157" spans="2:13" ht="18" customHeight="1" x14ac:dyDescent="0.2">
      <c r="B157" s="2634" t="s">
        <v>688</v>
      </c>
      <c r="C157" s="2636" t="s">
        <v>688</v>
      </c>
      <c r="D157" s="3461">
        <v>1.0160587406437593</v>
      </c>
      <c r="E157" s="3461">
        <v>1.8544083443898012</v>
      </c>
      <c r="F157" s="3461">
        <v>0.24277138917312821</v>
      </c>
      <c r="G157" s="3668" t="str">
        <f t="shared" si="82"/>
        <v>NA</v>
      </c>
      <c r="H157" s="3081">
        <f t="shared" si="83"/>
        <v>0.36302117010559287</v>
      </c>
      <c r="I157" s="3081">
        <f t="shared" si="84"/>
        <v>1.0000000000000011</v>
      </c>
      <c r="J157" s="3194" t="s">
        <v>199</v>
      </c>
      <c r="K157" s="3194">
        <v>0.67318948703396086</v>
      </c>
      <c r="L157" s="3194">
        <v>0.24277138917312846</v>
      </c>
      <c r="M157" s="3460" t="s">
        <v>199</v>
      </c>
    </row>
    <row r="158" spans="2:13" ht="18" customHeight="1" x14ac:dyDescent="0.2">
      <c r="B158" s="2634" t="s">
        <v>689</v>
      </c>
      <c r="C158" s="2636" t="s">
        <v>689</v>
      </c>
      <c r="D158" s="3461">
        <v>0.75976172980864076</v>
      </c>
      <c r="E158" s="3461">
        <v>1.3866407867447801</v>
      </c>
      <c r="F158" s="3461">
        <v>0.18153321575616668</v>
      </c>
      <c r="G158" s="3668" t="str">
        <f t="shared" si="82"/>
        <v>NA</v>
      </c>
      <c r="H158" s="3081">
        <f t="shared" si="83"/>
        <v>0.36302117010559282</v>
      </c>
      <c r="I158" s="3081">
        <f t="shared" si="84"/>
        <v>1.0000000000000011</v>
      </c>
      <c r="J158" s="3194" t="s">
        <v>199</v>
      </c>
      <c r="K158" s="3194">
        <v>0.50337996092022985</v>
      </c>
      <c r="L158" s="3194">
        <v>0.18153321575616688</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0.54180360621033619</v>
      </c>
      <c r="K162" s="3200">
        <f t="shared" ref="K162:M162" si="90">IF(SUM(K163,K165,K175)=0,"NO",SUM(K163,K165,K175))</f>
        <v>3.8057384405052876</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0.54180360621033619</v>
      </c>
      <c r="K163" s="3197">
        <f t="shared" ref="K163:M163" si="91">K164</f>
        <v>2.9933006391239281</v>
      </c>
      <c r="L163" s="3197">
        <f t="shared" si="91"/>
        <v>0</v>
      </c>
      <c r="M163" s="3193" t="str">
        <f t="shared" si="91"/>
        <v>NO</v>
      </c>
    </row>
    <row r="164" spans="2:13" ht="18" customHeight="1" x14ac:dyDescent="0.2">
      <c r="B164" s="2634" t="s">
        <v>905</v>
      </c>
      <c r="C164" s="2636" t="s">
        <v>905</v>
      </c>
      <c r="D164" s="4136">
        <v>6.3741600730627779</v>
      </c>
      <c r="E164" s="4136">
        <v>609.25533580870785</v>
      </c>
      <c r="F164" s="2635">
        <v>0</v>
      </c>
      <c r="G164" s="3668">
        <f t="shared" ref="G164" si="92">IF(SUM(D164)=0,"NA",J164/D164)</f>
        <v>8.5000000000000006E-2</v>
      </c>
      <c r="H164" s="3081">
        <f t="shared" ref="H164" si="93">IF(SUM(E164)=0,"NA",K164/E164)</f>
        <v>4.9130478851706861E-3</v>
      </c>
      <c r="I164" s="3081" t="str">
        <f t="shared" ref="I164" si="94">IF(SUM(F164)=0,"NA",L164/F164)</f>
        <v>NA</v>
      </c>
      <c r="J164" s="3120">
        <v>0.54180360621033619</v>
      </c>
      <c r="K164" s="3120">
        <v>2.9933006391239281</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0.81243780138135957</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0.81243780138135957</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0.81243780138135957</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0.81243780138135957</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10"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2490.9097255348615</v>
      </c>
      <c r="D10" s="2517">
        <f t="shared" ref="D10:I10" si="0">IF(SUM(D11,D21,D32:D33,D43:D48)=0,"NO",SUM(D11,D21,D32:D33,D43:D48))</f>
        <v>2390.6462979289076</v>
      </c>
      <c r="E10" s="2517">
        <f t="shared" si="0"/>
        <v>42.659370986910581</v>
      </c>
      <c r="F10" s="2517">
        <f t="shared" si="0"/>
        <v>21.49924125390076</v>
      </c>
      <c r="G10" s="2517">
        <f t="shared" si="0"/>
        <v>345.20827867991829</v>
      </c>
      <c r="H10" s="2925">
        <f t="shared" si="0"/>
        <v>20.137149589661902</v>
      </c>
      <c r="I10" s="2934" t="str">
        <f t="shared" si="0"/>
        <v>NO</v>
      </c>
      <c r="J10" s="2935">
        <f>IF(SUM(C10:E10)=0,"NO",SUM(C10)+28*SUM(D10)+265*SUM(E10))</f>
        <v>80733.739379075589</v>
      </c>
    </row>
    <row r="11" spans="1:10" ht="18" customHeight="1" x14ac:dyDescent="0.2">
      <c r="B11" s="234" t="s">
        <v>923</v>
      </c>
      <c r="C11" s="2936"/>
      <c r="D11" s="2163">
        <f>SUM(D17:D20)</f>
        <v>2118.3079834701616</v>
      </c>
      <c r="E11" s="1955"/>
      <c r="F11" s="1955"/>
      <c r="G11" s="1955"/>
      <c r="H11" s="2937"/>
      <c r="I11" s="2937"/>
      <c r="J11" s="1887">
        <f>IF(SUM(C11:E11)=0,"NO",SUM(C11)+28*SUM(D11)+265*SUM(E11))</f>
        <v>59312.623537164523</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1613.3936336067482</v>
      </c>
      <c r="E17" s="615"/>
      <c r="F17" s="615"/>
      <c r="G17" s="615"/>
      <c r="H17" s="2939"/>
      <c r="I17" s="2940"/>
      <c r="J17" s="2943">
        <f>IF(SUM(C17:E17)=0,"NO",SUM(C17)+28*SUM(D17)+265*SUM(E17))</f>
        <v>45175.021740988945</v>
      </c>
    </row>
    <row r="18" spans="2:10" ht="18" customHeight="1" x14ac:dyDescent="0.2">
      <c r="B18" s="228" t="s">
        <v>930</v>
      </c>
      <c r="C18" s="2945"/>
      <c r="D18" s="2930">
        <f>Table3.A!G24</f>
        <v>491.70635357276274</v>
      </c>
      <c r="E18" s="615"/>
      <c r="F18" s="615"/>
      <c r="G18" s="615"/>
      <c r="H18" s="2939"/>
      <c r="I18" s="2940"/>
      <c r="J18" s="2943">
        <f t="shared" ref="J18:J22" si="1">IF(SUM(C18:E18)=0,"NO",SUM(C18)+28*SUM(D18)+265*SUM(E18))</f>
        <v>13767.777900037356</v>
      </c>
    </row>
    <row r="19" spans="2:10" ht="18" customHeight="1" x14ac:dyDescent="0.2">
      <c r="B19" s="228" t="s">
        <v>931</v>
      </c>
      <c r="C19" s="2945"/>
      <c r="D19" s="2930">
        <f>Table3.A!G27</f>
        <v>3.6335103573390315</v>
      </c>
      <c r="E19" s="615"/>
      <c r="F19" s="615"/>
      <c r="G19" s="615"/>
      <c r="H19" s="2939"/>
      <c r="I19" s="2940"/>
      <c r="J19" s="2943">
        <f t="shared" si="1"/>
        <v>101.73829000549289</v>
      </c>
    </row>
    <row r="20" spans="2:10" ht="18" customHeight="1" thickBot="1" x14ac:dyDescent="0.25">
      <c r="B20" s="1296" t="s">
        <v>932</v>
      </c>
      <c r="C20" s="2946"/>
      <c r="D20" s="2517">
        <f>Table3.A!G30</f>
        <v>9.5744859333113475</v>
      </c>
      <c r="E20" s="1948"/>
      <c r="F20" s="1948"/>
      <c r="G20" s="1948"/>
      <c r="H20" s="2947"/>
      <c r="I20" s="2948"/>
      <c r="J20" s="2943">
        <f t="shared" si="1"/>
        <v>268.08560613271771</v>
      </c>
    </row>
    <row r="21" spans="2:10" ht="18" customHeight="1" x14ac:dyDescent="0.2">
      <c r="B21" s="1455" t="s">
        <v>933</v>
      </c>
      <c r="C21" s="2949"/>
      <c r="D21" s="2930">
        <f>IF(SUM(D27:D31)=0,"NO",SUM(D27:D31))</f>
        <v>251.30038823961988</v>
      </c>
      <c r="E21" s="2930">
        <f>IF(SUM(E27:E31)=0,"NO",SUM(E27:E31))</f>
        <v>1.926857197729944</v>
      </c>
      <c r="F21" s="2160"/>
      <c r="G21" s="2160"/>
      <c r="H21" s="2930" t="str">
        <f>IF(SUM(H27:H31)=0,"NE",SUM(H27:H31))</f>
        <v>NE</v>
      </c>
      <c r="I21" s="2940"/>
      <c r="J21" s="2950">
        <f t="shared" si="1"/>
        <v>7547.0280281077912</v>
      </c>
    </row>
    <row r="22" spans="2:10" ht="18" customHeight="1" x14ac:dyDescent="0.2">
      <c r="B22" s="228" t="s">
        <v>934</v>
      </c>
      <c r="C22" s="2945"/>
      <c r="D22" s="2930">
        <f>D27</f>
        <v>167.69955846016225</v>
      </c>
      <c r="E22" s="2930">
        <f>E27</f>
        <v>0.77132033284301282</v>
      </c>
      <c r="F22" s="2951"/>
      <c r="G22" s="2951"/>
      <c r="H22" s="2930" t="str">
        <f>H27</f>
        <v>NE</v>
      </c>
      <c r="I22" s="2940"/>
      <c r="J22" s="2943">
        <f t="shared" si="1"/>
        <v>4899.9875250879413</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167.69955846016225</v>
      </c>
      <c r="E27" s="2930">
        <f>'Table3.B(b)'!X15</f>
        <v>0.77132033284301282</v>
      </c>
      <c r="F27" s="615"/>
      <c r="G27" s="615"/>
      <c r="H27" s="2953" t="s">
        <v>221</v>
      </c>
      <c r="I27" s="2940"/>
      <c r="J27" s="2943">
        <f t="shared" ref="J27:J49" si="2">IF(SUM(C27:E27)=0,"NO",SUM(C27)+28*SUM(D27)+265*SUM(E27))</f>
        <v>4899.9875250879413</v>
      </c>
    </row>
    <row r="28" spans="2:10" ht="18" customHeight="1" x14ac:dyDescent="0.2">
      <c r="B28" s="228" t="s">
        <v>938</v>
      </c>
      <c r="C28" s="2945"/>
      <c r="D28" s="2930">
        <f>'Table3.B(a)'!K24</f>
        <v>24.939085959371006</v>
      </c>
      <c r="E28" s="2930" t="str">
        <f>'Table3.B(b)'!X24</f>
        <v>NA</v>
      </c>
      <c r="F28" s="2951"/>
      <c r="G28" s="2951"/>
      <c r="H28" s="2953" t="s">
        <v>221</v>
      </c>
      <c r="I28" s="2940"/>
      <c r="J28" s="2943">
        <f t="shared" si="2"/>
        <v>698.2944068623882</v>
      </c>
    </row>
    <row r="29" spans="2:10" ht="18" customHeight="1" x14ac:dyDescent="0.2">
      <c r="B29" s="228" t="s">
        <v>939</v>
      </c>
      <c r="C29" s="2945"/>
      <c r="D29" s="2930">
        <f>'Table3.B(a)'!K27</f>
        <v>54.185147409526309</v>
      </c>
      <c r="E29" s="2930">
        <f>'Table3.B(b)'!X27</f>
        <v>0.18228482427519488</v>
      </c>
      <c r="F29" s="2951"/>
      <c r="G29" s="2951"/>
      <c r="H29" s="2953" t="s">
        <v>221</v>
      </c>
      <c r="I29" s="2940"/>
      <c r="J29" s="2943">
        <f t="shared" si="2"/>
        <v>1565.4896058996635</v>
      </c>
    </row>
    <row r="30" spans="2:10" ht="18" customHeight="1" x14ac:dyDescent="0.2">
      <c r="B30" s="228" t="s">
        <v>940</v>
      </c>
      <c r="C30" s="2945"/>
      <c r="D30" s="2930">
        <f>'Table3.B(a)'!K30</f>
        <v>4.4765964105603242</v>
      </c>
      <c r="E30" s="2930">
        <f>'Table3.B(b)'!X30</f>
        <v>0.41350486473469189</v>
      </c>
      <c r="F30" s="2951"/>
      <c r="G30" s="2951"/>
      <c r="H30" s="2953" t="s">
        <v>221</v>
      </c>
      <c r="I30" s="2940"/>
      <c r="J30" s="2943">
        <f t="shared" si="2"/>
        <v>234.92348865038241</v>
      </c>
    </row>
    <row r="31" spans="2:10" ht="18" customHeight="1" thickBot="1" x14ac:dyDescent="0.25">
      <c r="B31" s="1296" t="s">
        <v>941</v>
      </c>
      <c r="C31" s="2954"/>
      <c r="D31" s="2955"/>
      <c r="E31" s="2956">
        <f>SUM('Table3.B(b)'!Y47:Z47)</f>
        <v>0.55974717587704448</v>
      </c>
      <c r="F31" s="2957"/>
      <c r="G31" s="2957"/>
      <c r="H31" s="2958"/>
      <c r="I31" s="2959"/>
      <c r="J31" s="2943">
        <f t="shared" si="2"/>
        <v>148.33300160741678</v>
      </c>
    </row>
    <row r="32" spans="2:10" ht="18" customHeight="1" thickBot="1" x14ac:dyDescent="0.25">
      <c r="B32" s="2658" t="s">
        <v>942</v>
      </c>
      <c r="C32" s="2960"/>
      <c r="D32" s="2961">
        <f>Table3.C!G11</f>
        <v>12.186431894</v>
      </c>
      <c r="E32" s="2962"/>
      <c r="F32" s="2962"/>
      <c r="G32" s="2962"/>
      <c r="H32" s="2963" t="s">
        <v>221</v>
      </c>
      <c r="I32" s="2964"/>
      <c r="J32" s="2965">
        <f t="shared" si="2"/>
        <v>341.22009303200002</v>
      </c>
    </row>
    <row r="33" spans="2:10" ht="18" customHeight="1" x14ac:dyDescent="0.2">
      <c r="B33" s="2657" t="s">
        <v>943</v>
      </c>
      <c r="C33" s="2966"/>
      <c r="D33" s="2967" t="s">
        <v>221</v>
      </c>
      <c r="E33" s="2967">
        <f>IF(SUM(E34,E42)=0,"NO",SUM(E34,E42))</f>
        <v>40.360394416752868</v>
      </c>
      <c r="F33" s="2967" t="str">
        <f>IF(SUM(F34,F42)=0,"NO",SUM(F34,F42))</f>
        <v>NO</v>
      </c>
      <c r="G33" s="2967" t="str">
        <f>IF(SUM(G34,G42)=0,"NO",SUM(G34,G42))</f>
        <v>NO</v>
      </c>
      <c r="H33" s="2967" t="str">
        <f>IF(SUM(H34,H42)=0,"NO",SUM(H34,H42))</f>
        <v>NO</v>
      </c>
      <c r="I33" s="2968"/>
      <c r="J33" s="2969">
        <f t="shared" si="2"/>
        <v>10695.50452043951</v>
      </c>
    </row>
    <row r="34" spans="2:10" ht="18" customHeight="1" x14ac:dyDescent="0.2">
      <c r="B34" s="228" t="s">
        <v>944</v>
      </c>
      <c r="C34" s="2970"/>
      <c r="D34" s="615"/>
      <c r="E34" s="2971">
        <f>IF(SUM(E35:E41)=0,"NO",SUM(E35:E41))</f>
        <v>29.198508183986419</v>
      </c>
      <c r="F34" s="615"/>
      <c r="G34" s="615"/>
      <c r="H34" s="615"/>
      <c r="I34" s="2940"/>
      <c r="J34" s="2972">
        <f t="shared" si="2"/>
        <v>7737.6046687564012</v>
      </c>
    </row>
    <row r="35" spans="2:10" ht="18" customHeight="1" x14ac:dyDescent="0.2">
      <c r="B35" s="232" t="s">
        <v>945</v>
      </c>
      <c r="C35" s="2970"/>
      <c r="D35" s="615"/>
      <c r="E35" s="4248">
        <f>Table3.D!F11</f>
        <v>10.033818601150767</v>
      </c>
      <c r="F35" s="615"/>
      <c r="G35" s="615"/>
      <c r="H35" s="615"/>
      <c r="I35" s="2940"/>
      <c r="J35" s="2972">
        <f t="shared" si="2"/>
        <v>2658.9619293049532</v>
      </c>
    </row>
    <row r="36" spans="2:10" ht="18" customHeight="1" x14ac:dyDescent="0.2">
      <c r="B36" s="232" t="s">
        <v>946</v>
      </c>
      <c r="C36" s="2970"/>
      <c r="D36" s="615"/>
      <c r="E36" s="4248">
        <f>Table3.D!F12</f>
        <v>1.4501504041862623</v>
      </c>
      <c r="F36" s="615"/>
      <c r="G36" s="615"/>
      <c r="H36" s="615"/>
      <c r="I36" s="2940"/>
      <c r="J36" s="2972">
        <f t="shared" si="2"/>
        <v>384.2898571093595</v>
      </c>
    </row>
    <row r="37" spans="2:10" ht="18" customHeight="1" x14ac:dyDescent="0.2">
      <c r="B37" s="232" t="s">
        <v>947</v>
      </c>
      <c r="C37" s="2970"/>
      <c r="D37" s="615"/>
      <c r="E37" s="4248">
        <f>Table3.D!F16</f>
        <v>10.706859514573289</v>
      </c>
      <c r="F37" s="615"/>
      <c r="G37" s="615"/>
      <c r="H37" s="615"/>
      <c r="I37" s="2940"/>
      <c r="J37" s="2972">
        <f t="shared" si="2"/>
        <v>2837.3177713619216</v>
      </c>
    </row>
    <row r="38" spans="2:10" ht="18" customHeight="1" x14ac:dyDescent="0.2">
      <c r="B38" s="232" t="s">
        <v>948</v>
      </c>
      <c r="C38" s="2970"/>
      <c r="D38" s="615"/>
      <c r="E38" s="4248">
        <f>Table3.D!F17</f>
        <v>6.7915125384567832</v>
      </c>
      <c r="F38" s="615"/>
      <c r="G38" s="615"/>
      <c r="H38" s="615"/>
      <c r="I38" s="2940"/>
      <c r="J38" s="2972">
        <f t="shared" si="2"/>
        <v>1799.7508226910475</v>
      </c>
    </row>
    <row r="39" spans="2:10" ht="26.25" customHeight="1" x14ac:dyDescent="0.2">
      <c r="B39" s="1708" t="s">
        <v>949</v>
      </c>
      <c r="C39" s="2970"/>
      <c r="D39" s="2951"/>
      <c r="E39" s="4248">
        <f>Table3.D!F18</f>
        <v>0.12816712561931534</v>
      </c>
      <c r="F39" s="2951"/>
      <c r="G39" s="2951"/>
      <c r="H39" s="2951"/>
      <c r="I39" s="2940"/>
      <c r="J39" s="2972">
        <f t="shared" si="2"/>
        <v>33.964288289118564</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11.161886232766449</v>
      </c>
      <c r="F42" s="2957"/>
      <c r="G42" s="2957"/>
      <c r="H42" s="2957"/>
      <c r="I42" s="2976"/>
      <c r="J42" s="2977">
        <f t="shared" si="2"/>
        <v>2957.8998516831089</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8.8514943251261098</v>
      </c>
      <c r="E44" s="2984">
        <f>SUM(Table3.F!J10,Table3.F!J20,Table3.F!J23,Table3.F!J26:J27)</f>
        <v>0.37211937242776477</v>
      </c>
      <c r="F44" s="2919">
        <v>21.49924125390076</v>
      </c>
      <c r="G44" s="2919">
        <v>345.20827867991829</v>
      </c>
      <c r="H44" s="2920">
        <v>20.137149589661902</v>
      </c>
      <c r="I44" s="2985" t="s">
        <v>199</v>
      </c>
      <c r="J44" s="2986">
        <f t="shared" si="2"/>
        <v>346.45347479688871</v>
      </c>
    </row>
    <row r="45" spans="2:10" ht="18" customHeight="1" thickBot="1" x14ac:dyDescent="0.25">
      <c r="B45" s="2660" t="s">
        <v>955</v>
      </c>
      <c r="C45" s="2987">
        <f>'Table3.G-J'!E10</f>
        <v>1138.7434395518412</v>
      </c>
      <c r="D45" s="2988"/>
      <c r="E45" s="2988"/>
      <c r="F45" s="2988"/>
      <c r="G45" s="2988"/>
      <c r="H45" s="2989"/>
      <c r="I45" s="2990"/>
      <c r="J45" s="2986">
        <f t="shared" si="2"/>
        <v>1138.7434395518412</v>
      </c>
    </row>
    <row r="46" spans="2:10" ht="18" customHeight="1" thickBot="1" x14ac:dyDescent="0.25">
      <c r="B46" s="2660" t="s">
        <v>956</v>
      </c>
      <c r="C46" s="2987">
        <f>'Table3.G-J'!E13</f>
        <v>1352.1662859830203</v>
      </c>
      <c r="D46" s="2988"/>
      <c r="E46" s="2988"/>
      <c r="F46" s="2988"/>
      <c r="G46" s="2988"/>
      <c r="H46" s="2989"/>
      <c r="I46" s="2990"/>
      <c r="J46" s="2986">
        <f t="shared" si="2"/>
        <v>1352.1662859830203</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29102.953999999998</v>
      </c>
      <c r="D10" s="3208"/>
      <c r="E10" s="3208"/>
      <c r="F10" s="3109">
        <f>IF(SUM(C10)=0,"NA",G10*1000/C10)</f>
        <v>55.437452624456895</v>
      </c>
      <c r="G10" s="3209">
        <f>G15</f>
        <v>1613.3936336067482</v>
      </c>
      <c r="I10" s="275" t="s">
        <v>977</v>
      </c>
      <c r="J10" s="276" t="s">
        <v>978</v>
      </c>
      <c r="K10" s="699">
        <v>452.49038350574915</v>
      </c>
      <c r="L10" s="699">
        <v>359.69698889126477</v>
      </c>
      <c r="M10" s="3125">
        <v>524.73704034096556</v>
      </c>
      <c r="N10" s="3125">
        <v>44.242420725348452</v>
      </c>
      <c r="O10" s="2921">
        <v>58.119332171253717</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15.835280021261651</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29102.953999999998</v>
      </c>
      <c r="D15" s="3215"/>
      <c r="E15" s="3215"/>
      <c r="F15" s="3109">
        <f>IF(SUM(C15)=0,"NA",G15*1000/C15)</f>
        <v>55.437452624456895</v>
      </c>
      <c r="G15" s="3216">
        <f>G20</f>
        <v>1613.3936336067482</v>
      </c>
      <c r="I15" s="1780" t="s">
        <v>989</v>
      </c>
      <c r="J15" s="1853" t="s">
        <v>428</v>
      </c>
      <c r="K15" s="3408">
        <v>75</v>
      </c>
      <c r="L15" s="3408">
        <v>57.633876238494139</v>
      </c>
      <c r="M15" s="1563">
        <v>80.436510243450911</v>
      </c>
      <c r="N15" s="1563">
        <v>66.746791459390437</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1613.3936336067482</v>
      </c>
      <c r="I20" s="72"/>
      <c r="J20" s="287"/>
      <c r="K20" s="287"/>
      <c r="L20" s="287"/>
      <c r="M20" s="287"/>
      <c r="N20" s="287"/>
      <c r="O20" s="287"/>
    </row>
    <row r="21" spans="2:15" ht="18" customHeight="1" x14ac:dyDescent="0.2">
      <c r="B21" s="2652" t="s">
        <v>994</v>
      </c>
      <c r="C21" s="3239">
        <v>2807.174</v>
      </c>
      <c r="D21" s="3224">
        <v>227.24416747023173</v>
      </c>
      <c r="E21" s="3224">
        <v>6.1441583491890395</v>
      </c>
      <c r="F21" s="3109">
        <f t="shared" ref="F21:F30" si="0">IF(SUM(C21)=0,"NA",G21*1000/C21)</f>
        <v>92.289355924210682</v>
      </c>
      <c r="G21" s="3206">
        <v>259.07228042719021</v>
      </c>
      <c r="I21" s="72"/>
      <c r="J21" s="287"/>
      <c r="K21" s="287"/>
      <c r="L21" s="287"/>
      <c r="M21" s="287"/>
      <c r="N21" s="287"/>
      <c r="O21" s="287"/>
    </row>
    <row r="22" spans="2:15" ht="18" customHeight="1" x14ac:dyDescent="0.2">
      <c r="B22" s="2652" t="s">
        <v>965</v>
      </c>
      <c r="C22" s="3239">
        <v>25484.928</v>
      </c>
      <c r="D22" s="3224">
        <v>124.25600757256937</v>
      </c>
      <c r="E22" s="3224">
        <v>6.21225</v>
      </c>
      <c r="F22" s="3109">
        <f t="shared" si="0"/>
        <v>51.022623980249847</v>
      </c>
      <c r="G22" s="3206">
        <v>1300.3078985077409</v>
      </c>
      <c r="I22" s="72"/>
      <c r="J22" s="287"/>
      <c r="K22" s="287"/>
      <c r="L22" s="287"/>
      <c r="M22" s="287"/>
      <c r="N22" s="287"/>
      <c r="O22" s="287"/>
    </row>
    <row r="23" spans="2:15" ht="18" customHeight="1" x14ac:dyDescent="0.2">
      <c r="B23" s="2652" t="s">
        <v>966</v>
      </c>
      <c r="C23" s="3239">
        <v>810.85199999999998</v>
      </c>
      <c r="D23" s="3224">
        <v>199.79196674844161</v>
      </c>
      <c r="E23" s="3224">
        <v>5.044126348704725</v>
      </c>
      <c r="F23" s="3109">
        <f t="shared" si="0"/>
        <v>66.613210144165791</v>
      </c>
      <c r="G23" s="3206">
        <v>54.013454671817122</v>
      </c>
      <c r="I23" s="72"/>
      <c r="J23" s="287"/>
      <c r="K23" s="287"/>
      <c r="L23" s="287"/>
      <c r="M23" s="287"/>
      <c r="N23" s="287"/>
      <c r="O23" s="287"/>
    </row>
    <row r="24" spans="2:15" ht="18" customHeight="1" x14ac:dyDescent="0.2">
      <c r="B24" s="286" t="s">
        <v>995</v>
      </c>
      <c r="C24" s="2654">
        <f>C25</f>
        <v>72612.254000000001</v>
      </c>
      <c r="D24" s="3225"/>
      <c r="E24" s="3225"/>
      <c r="F24" s="3109">
        <f t="shared" si="0"/>
        <v>6.7716718113827277</v>
      </c>
      <c r="G24" s="3106">
        <f>G25</f>
        <v>491.70635357276274</v>
      </c>
      <c r="I24" s="72"/>
    </row>
    <row r="25" spans="2:15" ht="18" customHeight="1" x14ac:dyDescent="0.2">
      <c r="B25" s="282" t="s">
        <v>996</v>
      </c>
      <c r="C25" s="2654">
        <f>C26</f>
        <v>72612.254000000001</v>
      </c>
      <c r="D25" s="3225"/>
      <c r="E25" s="3225"/>
      <c r="F25" s="3109">
        <f t="shared" si="0"/>
        <v>6.7716718113827277</v>
      </c>
      <c r="G25" s="3106">
        <f>G26</f>
        <v>491.70635357276274</v>
      </c>
    </row>
    <row r="26" spans="2:15" ht="18" customHeight="1" x14ac:dyDescent="0.2">
      <c r="B26" s="2653" t="s">
        <v>967</v>
      </c>
      <c r="C26" s="288">
        <v>72612.254000000001</v>
      </c>
      <c r="D26" s="3226">
        <v>16.611408054109482</v>
      </c>
      <c r="E26" s="3226">
        <v>6.1672704771751237</v>
      </c>
      <c r="F26" s="3109">
        <f t="shared" si="0"/>
        <v>6.7716718113827277</v>
      </c>
      <c r="G26" s="3207">
        <v>491.70635357276274</v>
      </c>
    </row>
    <row r="27" spans="2:15" ht="18" customHeight="1" x14ac:dyDescent="0.2">
      <c r="B27" s="286" t="s">
        <v>997</v>
      </c>
      <c r="C27" s="2654">
        <f>C28</f>
        <v>2308.2179999999998</v>
      </c>
      <c r="D27" s="3225"/>
      <c r="E27" s="3225"/>
      <c r="F27" s="3109">
        <f t="shared" si="0"/>
        <v>1.5741625606156056</v>
      </c>
      <c r="G27" s="3106">
        <f>G28</f>
        <v>3.6335103573390315</v>
      </c>
    </row>
    <row r="28" spans="2:15" ht="18" customHeight="1" x14ac:dyDescent="0.2">
      <c r="B28" s="282" t="s">
        <v>998</v>
      </c>
      <c r="C28" s="2654">
        <f>C29</f>
        <v>2308.2179999999998</v>
      </c>
      <c r="D28" s="3225"/>
      <c r="E28" s="3225"/>
      <c r="F28" s="3109">
        <f t="shared" si="0"/>
        <v>1.5741625606156056</v>
      </c>
      <c r="G28" s="3106">
        <f>G29</f>
        <v>3.6335103573390315</v>
      </c>
    </row>
    <row r="29" spans="2:15" ht="18" customHeight="1" x14ac:dyDescent="0.2">
      <c r="B29" s="2653" t="s">
        <v>968</v>
      </c>
      <c r="C29" s="288">
        <v>2308.2179999999998</v>
      </c>
      <c r="D29" s="3226">
        <v>34.021623900347514</v>
      </c>
      <c r="E29" s="3226">
        <v>0.70000000000000007</v>
      </c>
      <c r="F29" s="3109">
        <f t="shared" si="0"/>
        <v>1.5741625606156056</v>
      </c>
      <c r="G29" s="3207">
        <v>3.6335103573390315</v>
      </c>
    </row>
    <row r="30" spans="2:15" ht="18" customHeight="1" x14ac:dyDescent="0.2">
      <c r="B30" s="286" t="s">
        <v>999</v>
      </c>
      <c r="C30" s="2654">
        <f>SUM(C32:C39)</f>
        <v>92656.592999999993</v>
      </c>
      <c r="D30" s="3225"/>
      <c r="E30" s="3225"/>
      <c r="F30" s="3109">
        <f t="shared" si="0"/>
        <v>0.10333302383901972</v>
      </c>
      <c r="G30" s="3106">
        <f>SUM(G32:G39)</f>
        <v>9.5744859333113475</v>
      </c>
    </row>
    <row r="31" spans="2:15" ht="18" customHeight="1" x14ac:dyDescent="0.2">
      <c r="B31" s="1304" t="s">
        <v>498</v>
      </c>
      <c r="C31" s="3240"/>
      <c r="D31" s="3228"/>
      <c r="E31" s="3228"/>
      <c r="F31" s="3228"/>
      <c r="G31" s="3229"/>
    </row>
    <row r="32" spans="2:15" ht="18" customHeight="1" x14ac:dyDescent="0.2">
      <c r="B32" s="285" t="s">
        <v>1000</v>
      </c>
      <c r="C32" s="3234">
        <v>5.0890000000000004</v>
      </c>
      <c r="D32" s="3230" t="s">
        <v>205</v>
      </c>
      <c r="E32" s="3230" t="s">
        <v>205</v>
      </c>
      <c r="F32" s="3109">
        <f t="shared" ref="F32:F41" si="1">IF(SUM(C32)=0,"NA",G32*1000/C32)</f>
        <v>76.000917856735185</v>
      </c>
      <c r="G32" s="3206">
        <v>0.38676867097292539</v>
      </c>
    </row>
    <row r="33" spans="2:7" ht="18" customHeight="1" x14ac:dyDescent="0.2">
      <c r="B33" s="285" t="s">
        <v>1001</v>
      </c>
      <c r="C33" s="3234">
        <v>3.2629999999999999</v>
      </c>
      <c r="D33" s="3230" t="s">
        <v>205</v>
      </c>
      <c r="E33" s="3230" t="s">
        <v>205</v>
      </c>
      <c r="F33" s="3109">
        <f t="shared" si="1"/>
        <v>46.002614614974689</v>
      </c>
      <c r="G33" s="3206">
        <v>0.1501065314886624</v>
      </c>
    </row>
    <row r="34" spans="2:7" ht="18" customHeight="1" x14ac:dyDescent="0.2">
      <c r="B34" s="285" t="s">
        <v>1002</v>
      </c>
      <c r="C34" s="3234">
        <v>38.395000000000003</v>
      </c>
      <c r="D34" s="3230" t="s">
        <v>205</v>
      </c>
      <c r="E34" s="3230" t="s">
        <v>205</v>
      </c>
      <c r="F34" s="3109">
        <f t="shared" si="1"/>
        <v>20.000104477061658</v>
      </c>
      <c r="G34" s="3206">
        <v>0.76790401139678233</v>
      </c>
    </row>
    <row r="35" spans="2:7" ht="18" customHeight="1" x14ac:dyDescent="0.2">
      <c r="B35" s="285" t="s">
        <v>1003</v>
      </c>
      <c r="C35" s="3234">
        <v>516.14300000000003</v>
      </c>
      <c r="D35" s="3230" t="s">
        <v>205</v>
      </c>
      <c r="E35" s="3230" t="s">
        <v>205</v>
      </c>
      <c r="F35" s="3109">
        <f t="shared" si="1"/>
        <v>5</v>
      </c>
      <c r="G35" s="3206">
        <v>2.5807150000000001</v>
      </c>
    </row>
    <row r="36" spans="2:7" ht="18" customHeight="1" x14ac:dyDescent="0.2">
      <c r="B36" s="285" t="s">
        <v>1004</v>
      </c>
      <c r="C36" s="3234">
        <v>254.21799999999999</v>
      </c>
      <c r="D36" s="3230" t="s">
        <v>205</v>
      </c>
      <c r="E36" s="3230" t="s">
        <v>205</v>
      </c>
      <c r="F36" s="3109">
        <f t="shared" si="1"/>
        <v>17.999968534089721</v>
      </c>
      <c r="G36" s="3206">
        <v>4.5759160007992206</v>
      </c>
    </row>
    <row r="37" spans="2:7" ht="18" customHeight="1" x14ac:dyDescent="0.2">
      <c r="B37" s="285" t="s">
        <v>1005</v>
      </c>
      <c r="C37" s="3234">
        <v>0.86099999999999999</v>
      </c>
      <c r="D37" s="3230" t="s">
        <v>205</v>
      </c>
      <c r="E37" s="3230" t="s">
        <v>205</v>
      </c>
      <c r="F37" s="3109">
        <f t="shared" si="1"/>
        <v>10.00183900665497</v>
      </c>
      <c r="G37" s="3206">
        <v>8.6115833847299292E-3</v>
      </c>
    </row>
    <row r="38" spans="2:7" ht="18" customHeight="1" x14ac:dyDescent="0.2">
      <c r="B38" s="285" t="s">
        <v>1006</v>
      </c>
      <c r="C38" s="3241">
        <v>91696.938999999998</v>
      </c>
      <c r="D38" s="3230" t="s">
        <v>205</v>
      </c>
      <c r="E38" s="3230" t="s">
        <v>205</v>
      </c>
      <c r="F38" s="3109" t="s">
        <v>205</v>
      </c>
      <c r="G38" s="3231" t="s">
        <v>221</v>
      </c>
    </row>
    <row r="39" spans="2:7" ht="18" customHeight="1" x14ac:dyDescent="0.2">
      <c r="B39" s="285" t="s">
        <v>1007</v>
      </c>
      <c r="C39" s="2654">
        <f>SUM(C41:C45)</f>
        <v>141.685</v>
      </c>
      <c r="D39" s="3225"/>
      <c r="E39" s="3225"/>
      <c r="F39" s="3109">
        <f t="shared" si="1"/>
        <v>7.7952086337228925</v>
      </c>
      <c r="G39" s="3106">
        <f>SUM(G41:G45)</f>
        <v>1.1044641352690281</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9.673</v>
      </c>
      <c r="D43" s="2974" t="s">
        <v>205</v>
      </c>
      <c r="E43" s="2974" t="s">
        <v>205</v>
      </c>
      <c r="F43" s="3109">
        <f t="shared" si="2"/>
        <v>5.0000868744065352</v>
      </c>
      <c r="G43" s="3170">
        <v>4.8365840336134419E-2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132.012</v>
      </c>
      <c r="D45" s="3225"/>
      <c r="E45" s="3225"/>
      <c r="F45" s="3109">
        <f>IF(SUM(C45)=0,"NA",G45*1000/C45)</f>
        <v>8.0000173842748659</v>
      </c>
      <c r="G45" s="3106">
        <f>G46</f>
        <v>1.0560982949328936</v>
      </c>
    </row>
    <row r="46" spans="2:7" ht="18" customHeight="1" thickBot="1" x14ac:dyDescent="0.25">
      <c r="B46" s="2655" t="s">
        <v>1013</v>
      </c>
      <c r="C46" s="3243">
        <v>132.012</v>
      </c>
      <c r="D46" s="3115" t="s">
        <v>205</v>
      </c>
      <c r="E46" s="3115" t="s">
        <v>205</v>
      </c>
      <c r="F46" s="3232">
        <f>IF(SUM(C46)=0,"NA",G46*1000/C46)</f>
        <v>8.0000173842748659</v>
      </c>
      <c r="G46" s="3172">
        <v>1.0560982949328936</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29102.953999999998</v>
      </c>
      <c r="D10" s="2951"/>
      <c r="E10" s="2951"/>
      <c r="F10" s="2951"/>
      <c r="G10" s="2951"/>
      <c r="H10" s="2951"/>
      <c r="I10" s="3246"/>
      <c r="J10" s="3247">
        <f>IF(SUM(C10)=0,"NA",K10*1000/C10)</f>
        <v>5.7622864833639316</v>
      </c>
      <c r="K10" s="3248">
        <f>K15</f>
        <v>167.69955846016225</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29102.953999999998</v>
      </c>
      <c r="D15" s="3260"/>
      <c r="E15" s="3260"/>
      <c r="F15" s="3260"/>
      <c r="G15" s="3260"/>
      <c r="H15" s="3260"/>
      <c r="I15" s="3255"/>
      <c r="J15" s="3254">
        <f>IF(SUM(C15)=0,"NA",K15*1000/C15)</f>
        <v>5.7622864833639316</v>
      </c>
      <c r="K15" s="3248">
        <f>SUM(K17:K20)</f>
        <v>167.69955846016225</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29102.953999999998</v>
      </c>
      <c r="D20" s="3260"/>
      <c r="E20" s="3260"/>
      <c r="F20" s="3260"/>
      <c r="G20" s="3260"/>
      <c r="H20" s="3260"/>
      <c r="I20" s="3255"/>
      <c r="J20" s="3268">
        <f>IF(SUM(C20)=0,"NA",K20*1000/C20)</f>
        <v>5.7622864833639316</v>
      </c>
      <c r="K20" s="3248">
        <f>SUM(K21:K23)</f>
        <v>167.69955846016225</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2807.174</v>
      </c>
      <c r="D21" s="3290">
        <v>8.2357258895293661</v>
      </c>
      <c r="E21" s="3290">
        <v>91.764274110470637</v>
      </c>
      <c r="F21" s="3290" t="s">
        <v>199</v>
      </c>
      <c r="G21" s="3265">
        <f>Table3.A!K10</f>
        <v>452.49038350574915</v>
      </c>
      <c r="H21" s="3266">
        <v>3.260506692765559</v>
      </c>
      <c r="I21" s="3267">
        <v>0.24</v>
      </c>
      <c r="J21" s="3268">
        <f>IF(SUM(C21)=0,"NA",K21*1000/C21)</f>
        <v>14.836880608932129</v>
      </c>
      <c r="K21" s="3244">
        <v>41.649705486498441</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25484.928</v>
      </c>
      <c r="D22" s="3290" t="s">
        <v>199</v>
      </c>
      <c r="E22" s="3290">
        <v>82.374404283703086</v>
      </c>
      <c r="F22" s="3290">
        <v>17.625595716296914</v>
      </c>
      <c r="G22" s="3265">
        <f>Table3.A!L10</f>
        <v>359.69698889126477</v>
      </c>
      <c r="H22" s="3266" t="s">
        <v>205</v>
      </c>
      <c r="I22" s="3267" t="s">
        <v>205</v>
      </c>
      <c r="J22" s="3268">
        <f t="shared" ref="J22:J46" si="0">IF(SUM(C22)=0,"NA",K22*1000/C22)</f>
        <v>4.8354013925332904</v>
      </c>
      <c r="K22" s="3244">
        <v>123.22985633981065</v>
      </c>
      <c r="M22" s="1597" t="s">
        <v>1049</v>
      </c>
      <c r="N22" s="4511" t="s">
        <v>994</v>
      </c>
      <c r="O22" s="1693" t="s">
        <v>1051</v>
      </c>
      <c r="P22" s="1694" t="s">
        <v>1039</v>
      </c>
      <c r="Q22" s="4444">
        <v>6.4616798846550996</v>
      </c>
      <c r="R22" s="4445" t="s">
        <v>199</v>
      </c>
      <c r="S22" s="4445">
        <v>3.9191141155050988</v>
      </c>
      <c r="T22" s="4445">
        <v>1.6113712995568483</v>
      </c>
      <c r="U22" s="4445" t="s">
        <v>199</v>
      </c>
      <c r="V22" s="4445" t="s">
        <v>274</v>
      </c>
      <c r="W22" s="4445" t="s">
        <v>199</v>
      </c>
      <c r="X22" s="4445">
        <v>88.007834700282956</v>
      </c>
      <c r="Y22" s="4446" t="s">
        <v>199</v>
      </c>
      <c r="Z22" s="4446" t="s">
        <v>199</v>
      </c>
      <c r="AA22" s="4446" t="s">
        <v>199</v>
      </c>
      <c r="AB22" s="4447" t="s">
        <v>199</v>
      </c>
    </row>
    <row r="23" spans="2:28" s="84" customFormat="1" ht="18" customHeight="1" x14ac:dyDescent="0.2">
      <c r="B23" s="2661" t="s">
        <v>966</v>
      </c>
      <c r="C23" s="3290">
        <f>Table3.A!C23</f>
        <v>810.85199999999998</v>
      </c>
      <c r="D23" s="3290" t="s">
        <v>199</v>
      </c>
      <c r="E23" s="3290">
        <v>100</v>
      </c>
      <c r="F23" s="3290" t="s">
        <v>199</v>
      </c>
      <c r="G23" s="3265">
        <f>Table3.A!M10</f>
        <v>524.73704034096556</v>
      </c>
      <c r="H23" s="3266">
        <v>1.7100247915292219</v>
      </c>
      <c r="I23" s="3267">
        <v>0.19</v>
      </c>
      <c r="J23" s="3268">
        <f t="shared" si="0"/>
        <v>3.4778191752047847</v>
      </c>
      <c r="K23" s="3244">
        <v>2.8199966338531497</v>
      </c>
      <c r="M23" s="1667" t="s">
        <v>1061</v>
      </c>
      <c r="N23" s="4512"/>
      <c r="O23" s="1695" t="s">
        <v>1042</v>
      </c>
      <c r="P23" s="1696" t="s">
        <v>1040</v>
      </c>
      <c r="Q23" s="4448">
        <v>9.0925074070969458</v>
      </c>
      <c r="R23" s="4165" t="s">
        <v>199</v>
      </c>
      <c r="S23" s="4165">
        <v>1.928822123628033</v>
      </c>
      <c r="T23" s="4166">
        <v>2.476096931071043</v>
      </c>
      <c r="U23" s="4166" t="s">
        <v>199</v>
      </c>
      <c r="V23" s="4166" t="s">
        <v>274</v>
      </c>
      <c r="W23" s="4166" t="s">
        <v>199</v>
      </c>
      <c r="X23" s="4166">
        <v>86.502573538203976</v>
      </c>
      <c r="Y23" s="4166" t="s">
        <v>199</v>
      </c>
      <c r="Z23" s="4166" t="s">
        <v>199</v>
      </c>
      <c r="AA23" s="4166" t="s">
        <v>199</v>
      </c>
      <c r="AB23" s="4140" t="s">
        <v>199</v>
      </c>
    </row>
    <row r="24" spans="2:28" s="84" customFormat="1" ht="18" customHeight="1" thickBot="1" x14ac:dyDescent="0.25">
      <c r="B24" s="1646" t="s">
        <v>1062</v>
      </c>
      <c r="C24" s="4172">
        <f>C25</f>
        <v>72612.254000000001</v>
      </c>
      <c r="D24" s="3270"/>
      <c r="E24" s="3270"/>
      <c r="F24" s="3270"/>
      <c r="G24" s="3270"/>
      <c r="H24" s="3270"/>
      <c r="I24" s="3271"/>
      <c r="J24" s="3268">
        <f t="shared" si="0"/>
        <v>0.34345560956379351</v>
      </c>
      <c r="K24" s="3248">
        <f>K25</f>
        <v>24.939085959371006</v>
      </c>
      <c r="M24" s="1659"/>
      <c r="N24" s="4512"/>
      <c r="O24" s="1697"/>
      <c r="P24" s="1696" t="s">
        <v>1041</v>
      </c>
      <c r="Q24" s="4449" t="s">
        <v>199</v>
      </c>
      <c r="R24" s="4450" t="s">
        <v>199</v>
      </c>
      <c r="S24" s="4450" t="s">
        <v>199</v>
      </c>
      <c r="T24" s="4451" t="s">
        <v>199</v>
      </c>
      <c r="U24" s="4451" t="s">
        <v>199</v>
      </c>
      <c r="V24" s="4451" t="s">
        <v>274</v>
      </c>
      <c r="W24" s="4451" t="s">
        <v>199</v>
      </c>
      <c r="X24" s="4451" t="s">
        <v>199</v>
      </c>
      <c r="Y24" s="4451" t="s">
        <v>199</v>
      </c>
      <c r="Z24" s="4451" t="s">
        <v>199</v>
      </c>
      <c r="AA24" s="4451" t="s">
        <v>199</v>
      </c>
      <c r="AB24" s="4452" t="s">
        <v>199</v>
      </c>
    </row>
    <row r="25" spans="2:28" s="84" customFormat="1" ht="18" customHeight="1" x14ac:dyDescent="0.2">
      <c r="B25" s="1647" t="s">
        <v>1063</v>
      </c>
      <c r="C25" s="4172">
        <f>C26</f>
        <v>72612.254000000001</v>
      </c>
      <c r="D25" s="3217"/>
      <c r="E25" s="3217"/>
      <c r="F25" s="3217"/>
      <c r="G25" s="3217"/>
      <c r="H25" s="3217"/>
      <c r="I25" s="3227"/>
      <c r="J25" s="3268">
        <f t="shared" si="0"/>
        <v>0.34345560956379351</v>
      </c>
      <c r="K25" s="3248">
        <f>K26</f>
        <v>24.939085959371006</v>
      </c>
      <c r="M25" s="1659"/>
      <c r="N25" s="4512"/>
      <c r="O25" s="1698" t="s">
        <v>1054</v>
      </c>
      <c r="P25" s="1694" t="s">
        <v>1039</v>
      </c>
      <c r="Q25" s="4453">
        <v>0.70000000000000007</v>
      </c>
      <c r="R25" s="4454" t="s">
        <v>199</v>
      </c>
      <c r="S25" s="4454">
        <v>3.9113636363636371E-2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72612.254000000001</v>
      </c>
      <c r="D26" s="3290" t="s">
        <v>199</v>
      </c>
      <c r="E26" s="3290">
        <v>100</v>
      </c>
      <c r="F26" s="3290" t="s">
        <v>199</v>
      </c>
      <c r="G26" s="3272">
        <f>Table3.A!N10</f>
        <v>44.242420725348452</v>
      </c>
      <c r="H26" s="3014" t="s">
        <v>205</v>
      </c>
      <c r="I26" s="3104" t="s">
        <v>205</v>
      </c>
      <c r="J26" s="3268">
        <f t="shared" si="0"/>
        <v>0.34345560956379351</v>
      </c>
      <c r="K26" s="3244">
        <v>24.939085959371006</v>
      </c>
      <c r="M26" s="1659"/>
      <c r="N26" s="4512"/>
      <c r="O26" s="1699"/>
      <c r="P26" s="1696" t="s">
        <v>1040</v>
      </c>
      <c r="Q26" s="4448">
        <v>0.73695319032185025</v>
      </c>
      <c r="R26" s="4165" t="s">
        <v>199</v>
      </c>
      <c r="S26" s="4165">
        <v>6.6264994145228115E-2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2308.2179999999998</v>
      </c>
      <c r="D27" s="3217"/>
      <c r="E27" s="3217"/>
      <c r="F27" s="3217"/>
      <c r="G27" s="3217"/>
      <c r="H27" s="3217"/>
      <c r="I27" s="3227"/>
      <c r="J27" s="3268">
        <f t="shared" si="0"/>
        <v>23.474882965788463</v>
      </c>
      <c r="K27" s="3248">
        <f>K28</f>
        <v>54.185147409526309</v>
      </c>
      <c r="M27" s="1659"/>
      <c r="N27" s="4513"/>
      <c r="O27" s="1700"/>
      <c r="P27" s="1696" t="s">
        <v>1041</v>
      </c>
      <c r="Q27" s="4449" t="s">
        <v>199</v>
      </c>
      <c r="R27" s="4450" t="s">
        <v>199</v>
      </c>
      <c r="S27" s="4450" t="s">
        <v>199</v>
      </c>
      <c r="T27" s="4451" t="s">
        <v>199</v>
      </c>
      <c r="U27" s="4451" t="s">
        <v>199</v>
      </c>
      <c r="V27" s="4451" t="s">
        <v>274</v>
      </c>
      <c r="W27" s="4451" t="s">
        <v>199</v>
      </c>
      <c r="X27" s="4451" t="s">
        <v>199</v>
      </c>
      <c r="Y27" s="4451" t="s">
        <v>199</v>
      </c>
      <c r="Z27" s="4451" t="s">
        <v>199</v>
      </c>
      <c r="AA27" s="4451" t="s">
        <v>199</v>
      </c>
      <c r="AB27" s="4452" t="s">
        <v>199</v>
      </c>
    </row>
    <row r="28" spans="2:28" s="84" customFormat="1" ht="18" customHeight="1" x14ac:dyDescent="0.2">
      <c r="B28" s="1647" t="s">
        <v>1065</v>
      </c>
      <c r="C28" s="4172">
        <f>C29</f>
        <v>2308.2179999999998</v>
      </c>
      <c r="D28" s="3217"/>
      <c r="E28" s="3217"/>
      <c r="F28" s="3217"/>
      <c r="G28" s="3217"/>
      <c r="H28" s="3217"/>
      <c r="I28" s="3227"/>
      <c r="J28" s="3268">
        <f t="shared" si="0"/>
        <v>23.474882965788463</v>
      </c>
      <c r="K28" s="3248">
        <f>K29</f>
        <v>54.185147409526309</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2308.2179999999998</v>
      </c>
      <c r="D29" s="3290">
        <v>0.50667310046088976</v>
      </c>
      <c r="E29" s="3290">
        <v>99.493326899539113</v>
      </c>
      <c r="F29" s="3290" t="s">
        <v>199</v>
      </c>
      <c r="G29" s="3272">
        <f>Table3.A!O10</f>
        <v>58.119332171253717</v>
      </c>
      <c r="H29" s="3014">
        <v>0.39684755840640001</v>
      </c>
      <c r="I29" s="3104">
        <v>0.45</v>
      </c>
      <c r="J29" s="3268">
        <f t="shared" si="0"/>
        <v>23.474882965788463</v>
      </c>
      <c r="K29" s="3244">
        <v>54.185147409526309</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92656.592999999993</v>
      </c>
      <c r="D30" s="3217"/>
      <c r="E30" s="3217"/>
      <c r="F30" s="3217"/>
      <c r="G30" s="3217"/>
      <c r="H30" s="3217"/>
      <c r="I30" s="3227"/>
      <c r="J30" s="3268">
        <f t="shared" si="0"/>
        <v>4.8313846490776156E-2</v>
      </c>
      <c r="K30" s="3248">
        <f>SUM(K32:K39)</f>
        <v>4.4765964105603242</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5.0890000000000004</v>
      </c>
      <c r="D32" s="3290" t="s">
        <v>199</v>
      </c>
      <c r="E32" s="3290">
        <v>34.310358085392807</v>
      </c>
      <c r="F32" s="3290">
        <v>65.689641914607193</v>
      </c>
      <c r="G32" s="3274" t="s">
        <v>205</v>
      </c>
      <c r="H32" s="3274" t="s">
        <v>205</v>
      </c>
      <c r="I32" s="3274" t="s">
        <v>205</v>
      </c>
      <c r="J32" s="3268">
        <f t="shared" si="0"/>
        <v>8.629576980932061</v>
      </c>
      <c r="K32" s="3244">
        <v>4.3915917255963256E-2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3.2629999999999999</v>
      </c>
      <c r="D33" s="3290" t="s">
        <v>199</v>
      </c>
      <c r="E33" s="3290">
        <v>21.475934970551833</v>
      </c>
      <c r="F33" s="3290">
        <v>78.524065029448167</v>
      </c>
      <c r="G33" s="3274" t="s">
        <v>205</v>
      </c>
      <c r="H33" s="3274" t="s">
        <v>205</v>
      </c>
      <c r="I33" s="3274" t="s">
        <v>205</v>
      </c>
      <c r="J33" s="3254">
        <f t="shared" si="0"/>
        <v>9.7299830582010678</v>
      </c>
      <c r="K33" s="3244">
        <v>3.1748934718910084E-2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38.395000000000003</v>
      </c>
      <c r="D34" s="3290" t="s">
        <v>199</v>
      </c>
      <c r="E34" s="3290">
        <v>98.888532958113444</v>
      </c>
      <c r="F34" s="3290">
        <v>1.1114670418865535</v>
      </c>
      <c r="G34" s="3274" t="s">
        <v>205</v>
      </c>
      <c r="H34" s="3274" t="s">
        <v>205</v>
      </c>
      <c r="I34" s="3274" t="s">
        <v>205</v>
      </c>
      <c r="J34" s="3254">
        <f t="shared" si="0"/>
        <v>1.0316339171529203</v>
      </c>
      <c r="K34" s="3244">
        <v>3.960958424908638E-2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516.14300000000003</v>
      </c>
      <c r="D35" s="3290" t="s">
        <v>199</v>
      </c>
      <c r="E35" s="3290">
        <v>99.913589838474991</v>
      </c>
      <c r="F35" s="3290">
        <v>8.641016152500372E-2</v>
      </c>
      <c r="G35" s="3274" t="s">
        <v>205</v>
      </c>
      <c r="H35" s="3274" t="s">
        <v>205</v>
      </c>
      <c r="I35" s="3274" t="s">
        <v>205</v>
      </c>
      <c r="J35" s="3254">
        <f t="shared" si="0"/>
        <v>0.35820472932343683</v>
      </c>
      <c r="K35" s="3244">
        <v>0.18488486360718667</v>
      </c>
      <c r="M35" s="1667"/>
      <c r="N35" s="4512"/>
      <c r="O35" s="1695" t="s">
        <v>1042</v>
      </c>
      <c r="P35" s="1696" t="s">
        <v>1040</v>
      </c>
      <c r="Q35" s="4448">
        <v>1.8000000000000003</v>
      </c>
      <c r="R35" s="4165" t="s">
        <v>199</v>
      </c>
      <c r="S35" s="4165" t="s">
        <v>199</v>
      </c>
      <c r="T35" s="4166" t="s">
        <v>274</v>
      </c>
      <c r="U35" s="4166" t="s">
        <v>199</v>
      </c>
      <c r="V35" s="4166">
        <v>100</v>
      </c>
      <c r="W35" s="4166" t="s">
        <v>199</v>
      </c>
      <c r="X35" s="4166" t="s">
        <v>199</v>
      </c>
      <c r="Y35" s="4166">
        <v>19.000000000000004</v>
      </c>
      <c r="Z35" s="4166" t="s">
        <v>199</v>
      </c>
      <c r="AA35" s="4166" t="s">
        <v>199</v>
      </c>
      <c r="AB35" s="4140" t="s">
        <v>199</v>
      </c>
    </row>
    <row r="36" spans="2:28" s="84" customFormat="1" ht="18" customHeight="1" thickBot="1" x14ac:dyDescent="0.25">
      <c r="B36" s="1647" t="s">
        <v>1071</v>
      </c>
      <c r="C36" s="3274">
        <f>Table3.A!C36</f>
        <v>254.21799999999999</v>
      </c>
      <c r="D36" s="3290" t="s">
        <v>199</v>
      </c>
      <c r="E36" s="3290">
        <v>97.628856714567107</v>
      </c>
      <c r="F36" s="3290">
        <v>2.3711432854328907</v>
      </c>
      <c r="G36" s="3274" t="s">
        <v>205</v>
      </c>
      <c r="H36" s="3274" t="s">
        <v>205</v>
      </c>
      <c r="I36" s="3274" t="s">
        <v>205</v>
      </c>
      <c r="J36" s="3254">
        <f t="shared" si="0"/>
        <v>3.2028388739022913</v>
      </c>
      <c r="K36" s="3244">
        <v>0.81421929284569261</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0.86099999999999999</v>
      </c>
      <c r="D37" s="3290" t="s">
        <v>199</v>
      </c>
      <c r="E37" s="3290">
        <v>96.728275269248215</v>
      </c>
      <c r="F37" s="3290">
        <v>3.2717247307517856</v>
      </c>
      <c r="G37" s="3274" t="s">
        <v>205</v>
      </c>
      <c r="H37" s="3274" t="s">
        <v>205</v>
      </c>
      <c r="I37" s="3274" t="s">
        <v>205</v>
      </c>
      <c r="J37" s="3254">
        <f t="shared" si="0"/>
        <v>1.0935436050982703</v>
      </c>
      <c r="K37" s="3244">
        <v>9.4154104398961084E-4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91696.938999999998</v>
      </c>
      <c r="D38" s="3290">
        <v>0.93664327705295125</v>
      </c>
      <c r="E38" s="3290">
        <v>99.063356722947049</v>
      </c>
      <c r="F38" s="3290" t="s">
        <v>199</v>
      </c>
      <c r="G38" s="3274" t="s">
        <v>205</v>
      </c>
      <c r="H38" s="3274" t="s">
        <v>205</v>
      </c>
      <c r="I38" s="3274" t="s">
        <v>205</v>
      </c>
      <c r="J38" s="3254">
        <f t="shared" si="0"/>
        <v>3.6104246281081082E-2</v>
      </c>
      <c r="K38" s="3244">
        <v>3.3106488688772688</v>
      </c>
      <c r="M38" s="1659"/>
      <c r="N38" s="4512"/>
      <c r="O38" s="1699"/>
      <c r="P38" s="1696" t="s">
        <v>1040</v>
      </c>
      <c r="Q38" s="4448">
        <v>0.76276345936274093</v>
      </c>
      <c r="R38" s="4165" t="s">
        <v>199</v>
      </c>
      <c r="S38" s="4165" t="s">
        <v>199</v>
      </c>
      <c r="T38" s="4166" t="s">
        <v>274</v>
      </c>
      <c r="U38" s="4166" t="s">
        <v>199</v>
      </c>
      <c r="V38" s="4166">
        <v>2.1731477557429258E-2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141.685</v>
      </c>
      <c r="D39" s="3261"/>
      <c r="E39" s="3261"/>
      <c r="F39" s="3261"/>
      <c r="G39" s="3261"/>
      <c r="H39" s="3261"/>
      <c r="I39" s="3262"/>
      <c r="J39" s="3254">
        <f t="shared" si="0"/>
        <v>0.35732369666673458</v>
      </c>
      <c r="K39" s="3248">
        <f>SUM(K41:K45)</f>
        <v>5.0627407962226291E-2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66.541003573197614</v>
      </c>
      <c r="R41" s="4165" t="s">
        <v>199</v>
      </c>
      <c r="S41" s="4165" t="s">
        <v>199</v>
      </c>
      <c r="T41" s="4166" t="s">
        <v>274</v>
      </c>
      <c r="U41" s="4166" t="s">
        <v>274</v>
      </c>
      <c r="V41" s="4166">
        <v>26.517272629515119</v>
      </c>
      <c r="W41" s="4166" t="s">
        <v>274</v>
      </c>
      <c r="X41" s="4166" t="s">
        <v>199</v>
      </c>
      <c r="Y41" s="4166" t="s">
        <v>199</v>
      </c>
      <c r="Z41" s="4166">
        <v>5.3365153978943587</v>
      </c>
      <c r="AA41" s="4166" t="s">
        <v>199</v>
      </c>
      <c r="AB41" s="4140">
        <v>22.324536602521999</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9.673</v>
      </c>
      <c r="D43" s="3290" t="s">
        <v>199</v>
      </c>
      <c r="E43" s="3290">
        <v>100</v>
      </c>
      <c r="F43" s="3290" t="s">
        <v>199</v>
      </c>
      <c r="G43" s="3274" t="s">
        <v>205</v>
      </c>
      <c r="H43" s="3274" t="s">
        <v>205</v>
      </c>
      <c r="I43" s="3274" t="s">
        <v>205</v>
      </c>
      <c r="J43" s="3254">
        <f t="shared" si="0"/>
        <v>0.35732875778301937</v>
      </c>
      <c r="K43" s="3244">
        <v>3.4564410740351463E-3</v>
      </c>
      <c r="M43" s="4516"/>
      <c r="N43" s="4517"/>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0.75417383108766745</v>
      </c>
      <c r="R44" s="4165" t="s">
        <v>199</v>
      </c>
      <c r="S44" s="4165" t="s">
        <v>199</v>
      </c>
      <c r="T44" s="4166" t="s">
        <v>274</v>
      </c>
      <c r="U44" s="4166" t="s">
        <v>274</v>
      </c>
      <c r="V44" s="4166">
        <v>1.9239314986326087E-2</v>
      </c>
      <c r="W44" s="4166" t="s">
        <v>274</v>
      </c>
      <c r="X44" s="4166" t="s">
        <v>199</v>
      </c>
      <c r="Y44" s="4166" t="s">
        <v>199</v>
      </c>
      <c r="Z44" s="4166">
        <v>0.10000000000000002</v>
      </c>
      <c r="AA44" s="4166" t="s">
        <v>199</v>
      </c>
      <c r="AB44" s="4140">
        <v>3.9390339841559735E-2</v>
      </c>
    </row>
    <row r="45" spans="2:28" s="84" customFormat="1" ht="18" customHeight="1" thickBot="1" x14ac:dyDescent="0.25">
      <c r="B45" s="2663" t="s">
        <v>1079</v>
      </c>
      <c r="C45" s="4172">
        <f>C46</f>
        <v>132.012</v>
      </c>
      <c r="D45" s="3261"/>
      <c r="E45" s="3261"/>
      <c r="F45" s="3261"/>
      <c r="G45" s="3261"/>
      <c r="H45" s="3261"/>
      <c r="I45" s="3262"/>
      <c r="J45" s="3254">
        <f t="shared" si="0"/>
        <v>0.3573233258203129</v>
      </c>
      <c r="K45" s="3248">
        <f>K46</f>
        <v>4.7170966888191147E-2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132.012</v>
      </c>
      <c r="D46" s="3021" t="s">
        <v>199</v>
      </c>
      <c r="E46" s="3021">
        <v>100</v>
      </c>
      <c r="F46" s="3021" t="s">
        <v>199</v>
      </c>
      <c r="G46" s="3021" t="s">
        <v>205</v>
      </c>
      <c r="H46" s="3021" t="s">
        <v>205</v>
      </c>
      <c r="I46" s="3275" t="s">
        <v>205</v>
      </c>
      <c r="J46" s="3276">
        <f t="shared" si="0"/>
        <v>0.3573233258203129</v>
      </c>
      <c r="K46" s="3245">
        <v>4.7170966888191147E-2</v>
      </c>
      <c r="M46" s="4514" t="s">
        <v>1080</v>
      </c>
      <c r="N46" s="4515"/>
      <c r="O46" s="1693" t="s">
        <v>1051</v>
      </c>
      <c r="P46" s="1694" t="s">
        <v>1039</v>
      </c>
      <c r="Q46" s="4444" t="s">
        <v>199</v>
      </c>
      <c r="R46" s="4445" t="s">
        <v>199</v>
      </c>
      <c r="S46" s="4445" t="s">
        <v>199</v>
      </c>
      <c r="T46" s="4446">
        <v>47.52572663447642</v>
      </c>
      <c r="U46" s="4446" t="s">
        <v>199</v>
      </c>
      <c r="V46" s="4446" t="s">
        <v>199</v>
      </c>
      <c r="W46" s="4446" t="s">
        <v>274</v>
      </c>
      <c r="X46" s="4446">
        <v>1.9256725318727403</v>
      </c>
      <c r="Y46" s="4446">
        <v>17.998533834854197</v>
      </c>
      <c r="Z46" s="4446">
        <v>0.41360434235997479</v>
      </c>
      <c r="AA46" s="4446" t="s">
        <v>199</v>
      </c>
      <c r="AB46" s="4447">
        <v>97.55697634096758</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43.286602782099862</v>
      </c>
      <c r="U47" s="4166" t="s">
        <v>199</v>
      </c>
      <c r="V47" s="4166" t="s">
        <v>199</v>
      </c>
      <c r="W47" s="4166" t="s">
        <v>274</v>
      </c>
      <c r="X47" s="4166">
        <v>2.6890033375998379</v>
      </c>
      <c r="Y47" s="4166">
        <v>18.788822900535486</v>
      </c>
      <c r="Z47" s="4166">
        <v>0.23094261024572033</v>
      </c>
      <c r="AA47" s="4166" t="s">
        <v>199</v>
      </c>
      <c r="AB47" s="4140">
        <v>97.310996662400186</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1.3572147096539247E-2</v>
      </c>
      <c r="Y50" s="4166">
        <v>0.01</v>
      </c>
      <c r="Z50" s="4166">
        <v>0.1</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29102.953999999998</v>
      </c>
      <c r="D10" s="3453"/>
      <c r="E10" s="3454"/>
      <c r="F10" s="3441">
        <f>F15</f>
        <v>31213957.014424145</v>
      </c>
      <c r="G10" s="3441" t="str">
        <f t="shared" ref="G10:R10" si="0">G15</f>
        <v>NO</v>
      </c>
      <c r="H10" s="3441">
        <f t="shared" si="0"/>
        <v>6999871.4389585461</v>
      </c>
      <c r="I10" s="3441">
        <f t="shared" si="0"/>
        <v>19761422.595804781</v>
      </c>
      <c r="J10" s="3441" t="str">
        <f t="shared" si="0"/>
        <v>NO</v>
      </c>
      <c r="K10" s="3441">
        <f t="shared" si="0"/>
        <v>57389621.967560939</v>
      </c>
      <c r="L10" s="3441" t="str">
        <f t="shared" si="0"/>
        <v>NO</v>
      </c>
      <c r="M10" s="3441">
        <f t="shared" si="0"/>
        <v>1183227597.174006</v>
      </c>
      <c r="N10" s="3441">
        <f t="shared" si="0"/>
        <v>8212914.0205337126</v>
      </c>
      <c r="O10" s="3441" t="str">
        <f t="shared" si="0"/>
        <v>NO</v>
      </c>
      <c r="P10" s="3441" t="str">
        <f t="shared" si="0"/>
        <v>NO</v>
      </c>
      <c r="Q10" s="3441" t="str">
        <f t="shared" si="0"/>
        <v>NO</v>
      </c>
      <c r="R10" s="3441">
        <f t="shared" si="0"/>
        <v>1306805384.2112882</v>
      </c>
      <c r="S10" s="2670"/>
      <c r="T10" s="2671"/>
      <c r="U10" s="3419">
        <f>IF(SUM(X10)=0,"NA",X10*1000/C10)</f>
        <v>2.6503162972494575E-2</v>
      </c>
      <c r="V10" s="3411"/>
      <c r="W10" s="3412"/>
      <c r="X10" s="3278">
        <f t="shared" ref="X10" si="1">X15</f>
        <v>0.77132033284301282</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29102.953999999998</v>
      </c>
      <c r="D15" s="3456"/>
      <c r="E15" s="3456"/>
      <c r="F15" s="2668">
        <f>F20</f>
        <v>31213957.014424145</v>
      </c>
      <c r="G15" s="2668" t="str">
        <f t="shared" ref="G15:R15" si="2">G20</f>
        <v>NO</v>
      </c>
      <c r="H15" s="2668">
        <f t="shared" si="2"/>
        <v>6999871.4389585461</v>
      </c>
      <c r="I15" s="2668">
        <f t="shared" si="2"/>
        <v>19761422.595804781</v>
      </c>
      <c r="J15" s="2668" t="str">
        <f t="shared" si="2"/>
        <v>NO</v>
      </c>
      <c r="K15" s="2668">
        <f t="shared" si="2"/>
        <v>57389621.967560939</v>
      </c>
      <c r="L15" s="2668" t="str">
        <f t="shared" si="2"/>
        <v>NO</v>
      </c>
      <c r="M15" s="2668">
        <f t="shared" si="2"/>
        <v>1183227597.174006</v>
      </c>
      <c r="N15" s="2668">
        <f t="shared" si="2"/>
        <v>8212914.0205337126</v>
      </c>
      <c r="O15" s="2668" t="str">
        <f t="shared" si="2"/>
        <v>NO</v>
      </c>
      <c r="P15" s="2668" t="str">
        <f t="shared" si="2"/>
        <v>NO</v>
      </c>
      <c r="Q15" s="2668" t="str">
        <f t="shared" si="2"/>
        <v>NO</v>
      </c>
      <c r="R15" s="2668">
        <f t="shared" si="2"/>
        <v>1306805384.2112882</v>
      </c>
      <c r="S15" s="2676"/>
      <c r="T15" s="2677"/>
      <c r="U15" s="3419">
        <f>IF(SUM(X15)=0,"NA",X15*1000/C15)</f>
        <v>2.6503162972494575E-2</v>
      </c>
      <c r="V15" s="3417"/>
      <c r="W15" s="3418"/>
      <c r="X15" s="3281">
        <f t="shared" ref="X15" si="3">X20</f>
        <v>0.77132033284301282</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29102.953999999998</v>
      </c>
      <c r="D20" s="3455"/>
      <c r="E20" s="3455"/>
      <c r="F20" s="2668">
        <f>IF(SUM(F21:F23)=0,"NO",SUM(F21:F23))</f>
        <v>31213957.014424145</v>
      </c>
      <c r="G20" s="2668" t="str">
        <f t="shared" ref="G20:Q20" si="6">IF(SUM(G21:G23)=0,"NO",SUM(G21:G23))</f>
        <v>NO</v>
      </c>
      <c r="H20" s="2668">
        <f t="shared" si="6"/>
        <v>6999871.4389585461</v>
      </c>
      <c r="I20" s="2668">
        <f t="shared" si="6"/>
        <v>19761422.595804781</v>
      </c>
      <c r="J20" s="2668" t="str">
        <f t="shared" si="6"/>
        <v>NO</v>
      </c>
      <c r="K20" s="2668">
        <f t="shared" si="6"/>
        <v>57389621.967560939</v>
      </c>
      <c r="L20" s="2668" t="str">
        <f t="shared" si="6"/>
        <v>NO</v>
      </c>
      <c r="M20" s="2668">
        <f t="shared" si="6"/>
        <v>1183227597.174006</v>
      </c>
      <c r="N20" s="2668">
        <f t="shared" si="6"/>
        <v>8212914.0205337126</v>
      </c>
      <c r="O20" s="2668" t="str">
        <f t="shared" si="6"/>
        <v>NO</v>
      </c>
      <c r="P20" s="2668" t="str">
        <f t="shared" si="6"/>
        <v>NO</v>
      </c>
      <c r="Q20" s="2668" t="str">
        <f t="shared" si="6"/>
        <v>NO</v>
      </c>
      <c r="R20" s="3445">
        <f>IF(SUM(F20:Q20)=0,"NO",SUM(F20:Q20))</f>
        <v>1306805384.2112882</v>
      </c>
      <c r="S20" s="2676"/>
      <c r="T20" s="2677"/>
      <c r="U20" s="3419">
        <f t="shared" si="4"/>
        <v>2.6503162972494575E-2</v>
      </c>
      <c r="V20" s="3417"/>
      <c r="W20" s="3418"/>
      <c r="X20" s="3281">
        <f t="shared" ref="X20" si="7">IF(SUM(X21:X23)=0,"NO",SUM(X21:X23))</f>
        <v>0.77132033284301282</v>
      </c>
      <c r="Y20" s="3142"/>
      <c r="Z20" s="3420"/>
    </row>
    <row r="21" spans="2:26" ht="18" customHeight="1" x14ac:dyDescent="0.2">
      <c r="B21" s="2666" t="s">
        <v>994</v>
      </c>
      <c r="C21" s="3458">
        <f>Table3.A!C21</f>
        <v>2807.174</v>
      </c>
      <c r="D21" s="3274">
        <v>123.44451879494375</v>
      </c>
      <c r="E21" s="3457">
        <f>'Table3.B(a)'!G21</f>
        <v>452.49038350574915</v>
      </c>
      <c r="F21" s="3442">
        <v>30180943.819008049</v>
      </c>
      <c r="G21" s="3442" t="s">
        <v>199</v>
      </c>
      <c r="H21" s="3442">
        <v>6999871.4389585461</v>
      </c>
      <c r="I21" s="3442">
        <v>8090439.5139937149</v>
      </c>
      <c r="J21" s="3442" t="s">
        <v>199</v>
      </c>
      <c r="K21" s="3442" t="s">
        <v>274</v>
      </c>
      <c r="L21" s="3442" t="s">
        <v>199</v>
      </c>
      <c r="M21" s="3442">
        <v>301258995.00394309</v>
      </c>
      <c r="N21" s="3442" t="s">
        <v>199</v>
      </c>
      <c r="O21" s="3442" t="s">
        <v>199</v>
      </c>
      <c r="P21" s="3442" t="s">
        <v>199</v>
      </c>
      <c r="Q21" s="3442" t="s">
        <v>199</v>
      </c>
      <c r="R21" s="3445">
        <f t="shared" ref="R21:R46" si="8">IF(SUM(F21:Q21)=0,"NO",SUM(F21:Q21))</f>
        <v>346530249.7759034</v>
      </c>
      <c r="S21" s="2676"/>
      <c r="T21" s="2677"/>
      <c r="U21" s="3419">
        <f t="shared" si="4"/>
        <v>2.264474487100623E-2</v>
      </c>
      <c r="V21" s="3417"/>
      <c r="W21" s="3418"/>
      <c r="X21" s="3282">
        <v>6.3567739038522045E-2</v>
      </c>
      <c r="Y21" s="3142"/>
      <c r="Z21" s="3420"/>
    </row>
    <row r="22" spans="2:26" ht="18" customHeight="1" x14ac:dyDescent="0.2">
      <c r="B22" s="2666" t="s">
        <v>965</v>
      </c>
      <c r="C22" s="3458">
        <f>Table3.A!C22</f>
        <v>25484.928</v>
      </c>
      <c r="D22" s="3274">
        <v>34.60745846008232</v>
      </c>
      <c r="E22" s="3457">
        <f>'Table3.B(a)'!G22</f>
        <v>359.69698889126477</v>
      </c>
      <c r="F22" s="3446" t="s">
        <v>199</v>
      </c>
      <c r="G22" s="3442" t="s">
        <v>199</v>
      </c>
      <c r="H22" s="3446" t="s">
        <v>199</v>
      </c>
      <c r="I22" s="3446" t="s">
        <v>199</v>
      </c>
      <c r="J22" s="3446" t="s">
        <v>199</v>
      </c>
      <c r="K22" s="3446" t="s">
        <v>199</v>
      </c>
      <c r="L22" s="3446" t="s">
        <v>199</v>
      </c>
      <c r="M22" s="3446">
        <v>881968602.1700629</v>
      </c>
      <c r="N22" s="3446" t="s">
        <v>199</v>
      </c>
      <c r="O22" s="3446" t="s">
        <v>199</v>
      </c>
      <c r="P22" s="3446" t="s">
        <v>199</v>
      </c>
      <c r="Q22" s="3446" t="s">
        <v>199</v>
      </c>
      <c r="R22" s="3445">
        <f t="shared" si="8"/>
        <v>881968602.1700629</v>
      </c>
      <c r="S22" s="2676"/>
      <c r="T22" s="2677"/>
      <c r="U22" s="3419" t="str">
        <f>IF(SUM(X22)=0,"NA",X22*1000/C22)</f>
        <v>NA</v>
      </c>
      <c r="V22" s="3417"/>
      <c r="W22" s="3418"/>
      <c r="X22" s="3282" t="s">
        <v>205</v>
      </c>
      <c r="Y22" s="3142"/>
      <c r="Z22" s="3420"/>
    </row>
    <row r="23" spans="2:26" ht="18" customHeight="1" x14ac:dyDescent="0.2">
      <c r="B23" s="2666" t="s">
        <v>966</v>
      </c>
      <c r="C23" s="3458">
        <f>Table3.A!C23</f>
        <v>810.85199999999998</v>
      </c>
      <c r="D23" s="3274">
        <v>70.776950942183049</v>
      </c>
      <c r="E23" s="3457">
        <f>'Table3.B(a)'!G23</f>
        <v>524.73704034096556</v>
      </c>
      <c r="F23" s="3446">
        <v>1033013.1954160968</v>
      </c>
      <c r="G23" s="3442" t="s">
        <v>199</v>
      </c>
      <c r="H23" s="3446" t="s">
        <v>199</v>
      </c>
      <c r="I23" s="3446">
        <v>11670983.081811065</v>
      </c>
      <c r="J23" s="3446" t="s">
        <v>274</v>
      </c>
      <c r="K23" s="3446">
        <v>57389621.967560939</v>
      </c>
      <c r="L23" s="3446" t="s">
        <v>199</v>
      </c>
      <c r="M23" s="3446" t="s">
        <v>199</v>
      </c>
      <c r="N23" s="3446">
        <v>8212914.0205337126</v>
      </c>
      <c r="O23" s="3446" t="s">
        <v>199</v>
      </c>
      <c r="P23" s="3446" t="s">
        <v>199</v>
      </c>
      <c r="Q23" s="3446" t="s">
        <v>199</v>
      </c>
      <c r="R23" s="3445">
        <f t="shared" si="8"/>
        <v>78306532.265321806</v>
      </c>
      <c r="S23" s="2676"/>
      <c r="T23" s="2677"/>
      <c r="U23" s="3419">
        <f t="shared" ref="U23:U30" si="9">IF(SUM(X23)=0,"NA",X23*1000/C23)</f>
        <v>0.87285052488554105</v>
      </c>
      <c r="V23" s="3417"/>
      <c r="W23" s="3418"/>
      <c r="X23" s="3282">
        <v>0.70775259380449074</v>
      </c>
      <c r="Y23" s="3142"/>
      <c r="Z23" s="3420"/>
    </row>
    <row r="24" spans="2:26" ht="18" customHeight="1" x14ac:dyDescent="0.2">
      <c r="B24" s="349" t="s">
        <v>1062</v>
      </c>
      <c r="C24" s="3281">
        <f>C25</f>
        <v>72612.254000000001</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503000972.18071651</v>
      </c>
      <c r="N24" s="2668" t="str">
        <f t="shared" si="10"/>
        <v>NO</v>
      </c>
      <c r="O24" s="2668" t="str">
        <f t="shared" si="10"/>
        <v>NO</v>
      </c>
      <c r="P24" s="2668" t="str">
        <f t="shared" si="10"/>
        <v>NO</v>
      </c>
      <c r="Q24" s="2668" t="str">
        <f t="shared" si="10"/>
        <v>NO</v>
      </c>
      <c r="R24" s="3445">
        <f t="shared" si="8"/>
        <v>503000972.18071651</v>
      </c>
      <c r="S24" s="2676"/>
      <c r="T24" s="2677"/>
      <c r="U24" s="3419" t="str">
        <f t="shared" si="9"/>
        <v>NA</v>
      </c>
      <c r="V24" s="3417"/>
      <c r="W24" s="3418"/>
      <c r="X24" s="3281" t="str">
        <f t="shared" ref="X24:X25" si="11">X25</f>
        <v>NA</v>
      </c>
      <c r="Y24" s="3142"/>
      <c r="Z24" s="3420"/>
    </row>
    <row r="25" spans="2:26" ht="18" customHeight="1" x14ac:dyDescent="0.2">
      <c r="B25" s="348" t="s">
        <v>1063</v>
      </c>
      <c r="C25" s="3281">
        <f>C26</f>
        <v>72612.254000000001</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503000972.18071651</v>
      </c>
      <c r="N25" s="2668" t="str">
        <f t="shared" si="10"/>
        <v>NO</v>
      </c>
      <c r="O25" s="2668" t="str">
        <f t="shared" si="10"/>
        <v>NO</v>
      </c>
      <c r="P25" s="2668" t="str">
        <f t="shared" si="10"/>
        <v>NO</v>
      </c>
      <c r="Q25" s="2668" t="str">
        <f t="shared" si="10"/>
        <v>NO</v>
      </c>
      <c r="R25" s="3445">
        <f t="shared" si="8"/>
        <v>503000972.18071651</v>
      </c>
      <c r="S25" s="2676"/>
      <c r="T25" s="2677"/>
      <c r="U25" s="3419" t="str">
        <f t="shared" si="9"/>
        <v>NA</v>
      </c>
      <c r="V25" s="3417"/>
      <c r="W25" s="3418"/>
      <c r="X25" s="3281" t="str">
        <f t="shared" si="11"/>
        <v>NA</v>
      </c>
      <c r="Y25" s="3142"/>
      <c r="Z25" s="3420"/>
    </row>
    <row r="26" spans="2:26" ht="18" customHeight="1" x14ac:dyDescent="0.2">
      <c r="B26" s="2661" t="s">
        <v>967</v>
      </c>
      <c r="C26" s="3458">
        <f>Table3.A!C26</f>
        <v>72612.254000000001</v>
      </c>
      <c r="D26" s="3274">
        <v>6.9272188570185493</v>
      </c>
      <c r="E26" s="3457">
        <f>'Table3.B(a)'!G26</f>
        <v>44.242420725348452</v>
      </c>
      <c r="F26" s="3446" t="s">
        <v>199</v>
      </c>
      <c r="G26" s="3442" t="s">
        <v>199</v>
      </c>
      <c r="H26" s="3446" t="s">
        <v>199</v>
      </c>
      <c r="I26" s="3446" t="s">
        <v>199</v>
      </c>
      <c r="J26" s="3446" t="s">
        <v>199</v>
      </c>
      <c r="K26" s="3446" t="s">
        <v>199</v>
      </c>
      <c r="L26" s="3446" t="s">
        <v>199</v>
      </c>
      <c r="M26" s="3442">
        <v>503000972.18071651</v>
      </c>
      <c r="N26" s="3446" t="s">
        <v>199</v>
      </c>
      <c r="O26" s="3446" t="s">
        <v>199</v>
      </c>
      <c r="P26" s="3446" t="s">
        <v>199</v>
      </c>
      <c r="Q26" s="3446" t="s">
        <v>199</v>
      </c>
      <c r="R26" s="3445">
        <f t="shared" si="8"/>
        <v>503000972.18071651</v>
      </c>
      <c r="S26" s="2676"/>
      <c r="T26" s="2677"/>
      <c r="U26" s="3419" t="str">
        <f t="shared" si="9"/>
        <v>NA</v>
      </c>
      <c r="V26" s="3417"/>
      <c r="W26" s="3418"/>
      <c r="X26" s="3282" t="s">
        <v>205</v>
      </c>
      <c r="Y26" s="3142"/>
      <c r="Z26" s="3420"/>
    </row>
    <row r="27" spans="2:26" ht="18" customHeight="1" x14ac:dyDescent="0.2">
      <c r="B27" s="349" t="s">
        <v>1064</v>
      </c>
      <c r="C27" s="3281">
        <f>C28</f>
        <v>2308.2179999999998</v>
      </c>
      <c r="D27" s="3455"/>
      <c r="E27" s="3455"/>
      <c r="F27" s="2668">
        <f>F28</f>
        <v>20035261.749532439</v>
      </c>
      <c r="G27" s="2668" t="str">
        <f t="shared" ref="G27:G28" si="12">G28</f>
        <v>NO</v>
      </c>
      <c r="H27" s="2668" t="str">
        <f t="shared" ref="H27:H28" si="13">H28</f>
        <v>NO</v>
      </c>
      <c r="I27" s="2668" t="str">
        <f t="shared" ref="I27:I28" si="14">I28</f>
        <v>IE</v>
      </c>
      <c r="J27" s="2668" t="str">
        <f t="shared" ref="J27:J28" si="15">J28</f>
        <v>IE</v>
      </c>
      <c r="K27" s="2668">
        <f t="shared" ref="K27:K28" si="16">K28</f>
        <v>7043960.1587507166</v>
      </c>
      <c r="L27" s="2668" t="str">
        <f t="shared" ref="L27:L28" si="17">L28</f>
        <v>IE</v>
      </c>
      <c r="M27" s="2668" t="str">
        <f t="shared" ref="M27:M28" si="18">M28</f>
        <v>NO</v>
      </c>
      <c r="N27" s="2668" t="str">
        <f t="shared" ref="N27:N28" si="19">N28</f>
        <v>NO</v>
      </c>
      <c r="O27" s="2668">
        <f t="shared" ref="O27:O28" si="20">O28</f>
        <v>1518010.2262576381</v>
      </c>
      <c r="P27" s="2668" t="str">
        <f t="shared" ref="P27:P28" si="21">P28</f>
        <v>NO</v>
      </c>
      <c r="Q27" s="2668">
        <f t="shared" ref="Q27:Q28" si="22">Q28</f>
        <v>6362048.7626392068</v>
      </c>
      <c r="R27" s="3445">
        <f t="shared" si="8"/>
        <v>34959280.897179998</v>
      </c>
      <c r="S27" s="2676"/>
      <c r="T27" s="2677"/>
      <c r="U27" s="3419">
        <f t="shared" si="9"/>
        <v>7.897210067471741E-2</v>
      </c>
      <c r="V27" s="3417"/>
      <c r="W27" s="3418"/>
      <c r="X27" s="3281">
        <f t="shared" ref="X27:X28" si="23">X28</f>
        <v>0.18228482427519488</v>
      </c>
      <c r="Y27" s="3142"/>
      <c r="Z27" s="3420"/>
    </row>
    <row r="28" spans="2:26" ht="18" customHeight="1" x14ac:dyDescent="0.2">
      <c r="B28" s="348" t="s">
        <v>1065</v>
      </c>
      <c r="C28" s="3281">
        <f>C29</f>
        <v>2308.2179999999998</v>
      </c>
      <c r="D28" s="3455"/>
      <c r="E28" s="3455"/>
      <c r="F28" s="2668">
        <f>F29</f>
        <v>20035261.749532439</v>
      </c>
      <c r="G28" s="2668" t="str">
        <f t="shared" si="12"/>
        <v>NO</v>
      </c>
      <c r="H28" s="2668" t="str">
        <f t="shared" si="13"/>
        <v>NO</v>
      </c>
      <c r="I28" s="2668" t="str">
        <f t="shared" si="14"/>
        <v>IE</v>
      </c>
      <c r="J28" s="2668" t="str">
        <f t="shared" si="15"/>
        <v>IE</v>
      </c>
      <c r="K28" s="2668">
        <f t="shared" si="16"/>
        <v>7043960.1587507166</v>
      </c>
      <c r="L28" s="2668" t="str">
        <f t="shared" si="17"/>
        <v>IE</v>
      </c>
      <c r="M28" s="2668" t="str">
        <f t="shared" si="18"/>
        <v>NO</v>
      </c>
      <c r="N28" s="2668" t="str">
        <f t="shared" si="19"/>
        <v>NO</v>
      </c>
      <c r="O28" s="2668">
        <f t="shared" si="20"/>
        <v>1518010.2262576381</v>
      </c>
      <c r="P28" s="2668" t="str">
        <f t="shared" si="21"/>
        <v>NO</v>
      </c>
      <c r="Q28" s="2668">
        <f t="shared" si="22"/>
        <v>6362048.7626392068</v>
      </c>
      <c r="R28" s="3445">
        <f t="shared" si="8"/>
        <v>34959280.897179998</v>
      </c>
      <c r="S28" s="2676"/>
      <c r="T28" s="2677"/>
      <c r="U28" s="3419">
        <f t="shared" si="9"/>
        <v>7.897210067471741E-2</v>
      </c>
      <c r="V28" s="3417"/>
      <c r="W28" s="3418"/>
      <c r="X28" s="3281">
        <f t="shared" si="23"/>
        <v>0.18228482427519488</v>
      </c>
      <c r="Y28" s="3142"/>
      <c r="Z28" s="3420"/>
    </row>
    <row r="29" spans="2:26" ht="18" customHeight="1" x14ac:dyDescent="0.2">
      <c r="B29" s="2661" t="s">
        <v>968</v>
      </c>
      <c r="C29" s="3458">
        <f>Table3.A!C29</f>
        <v>2308.2179999999998</v>
      </c>
      <c r="D29" s="3274">
        <v>12.251867681414096</v>
      </c>
      <c r="E29" s="3457">
        <f>'Table3.B(a)'!G29</f>
        <v>58.119332171253717</v>
      </c>
      <c r="F29" s="3442">
        <v>20035261.749532439</v>
      </c>
      <c r="G29" s="3442" t="s">
        <v>199</v>
      </c>
      <c r="H29" s="3442" t="s">
        <v>199</v>
      </c>
      <c r="I29" s="3442" t="s">
        <v>274</v>
      </c>
      <c r="J29" s="3442" t="s">
        <v>274</v>
      </c>
      <c r="K29" s="3442">
        <v>7043960.1587507166</v>
      </c>
      <c r="L29" s="3442" t="s">
        <v>274</v>
      </c>
      <c r="M29" s="3442" t="s">
        <v>199</v>
      </c>
      <c r="N29" s="3442" t="s">
        <v>199</v>
      </c>
      <c r="O29" s="3442">
        <v>1518010.2262576381</v>
      </c>
      <c r="P29" s="3442" t="s">
        <v>199</v>
      </c>
      <c r="Q29" s="3442">
        <v>6362048.7626392068</v>
      </c>
      <c r="R29" s="3445">
        <f t="shared" si="8"/>
        <v>34959280.897179998</v>
      </c>
      <c r="S29" s="2676"/>
      <c r="T29" s="2677"/>
      <c r="U29" s="3419">
        <f t="shared" si="9"/>
        <v>7.897210067471741E-2</v>
      </c>
      <c r="V29" s="3417"/>
      <c r="W29" s="3418"/>
      <c r="X29" s="3282">
        <v>0.18228482427519488</v>
      </c>
      <c r="Y29" s="3142"/>
      <c r="Z29" s="3420"/>
    </row>
    <row r="30" spans="2:26" ht="18" customHeight="1" x14ac:dyDescent="0.2">
      <c r="B30" s="349" t="s">
        <v>1116</v>
      </c>
      <c r="C30" s="3281">
        <f>IF(SUM(C32:C39)=0,"NO",SUM(C32:C39))</f>
        <v>92656.592999999993</v>
      </c>
      <c r="D30" s="3455"/>
      <c r="E30" s="3455"/>
      <c r="F30" s="2668" t="str">
        <f>IF(SUM(F32:F39)=0,"NO",SUM(F32:F39))</f>
        <v>NO</v>
      </c>
      <c r="G30" s="2668" t="str">
        <f t="shared" ref="G30:Q30" si="24">IF(SUM(G32:G39)=0,"NO",SUM(G32:G39))</f>
        <v>NO</v>
      </c>
      <c r="H30" s="2668" t="str">
        <f t="shared" si="24"/>
        <v>NO</v>
      </c>
      <c r="I30" s="2668">
        <f t="shared" si="24"/>
        <v>21868471.579688974</v>
      </c>
      <c r="J30" s="2668" t="str">
        <f t="shared" si="24"/>
        <v>NO</v>
      </c>
      <c r="K30" s="2668" t="str">
        <f t="shared" si="24"/>
        <v>NO</v>
      </c>
      <c r="L30" s="2668" t="str">
        <f t="shared" si="24"/>
        <v>NO</v>
      </c>
      <c r="M30" s="2668">
        <f t="shared" si="24"/>
        <v>17135444.327391632</v>
      </c>
      <c r="N30" s="2668">
        <f t="shared" si="24"/>
        <v>9484345.1604729407</v>
      </c>
      <c r="O30" s="2668">
        <f t="shared" si="24"/>
        <v>117147.40810949754</v>
      </c>
      <c r="P30" s="2668" t="str">
        <f t="shared" si="24"/>
        <v>NO</v>
      </c>
      <c r="Q30" s="2668">
        <f t="shared" si="24"/>
        <v>69930475.763217837</v>
      </c>
      <c r="R30" s="3445">
        <f t="shared" si="8"/>
        <v>118535884.23888089</v>
      </c>
      <c r="S30" s="2676"/>
      <c r="T30" s="2677"/>
      <c r="U30" s="3419">
        <f t="shared" si="9"/>
        <v>4.4627678543575616E-3</v>
      </c>
      <c r="V30" s="3417"/>
      <c r="W30" s="3418"/>
      <c r="X30" s="3281">
        <f t="shared" ref="X30" si="25">IF(SUM(X32:X39)=0,"NO",SUM(X32:X39))</f>
        <v>0.41350486473469189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5.0890000000000004</v>
      </c>
      <c r="D32" s="3274">
        <v>39.5</v>
      </c>
      <c r="E32" s="3457" t="str">
        <f>'Table3.B(a)'!G32</f>
        <v>NA</v>
      </c>
      <c r="F32" s="3442" t="s">
        <v>199</v>
      </c>
      <c r="G32" s="3442" t="s">
        <v>199</v>
      </c>
      <c r="H32" s="3442" t="s">
        <v>199</v>
      </c>
      <c r="I32" s="3442" t="s">
        <v>199</v>
      </c>
      <c r="J32" s="3442" t="s">
        <v>199</v>
      </c>
      <c r="K32" s="3442" t="s">
        <v>199</v>
      </c>
      <c r="L32" s="3442" t="s">
        <v>199</v>
      </c>
      <c r="M32" s="3442">
        <v>201017.92767671781</v>
      </c>
      <c r="N32" s="3442" t="s">
        <v>199</v>
      </c>
      <c r="O32" s="3442" t="s">
        <v>199</v>
      </c>
      <c r="P32" s="3442" t="s">
        <v>199</v>
      </c>
      <c r="Q32" s="3442" t="s">
        <v>199</v>
      </c>
      <c r="R32" s="3445">
        <f t="shared" si="8"/>
        <v>201017.92767671781</v>
      </c>
      <c r="S32" s="2676"/>
      <c r="T32" s="2677"/>
      <c r="U32" s="3419" t="str">
        <f>IF(SUM(X32)=0,"NA",X32*1000/C32)</f>
        <v>NA</v>
      </c>
      <c r="V32" s="3417"/>
      <c r="W32" s="3418"/>
      <c r="X32" s="3282" t="s">
        <v>205</v>
      </c>
      <c r="Y32" s="3142"/>
      <c r="Z32" s="3420"/>
    </row>
    <row r="33" spans="2:26" ht="18" customHeight="1" x14ac:dyDescent="0.2">
      <c r="B33" s="348" t="s">
        <v>1068</v>
      </c>
      <c r="C33" s="3458">
        <f>Table3.A!C33</f>
        <v>3.2629999999999999</v>
      </c>
      <c r="D33" s="3274">
        <v>39.5</v>
      </c>
      <c r="E33" s="3457" t="str">
        <f>'Table3.B(a)'!G33</f>
        <v>NA</v>
      </c>
      <c r="F33" s="3442" t="s">
        <v>199</v>
      </c>
      <c r="G33" s="3442" t="s">
        <v>199</v>
      </c>
      <c r="H33" s="3442" t="s">
        <v>199</v>
      </c>
      <c r="I33" s="3442" t="s">
        <v>199</v>
      </c>
      <c r="J33" s="3442" t="s">
        <v>199</v>
      </c>
      <c r="K33" s="3442" t="s">
        <v>199</v>
      </c>
      <c r="L33" s="3442" t="s">
        <v>199</v>
      </c>
      <c r="M33" s="3442">
        <v>128895.82595222098</v>
      </c>
      <c r="N33" s="3442" t="s">
        <v>199</v>
      </c>
      <c r="O33" s="3442" t="s">
        <v>199</v>
      </c>
      <c r="P33" s="3442" t="s">
        <v>199</v>
      </c>
      <c r="Q33" s="3442" t="s">
        <v>199</v>
      </c>
      <c r="R33" s="3445">
        <f t="shared" si="8"/>
        <v>128895.82595222098</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38.395000000000003</v>
      </c>
      <c r="D34" s="3274">
        <v>13.2</v>
      </c>
      <c r="E34" s="3457" t="str">
        <f>'Table3.B(a)'!G34</f>
        <v>NA</v>
      </c>
      <c r="F34" s="3442" t="s">
        <v>199</v>
      </c>
      <c r="G34" s="3442" t="s">
        <v>199</v>
      </c>
      <c r="H34" s="3442" t="s">
        <v>199</v>
      </c>
      <c r="I34" s="3442" t="s">
        <v>199</v>
      </c>
      <c r="J34" s="3442" t="s">
        <v>199</v>
      </c>
      <c r="K34" s="3442" t="s">
        <v>199</v>
      </c>
      <c r="L34" s="3442" t="s">
        <v>199</v>
      </c>
      <c r="M34" s="3442">
        <v>506816.64752187626</v>
      </c>
      <c r="N34" s="3442" t="s">
        <v>199</v>
      </c>
      <c r="O34" s="3442" t="s">
        <v>199</v>
      </c>
      <c r="P34" s="3442" t="s">
        <v>199</v>
      </c>
      <c r="Q34" s="3442" t="s">
        <v>199</v>
      </c>
      <c r="R34" s="3445">
        <f t="shared" si="8"/>
        <v>506816.64752187626</v>
      </c>
      <c r="S34" s="2676"/>
      <c r="T34" s="2677"/>
      <c r="U34" s="3419" t="str">
        <f t="shared" si="26"/>
        <v>NA</v>
      </c>
      <c r="V34" s="3417"/>
      <c r="W34" s="3418"/>
      <c r="X34" s="3282" t="s">
        <v>205</v>
      </c>
      <c r="Y34" s="3142"/>
      <c r="Z34" s="3420"/>
    </row>
    <row r="35" spans="2:26" ht="18" customHeight="1" x14ac:dyDescent="0.2">
      <c r="B35" s="348" t="s">
        <v>1070</v>
      </c>
      <c r="C35" s="3458">
        <f>Table3.A!C35</f>
        <v>516.14300000000003</v>
      </c>
      <c r="D35" s="3274">
        <v>7</v>
      </c>
      <c r="E35" s="3457" t="str">
        <f>'Table3.B(a)'!G35</f>
        <v>NA</v>
      </c>
      <c r="F35" s="3442" t="s">
        <v>199</v>
      </c>
      <c r="G35" s="3442" t="s">
        <v>199</v>
      </c>
      <c r="H35" s="3442" t="s">
        <v>199</v>
      </c>
      <c r="I35" s="3442" t="s">
        <v>199</v>
      </c>
      <c r="J35" s="3442" t="s">
        <v>199</v>
      </c>
      <c r="K35" s="3442" t="s">
        <v>199</v>
      </c>
      <c r="L35" s="3442" t="s">
        <v>199</v>
      </c>
      <c r="M35" s="3442">
        <v>3613000.9999999995</v>
      </c>
      <c r="N35" s="3442" t="s">
        <v>199</v>
      </c>
      <c r="O35" s="3442" t="s">
        <v>199</v>
      </c>
      <c r="P35" s="3442" t="s">
        <v>199</v>
      </c>
      <c r="Q35" s="3442" t="s">
        <v>199</v>
      </c>
      <c r="R35" s="3445">
        <f t="shared" si="8"/>
        <v>3613000.9999999995</v>
      </c>
      <c r="S35" s="2676"/>
      <c r="T35" s="2677"/>
      <c r="U35" s="3419" t="str">
        <f t="shared" si="26"/>
        <v>NA</v>
      </c>
      <c r="V35" s="3417"/>
      <c r="W35" s="3418"/>
      <c r="X35" s="3282" t="s">
        <v>205</v>
      </c>
      <c r="Y35" s="3142"/>
      <c r="Z35" s="3420"/>
    </row>
    <row r="36" spans="2:26" ht="18" customHeight="1" x14ac:dyDescent="0.2">
      <c r="B36" s="348" t="s">
        <v>1071</v>
      </c>
      <c r="C36" s="3458">
        <f>Table3.A!C36</f>
        <v>254.21799999999999</v>
      </c>
      <c r="D36" s="3274">
        <v>39.5</v>
      </c>
      <c r="E36" s="3457" t="str">
        <f>'Table3.B(a)'!G36</f>
        <v>NA</v>
      </c>
      <c r="F36" s="3442" t="s">
        <v>199</v>
      </c>
      <c r="G36" s="3442" t="s">
        <v>199</v>
      </c>
      <c r="H36" s="3442" t="s">
        <v>199</v>
      </c>
      <c r="I36" s="3442" t="s">
        <v>199</v>
      </c>
      <c r="J36" s="3442" t="s">
        <v>199</v>
      </c>
      <c r="K36" s="3442" t="s">
        <v>199</v>
      </c>
      <c r="L36" s="3442" t="s">
        <v>199</v>
      </c>
      <c r="M36" s="3442">
        <v>10041593.446198288</v>
      </c>
      <c r="N36" s="3442" t="s">
        <v>199</v>
      </c>
      <c r="O36" s="3442" t="s">
        <v>199</v>
      </c>
      <c r="P36" s="3442" t="s">
        <v>199</v>
      </c>
      <c r="Q36" s="3442" t="s">
        <v>199</v>
      </c>
      <c r="R36" s="3445">
        <f t="shared" si="8"/>
        <v>10041593.446198288</v>
      </c>
      <c r="S36" s="2676"/>
      <c r="T36" s="2677"/>
      <c r="U36" s="3419" t="str">
        <f t="shared" si="26"/>
        <v>NA</v>
      </c>
      <c r="V36" s="3417"/>
      <c r="W36" s="3418"/>
      <c r="X36" s="3282" t="s">
        <v>205</v>
      </c>
      <c r="Y36" s="3142"/>
      <c r="Z36" s="3420"/>
    </row>
    <row r="37" spans="2:26" ht="18" customHeight="1" x14ac:dyDescent="0.2">
      <c r="B37" s="348" t="s">
        <v>1117</v>
      </c>
      <c r="C37" s="3458">
        <f>Table3.A!C37</f>
        <v>0.86099999999999999</v>
      </c>
      <c r="D37" s="3274">
        <v>13.2</v>
      </c>
      <c r="E37" s="3457" t="str">
        <f>'Table3.B(a)'!G37</f>
        <v>NA</v>
      </c>
      <c r="F37" s="3442" t="s">
        <v>199</v>
      </c>
      <c r="G37" s="3442" t="s">
        <v>199</v>
      </c>
      <c r="H37" s="3442" t="s">
        <v>199</v>
      </c>
      <c r="I37" s="3442" t="s">
        <v>199</v>
      </c>
      <c r="J37" s="3442" t="s">
        <v>199</v>
      </c>
      <c r="K37" s="3442" t="s">
        <v>199</v>
      </c>
      <c r="L37" s="3442" t="s">
        <v>199</v>
      </c>
      <c r="M37" s="3442">
        <v>11367.290067843505</v>
      </c>
      <c r="N37" s="3442" t="s">
        <v>199</v>
      </c>
      <c r="O37" s="3442" t="s">
        <v>199</v>
      </c>
      <c r="P37" s="3442" t="s">
        <v>199</v>
      </c>
      <c r="Q37" s="3442" t="s">
        <v>199</v>
      </c>
      <c r="R37" s="3445">
        <f t="shared" si="8"/>
        <v>11367.290067843505</v>
      </c>
      <c r="S37" s="2676"/>
      <c r="T37" s="2677"/>
      <c r="U37" s="3419" t="str">
        <f t="shared" si="26"/>
        <v>NA</v>
      </c>
      <c r="V37" s="3417"/>
      <c r="W37" s="3418"/>
      <c r="X37" s="3282" t="s">
        <v>205</v>
      </c>
      <c r="Y37" s="3142"/>
      <c r="Z37" s="3420"/>
    </row>
    <row r="38" spans="2:26" ht="18" customHeight="1" x14ac:dyDescent="0.2">
      <c r="B38" s="348" t="s">
        <v>1073</v>
      </c>
      <c r="C38" s="3458">
        <f>Table3.A!C38</f>
        <v>91696.938999999998</v>
      </c>
      <c r="D38" s="3274">
        <v>0.66081381208920997</v>
      </c>
      <c r="E38" s="3457" t="str">
        <f>'Table3.B(a)'!G38</f>
        <v>NA</v>
      </c>
      <c r="F38" s="3442" t="s">
        <v>199</v>
      </c>
      <c r="G38" s="3442" t="s">
        <v>199</v>
      </c>
      <c r="H38" s="3442" t="s">
        <v>199</v>
      </c>
      <c r="I38" s="3442">
        <v>21868471.579688974</v>
      </c>
      <c r="J38" s="3442" t="s">
        <v>274</v>
      </c>
      <c r="K38" s="3442" t="s">
        <v>274</v>
      </c>
      <c r="L38" s="3442" t="s">
        <v>274</v>
      </c>
      <c r="M38" s="3442">
        <v>1640954.0054378158</v>
      </c>
      <c r="N38" s="3442">
        <v>9484345.1604729407</v>
      </c>
      <c r="O38" s="3442">
        <v>117147.40810949754</v>
      </c>
      <c r="P38" s="3442" t="s">
        <v>199</v>
      </c>
      <c r="Q38" s="3442">
        <v>69930475.763217837</v>
      </c>
      <c r="R38" s="3445">
        <f t="shared" si="8"/>
        <v>103041393.91692707</v>
      </c>
      <c r="S38" s="2676"/>
      <c r="T38" s="2677"/>
      <c r="U38" s="3419">
        <f t="shared" si="26"/>
        <v>4.5094729360016248E-3</v>
      </c>
      <c r="V38" s="3417"/>
      <c r="W38" s="3418"/>
      <c r="X38" s="3282">
        <v>0.41350486473469189</v>
      </c>
      <c r="Y38" s="3142"/>
      <c r="Z38" s="3420"/>
    </row>
    <row r="39" spans="2:26" ht="18" customHeight="1" x14ac:dyDescent="0.2">
      <c r="B39" s="348" t="s">
        <v>1074</v>
      </c>
      <c r="C39" s="3281">
        <f>IF(SUM(C41:C45)=0,"NO",SUM(C41:C45))</f>
        <v>141.685</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991798.18453687022</v>
      </c>
      <c r="N39" s="2668" t="str">
        <f t="shared" si="27"/>
        <v>NO</v>
      </c>
      <c r="O39" s="2668" t="str">
        <f t="shared" si="27"/>
        <v>NO</v>
      </c>
      <c r="P39" s="2668" t="str">
        <f t="shared" si="27"/>
        <v>NO</v>
      </c>
      <c r="Q39" s="2668" t="str">
        <f t="shared" si="27"/>
        <v>NO</v>
      </c>
      <c r="R39" s="3445">
        <f t="shared" si="8"/>
        <v>991798.18453687022</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9.673</v>
      </c>
      <c r="D43" s="3274">
        <v>7</v>
      </c>
      <c r="E43" s="3457" t="str">
        <f>'Table3.B(a)'!G43</f>
        <v>NA</v>
      </c>
      <c r="F43" s="3442" t="s">
        <v>199</v>
      </c>
      <c r="G43" s="3442" t="s">
        <v>199</v>
      </c>
      <c r="H43" s="3442" t="s">
        <v>199</v>
      </c>
      <c r="I43" s="3442" t="s">
        <v>199</v>
      </c>
      <c r="J43" s="3442" t="s">
        <v>199</v>
      </c>
      <c r="K43" s="3442" t="s">
        <v>199</v>
      </c>
      <c r="L43" s="3442" t="s">
        <v>199</v>
      </c>
      <c r="M43" s="3442">
        <v>67712.176470588194</v>
      </c>
      <c r="N43" s="3442" t="s">
        <v>199</v>
      </c>
      <c r="O43" s="3442" t="s">
        <v>199</v>
      </c>
      <c r="P43" s="3442" t="s">
        <v>199</v>
      </c>
      <c r="Q43" s="3442" t="s">
        <v>199</v>
      </c>
      <c r="R43" s="3445">
        <f t="shared" si="8"/>
        <v>67712.176470588194</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132.012</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924086.00806628203</v>
      </c>
      <c r="N45" s="2668" t="str">
        <f t="shared" si="28"/>
        <v>NO</v>
      </c>
      <c r="O45" s="2668" t="str">
        <f t="shared" si="28"/>
        <v>NO</v>
      </c>
      <c r="P45" s="2668" t="str">
        <f t="shared" si="28"/>
        <v>NO</v>
      </c>
      <c r="Q45" s="2668" t="str">
        <f t="shared" si="28"/>
        <v>NO</v>
      </c>
      <c r="R45" s="3445">
        <f t="shared" si="8"/>
        <v>924086.00806628203</v>
      </c>
      <c r="S45" s="2676"/>
      <c r="T45" s="2677"/>
      <c r="U45" s="3419" t="str">
        <f t="shared" si="26"/>
        <v>NA</v>
      </c>
      <c r="V45" s="3417"/>
      <c r="W45" s="3418"/>
      <c r="X45" s="3281" t="str">
        <f>X46</f>
        <v>NA</v>
      </c>
      <c r="Y45" s="3142"/>
      <c r="Z45" s="3420"/>
    </row>
    <row r="46" spans="2:26" ht="18" customHeight="1" x14ac:dyDescent="0.2">
      <c r="B46" s="2665" t="s">
        <v>1013</v>
      </c>
      <c r="C46" s="3458">
        <f>Table3.A!C46</f>
        <v>132.012</v>
      </c>
      <c r="D46" s="3274">
        <v>7</v>
      </c>
      <c r="E46" s="3457" t="str">
        <f>'Table3.B(a)'!G46</f>
        <v>NA</v>
      </c>
      <c r="F46" s="3442" t="s">
        <v>199</v>
      </c>
      <c r="G46" s="3442" t="s">
        <v>199</v>
      </c>
      <c r="H46" s="3442" t="s">
        <v>199</v>
      </c>
      <c r="I46" s="3442" t="s">
        <v>199</v>
      </c>
      <c r="J46" s="3442" t="s">
        <v>199</v>
      </c>
      <c r="K46" s="3442" t="s">
        <v>199</v>
      </c>
      <c r="L46" s="3442" t="s">
        <v>199</v>
      </c>
      <c r="M46" s="3442">
        <v>924086.00806628203</v>
      </c>
      <c r="N46" s="3442" t="s">
        <v>199</v>
      </c>
      <c r="O46" s="3442" t="s">
        <v>199</v>
      </c>
      <c r="P46" s="3442" t="s">
        <v>199</v>
      </c>
      <c r="Q46" s="3442" t="s">
        <v>199</v>
      </c>
      <c r="R46" s="3445">
        <f t="shared" si="8"/>
        <v>924086.00806628203</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90921405.244728982</v>
      </c>
      <c r="T47" s="3410">
        <v>358063.25473145884</v>
      </c>
      <c r="U47" s="3429"/>
      <c r="V47" s="3430">
        <f>IF(SUM(S47)=0,"NA",Y47*1000000/S47)</f>
        <v>6.0883110557910678E-3</v>
      </c>
      <c r="W47" s="3431">
        <f>IF(SUM(T47)=0,"NA",Z47*1000000/T47)</f>
        <v>1.7285714285714279E-2</v>
      </c>
      <c r="X47" s="3283"/>
      <c r="Y47" s="3287">
        <v>0.55355779675954353</v>
      </c>
      <c r="Z47" s="3288">
        <v>6.1893791175009292E-3</v>
      </c>
    </row>
    <row r="48" spans="2:26" ht="18" customHeight="1" x14ac:dyDescent="0.2">
      <c r="B48" s="356" t="s">
        <v>1119</v>
      </c>
      <c r="C48" s="357"/>
      <c r="D48" s="357"/>
      <c r="E48" s="357"/>
      <c r="F48" s="3448">
        <f>IF(SUM(F30,F27,F24,F10)=0,"NO",SUM(F30,F27,F24,F10))</f>
        <v>51249218.763956584</v>
      </c>
      <c r="G48" s="3448" t="str">
        <f t="shared" ref="G48:Q48" si="29">IF(SUM(G30,G27,G24,G10)=0,"NO",SUM(G30,G27,G24,G10))</f>
        <v>NO</v>
      </c>
      <c r="H48" s="3448">
        <f t="shared" si="29"/>
        <v>6999871.4389585461</v>
      </c>
      <c r="I48" s="3448">
        <f t="shared" si="29"/>
        <v>41629894.175493754</v>
      </c>
      <c r="J48" s="3448" t="str">
        <f t="shared" si="29"/>
        <v>NO</v>
      </c>
      <c r="K48" s="3448">
        <f t="shared" si="29"/>
        <v>64433582.12631166</v>
      </c>
      <c r="L48" s="3448" t="str">
        <f t="shared" si="29"/>
        <v>NO</v>
      </c>
      <c r="M48" s="3374"/>
      <c r="N48" s="3448">
        <f t="shared" si="29"/>
        <v>17697259.181006655</v>
      </c>
      <c r="O48" s="3448">
        <f t="shared" si="29"/>
        <v>1635157.6343671356</v>
      </c>
      <c r="P48" s="3374"/>
      <c r="Q48" s="3448">
        <f t="shared" si="29"/>
        <v>76292524.525857046</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2.1654714506642324E-2</v>
      </c>
      <c r="J49" s="3449" t="str">
        <f t="shared" si="30"/>
        <v>NA</v>
      </c>
      <c r="K49" s="3449" t="str">
        <f t="shared" si="30"/>
        <v>NA</v>
      </c>
      <c r="L49" s="3449" t="str">
        <f t="shared" si="30"/>
        <v>NA</v>
      </c>
      <c r="M49" s="87"/>
      <c r="N49" s="3449">
        <f t="shared" si="30"/>
        <v>1.5714285714285708E-2</v>
      </c>
      <c r="O49" s="3449" t="str">
        <f t="shared" si="30"/>
        <v>NA</v>
      </c>
      <c r="P49" s="87"/>
      <c r="Q49" s="3449">
        <f t="shared" si="30"/>
        <v>2.4579965412887751E-3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0.90148347331204937</v>
      </c>
      <c r="J50" s="3450" t="s">
        <v>274</v>
      </c>
      <c r="K50" s="3450" t="s">
        <v>274</v>
      </c>
      <c r="L50" s="3450" t="s">
        <v>274</v>
      </c>
      <c r="M50" s="3437"/>
      <c r="N50" s="3451">
        <v>0.27809978713010447</v>
      </c>
      <c r="O50" s="3451" t="s">
        <v>205</v>
      </c>
      <c r="P50" s="3437"/>
      <c r="Q50" s="3451">
        <v>0.18752676141074567</v>
      </c>
      <c r="R50" s="1311"/>
      <c r="S50" s="1312"/>
      <c r="T50" s="1313"/>
      <c r="U50" s="3436">
        <f>X50*1000/SUM(C10,C24,C27,C30)</f>
        <v>6.9509349694180152E-3</v>
      </c>
      <c r="V50" s="3437"/>
      <c r="W50" s="3438"/>
      <c r="X50" s="3286">
        <f>SUM(X10,X24,X27,X30)</f>
        <v>1.3671100218528995</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12.186431894</v>
      </c>
    </row>
    <row r="11" spans="1:9" ht="18" customHeight="1" x14ac:dyDescent="0.2">
      <c r="B11" s="432" t="s">
        <v>1133</v>
      </c>
      <c r="C11" s="4462">
        <v>0.76692460000000007</v>
      </c>
      <c r="D11" s="243" t="s">
        <v>199</v>
      </c>
      <c r="E11" s="283" t="s">
        <v>199</v>
      </c>
      <c r="F11" s="2330">
        <f>IF(SUM(C11)=0,"NA",G11/C11)</f>
        <v>15.889999999999999</v>
      </c>
      <c r="G11" s="3072">
        <v>12.186431894</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0.76692460000000007</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9" sqref="I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29.198508183986419</v>
      </c>
      <c r="H10" s="395" t="s">
        <v>1157</v>
      </c>
      <c r="I10" s="396" t="s">
        <v>1158</v>
      </c>
      <c r="J10" s="397">
        <v>0.21</v>
      </c>
    </row>
    <row r="11" spans="2:10" ht="24" customHeight="1" x14ac:dyDescent="0.2">
      <c r="B11" s="2453" t="s">
        <v>1159</v>
      </c>
      <c r="C11" s="2454" t="s">
        <v>1160</v>
      </c>
      <c r="D11" s="3639">
        <v>1407441.0986423925</v>
      </c>
      <c r="E11" s="3634">
        <f>IF(SUM(D11)=0,"NA",F11*1000/D11/(44/28))</f>
        <v>4.5367136840045903E-3</v>
      </c>
      <c r="F11" s="3390">
        <v>10.033818601150767</v>
      </c>
      <c r="H11" s="395" t="s">
        <v>1161</v>
      </c>
      <c r="I11" s="396" t="s">
        <v>1162</v>
      </c>
      <c r="J11" s="397">
        <v>0.24</v>
      </c>
    </row>
    <row r="12" spans="2:10" ht="24" customHeight="1" x14ac:dyDescent="0.2">
      <c r="B12" s="2453" t="s">
        <v>1163</v>
      </c>
      <c r="C12" s="2455" t="s">
        <v>1164</v>
      </c>
      <c r="D12" s="3640">
        <f>IF(SUM(D13:D15)=0,"NO",SUM(D13:D15))</f>
        <v>107394.50426638463</v>
      </c>
      <c r="E12" s="3635">
        <f t="shared" ref="E12:E23" si="0">IF(SUM(D12)=0,"NA",F12*1000/D12/(44/28))</f>
        <v>8.592832480451406E-3</v>
      </c>
      <c r="F12" s="3391">
        <f>IF(SUM(F13:F15)=0,"NO",SUM(F13:F15))</f>
        <v>1.4501504041862623</v>
      </c>
      <c r="H12" s="4233" t="s">
        <v>1165</v>
      </c>
      <c r="I12" s="4234"/>
      <c r="J12" s="4235"/>
    </row>
    <row r="13" spans="2:10" ht="24" customHeight="1" thickBot="1" x14ac:dyDescent="0.25">
      <c r="B13" s="2453" t="s">
        <v>1166</v>
      </c>
      <c r="C13" s="2454" t="s">
        <v>1167</v>
      </c>
      <c r="D13" s="3641">
        <v>95973.48964740985</v>
      </c>
      <c r="E13" s="3634">
        <f t="shared" si="0"/>
        <v>8.5443788271538073E-3</v>
      </c>
      <c r="F13" s="3390">
        <v>1.2886246260036189</v>
      </c>
      <c r="H13" s="4236"/>
      <c r="I13" s="4237"/>
      <c r="J13" s="4238"/>
    </row>
    <row r="14" spans="2:10" ht="24" customHeight="1" x14ac:dyDescent="0.2">
      <c r="B14" s="2453" t="s">
        <v>1168</v>
      </c>
      <c r="C14" s="2454" t="s">
        <v>1169</v>
      </c>
      <c r="D14" s="3641">
        <v>11421.014618974779</v>
      </c>
      <c r="E14" s="3634">
        <f t="shared" si="0"/>
        <v>8.9999999999999993E-3</v>
      </c>
      <c r="F14" s="3390">
        <v>0.1615257781826433</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1703364.0136821142</v>
      </c>
      <c r="E16" s="3634">
        <f t="shared" si="0"/>
        <v>4.0000000000000001E-3</v>
      </c>
      <c r="F16" s="3390">
        <v>10.706859514573289</v>
      </c>
    </row>
    <row r="17" spans="2:11" ht="24" customHeight="1" x14ac:dyDescent="0.2">
      <c r="B17" s="2453" t="s">
        <v>1176</v>
      </c>
      <c r="C17" s="2454" t="s">
        <v>1177</v>
      </c>
      <c r="D17" s="3641">
        <v>859219.00902218476</v>
      </c>
      <c r="E17" s="3634">
        <f t="shared" si="0"/>
        <v>5.0299999999999997E-3</v>
      </c>
      <c r="F17" s="3390">
        <v>6.7915125384567832</v>
      </c>
    </row>
    <row r="18" spans="2:11" ht="24" customHeight="1" x14ac:dyDescent="0.2">
      <c r="B18" s="2453" t="s">
        <v>1178</v>
      </c>
      <c r="C18" s="2454" t="s">
        <v>1179</v>
      </c>
      <c r="D18" s="3641">
        <v>19892.901980824998</v>
      </c>
      <c r="E18" s="3636">
        <f t="shared" si="0"/>
        <v>4.0999999999999995E-3</v>
      </c>
      <c r="F18" s="3392">
        <v>0.12816712561931534</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11.161886232766449</v>
      </c>
    </row>
    <row r="22" spans="2:11" ht="24" customHeight="1" x14ac:dyDescent="0.2">
      <c r="B22" s="2457" t="s">
        <v>1184</v>
      </c>
      <c r="C22" s="2454" t="s">
        <v>1185</v>
      </c>
      <c r="D22" s="3641">
        <v>535077.80961984792</v>
      </c>
      <c r="E22" s="3634">
        <f t="shared" si="0"/>
        <v>3.1878864908897729E-3</v>
      </c>
      <c r="F22" s="3390">
        <v>2.6804915042117186</v>
      </c>
    </row>
    <row r="23" spans="2:11" ht="24" customHeight="1" thickBot="1" x14ac:dyDescent="0.25">
      <c r="B23" s="406" t="s">
        <v>1186</v>
      </c>
      <c r="C23" s="407" t="s">
        <v>1187</v>
      </c>
      <c r="D23" s="3643">
        <v>490659.1991725876</v>
      </c>
      <c r="E23" s="3638">
        <f t="shared" si="0"/>
        <v>1.1000000000000001E-2</v>
      </c>
      <c r="F23" s="3394">
        <v>8.4813947285547293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25303036.870000001</v>
      </c>
      <c r="N9" s="4167">
        <v>9174417.4900000002</v>
      </c>
      <c r="O9" s="4167">
        <v>390364.35</v>
      </c>
      <c r="P9" s="4168">
        <v>1282041.78</v>
      </c>
      <c r="Q9" s="4168">
        <v>1254659.3699999999</v>
      </c>
      <c r="R9" s="4168">
        <v>142418.67000000001</v>
      </c>
      <c r="S9" s="4168">
        <v>819275.64</v>
      </c>
      <c r="T9" s="4168">
        <v>125641.48999999999</v>
      </c>
      <c r="U9" s="4168">
        <v>1917338.5399999998</v>
      </c>
      <c r="V9" s="4168">
        <v>30525353.809999995</v>
      </c>
      <c r="W9" s="4168">
        <v>17261.678670000001</v>
      </c>
      <c r="X9" s="4169">
        <v>172418</v>
      </c>
    </row>
    <row r="10" spans="2:24" ht="18" customHeight="1" thickTop="1" x14ac:dyDescent="0.2">
      <c r="B10" s="430" t="s">
        <v>1226</v>
      </c>
      <c r="C10" s="374"/>
      <c r="D10" s="431"/>
      <c r="E10" s="431"/>
      <c r="F10" s="4137">
        <f>IF(SUM(F11:F14)=0,"NO",SUM(F11:F14))</f>
        <v>3636.6709728836049</v>
      </c>
      <c r="G10" s="4138">
        <f>IF(SUM($F10)=0,"NA",I10/$F10*1000)</f>
        <v>1.8849426035648225</v>
      </c>
      <c r="H10" s="4139">
        <f>IF(SUM($F10)=0,"NA",J10/$F10*1000)</f>
        <v>7.6314196741088247E-2</v>
      </c>
      <c r="I10" s="3161">
        <f>IF(SUM(I11:I14)=0,"NO",SUM(I11:I14))</f>
        <v>6.8549160519358381</v>
      </c>
      <c r="J10" s="416">
        <f>IF(SUM(J11:J14)=0,"NO",SUM(J11:J14))</f>
        <v>0.27752962410724424</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2097.045919222393</v>
      </c>
      <c r="G11" s="4141">
        <f>IF(SUM($F11)=0,"NA",I11/$F11*1000)</f>
        <v>1.8666666666666671</v>
      </c>
      <c r="H11" s="4142">
        <f>IF(SUM($F11)=0,"NA",J11/$F11*1000)</f>
        <v>7.1657142857142864E-2</v>
      </c>
      <c r="I11" s="3291">
        <v>3.9144857158818009</v>
      </c>
      <c r="J11" s="3292">
        <v>0.15026831901170748</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626.50340955962872</v>
      </c>
      <c r="G12" s="4143">
        <f t="shared" ref="G12:G28" si="0">IF(SUM($F12)=0,"NA",I12/$F12*1000)</f>
        <v>1.8666666666666665</v>
      </c>
      <c r="H12" s="4142">
        <f t="shared" ref="H12:H28" si="1">IF(SUM($F12)=0,"NA",J12/$F12*1000)</f>
        <v>8.3599999999999994E-2</v>
      </c>
      <c r="I12" s="3149">
        <v>1.1694730311779735</v>
      </c>
      <c r="J12" s="3292">
        <v>5.2375685039184959E-2</v>
      </c>
      <c r="L12" s="1323" t="s">
        <v>1231</v>
      </c>
      <c r="M12" s="4165">
        <v>0.13080372847867103</v>
      </c>
      <c r="N12" s="4165">
        <v>0.13037650807078821</v>
      </c>
      <c r="O12" s="4165">
        <v>0.15634871787494606</v>
      </c>
      <c r="P12" s="4166">
        <v>0.10844802341102461</v>
      </c>
      <c r="Q12" s="4166">
        <v>0.12579892582096031</v>
      </c>
      <c r="R12" s="4166">
        <v>0.14110136414755609</v>
      </c>
      <c r="S12" s="4166">
        <v>0.81499999999999995</v>
      </c>
      <c r="T12" s="4166">
        <v>0.17416103047967868</v>
      </c>
      <c r="U12" s="4166">
        <v>0.13355994832618526</v>
      </c>
      <c r="V12" s="4166">
        <v>0.29165924278338412</v>
      </c>
      <c r="W12" s="4166">
        <v>6.9119752688662134E-2</v>
      </c>
      <c r="X12" s="4140">
        <v>0.13270350633890218</v>
      </c>
    </row>
    <row r="13" spans="2:24" ht="18" customHeight="1" thickBot="1" x14ac:dyDescent="0.25">
      <c r="B13" s="432" t="s">
        <v>1232</v>
      </c>
      <c r="C13" s="433" t="s">
        <v>205</v>
      </c>
      <c r="D13" s="433" t="s">
        <v>205</v>
      </c>
      <c r="E13" s="433" t="s">
        <v>205</v>
      </c>
      <c r="F13" s="4140">
        <v>40.340348960548745</v>
      </c>
      <c r="G13" s="4143">
        <f t="shared" si="0"/>
        <v>1.96</v>
      </c>
      <c r="H13" s="4142">
        <f t="shared" si="1"/>
        <v>5.971428571428572E-2</v>
      </c>
      <c r="I13" s="3149">
        <v>7.9067083962675533E-2</v>
      </c>
      <c r="J13" s="3292">
        <v>2.4088951236441968E-3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872.78129514103432</v>
      </c>
      <c r="G14" s="4145">
        <f t="shared" si="0"/>
        <v>1.9385042167293378</v>
      </c>
      <c r="H14" s="4146">
        <f t="shared" si="1"/>
        <v>8.3041107017532909E-2</v>
      </c>
      <c r="I14" s="3168">
        <f>IF(SUM(I15:I19)=0,"NO",SUM(I15:I19))</f>
        <v>1.6918902209133877</v>
      </c>
      <c r="J14" s="3064">
        <f>IF(SUM(J15:J19)=0,"NO",SUM(J15:J19))</f>
        <v>7.2476724932707598E-2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80.08410065549856</v>
      </c>
      <c r="G15" s="4147">
        <f t="shared" si="0"/>
        <v>1.8666666666666665</v>
      </c>
      <c r="H15" s="4148">
        <f t="shared" si="1"/>
        <v>9.5542857142857138E-2</v>
      </c>
      <c r="I15" s="3293">
        <v>0.14949032122359729</v>
      </c>
      <c r="J15" s="3292">
        <v>7.651463788342491E-3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94.670576328526352</v>
      </c>
      <c r="G16" s="4149">
        <f t="shared" si="0"/>
        <v>1.8666666666666667</v>
      </c>
      <c r="H16" s="4150">
        <f t="shared" si="1"/>
        <v>7.1657142857142864E-2</v>
      </c>
      <c r="I16" s="3294">
        <v>0.17671840914658252</v>
      </c>
      <c r="J16" s="3292">
        <v>6.7838230123412595E-3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12.392955878028088</v>
      </c>
      <c r="G17" s="4149">
        <f t="shared" si="0"/>
        <v>1.8666666666666669</v>
      </c>
      <c r="H17" s="4150">
        <f t="shared" si="1"/>
        <v>7.165714285714285E-2</v>
      </c>
      <c r="I17" s="3294">
        <v>2.3133517638985766E-2</v>
      </c>
      <c r="J17" s="3292">
        <v>8.8804380977412691E-4</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671.76932125132805</v>
      </c>
      <c r="G18" s="4149">
        <f t="shared" si="0"/>
        <v>1.96</v>
      </c>
      <c r="H18" s="4150">
        <f t="shared" si="1"/>
        <v>8.3599999999999994E-2</v>
      </c>
      <c r="I18" s="3294">
        <v>1.3166678696526029</v>
      </c>
      <c r="J18" s="3292">
        <v>5.6159915256611022E-2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13.864341027653261</v>
      </c>
      <c r="G19" s="4149">
        <f t="shared" si="0"/>
        <v>1.8666666666666669</v>
      </c>
      <c r="H19" s="4150">
        <f t="shared" si="1"/>
        <v>7.1657142857142864E-2</v>
      </c>
      <c r="I19" s="3294">
        <v>2.5880103251619421E-2</v>
      </c>
      <c r="J19" s="3292">
        <v>9.9347906563869654E-4</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146.5062328978569</v>
      </c>
      <c r="G20" s="4153">
        <f t="shared" si="0"/>
        <v>1.8666666666666671</v>
      </c>
      <c r="H20" s="4154">
        <f t="shared" si="1"/>
        <v>0.1074857142857143</v>
      </c>
      <c r="I20" s="3187">
        <f>I21</f>
        <v>0.27347830140933294</v>
      </c>
      <c r="J20" s="442">
        <f>J21</f>
        <v>1.5747327090335363E-2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146.5062328978569</v>
      </c>
      <c r="G21" s="4156">
        <f t="shared" si="0"/>
        <v>1.8666666666666671</v>
      </c>
      <c r="H21" s="4146">
        <f t="shared" si="1"/>
        <v>0.1074857142857143</v>
      </c>
      <c r="I21" s="3168">
        <f>I22</f>
        <v>0.27347830140933294</v>
      </c>
      <c r="J21" s="3064">
        <f>J22</f>
        <v>1.5747327090335363E-2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146.5062328978569</v>
      </c>
      <c r="G22" s="4158">
        <f t="shared" si="0"/>
        <v>1.8666666666666671</v>
      </c>
      <c r="H22" s="4159">
        <f t="shared" si="1"/>
        <v>0.1074857142857143</v>
      </c>
      <c r="I22" s="3295">
        <v>0.27347830140933294</v>
      </c>
      <c r="J22" s="3296">
        <v>1.5747327090335363E-2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427.34407574013545</v>
      </c>
      <c r="G26" s="4163">
        <f t="shared" si="0"/>
        <v>1.8666666666666665</v>
      </c>
      <c r="H26" s="4164">
        <f t="shared" si="1"/>
        <v>5.9714285714285727E-2</v>
      </c>
      <c r="I26" s="3297">
        <v>0.7977089413815861</v>
      </c>
      <c r="J26" s="3298">
        <v>2.5518546237053807E-2</v>
      </c>
      <c r="L26" s="159"/>
    </row>
    <row r="27" spans="2:24" ht="18" customHeight="1" x14ac:dyDescent="0.2">
      <c r="B27" s="439" t="s">
        <v>1242</v>
      </c>
      <c r="C27" s="440"/>
      <c r="D27" s="441"/>
      <c r="E27" s="441"/>
      <c r="F27" s="4152">
        <f>IF(SUM(F28:F29)=0,"NO",SUM(F28:F29))</f>
        <v>495.72068333869237</v>
      </c>
      <c r="G27" s="4153">
        <f t="shared" si="0"/>
        <v>1.8667589662929112</v>
      </c>
      <c r="H27" s="4154">
        <f t="shared" si="1"/>
        <v>0.10756838837950755</v>
      </c>
      <c r="I27" s="3187">
        <f>IF(SUM(I28:I29)=0,"NO",SUM(I28:I29))</f>
        <v>0.92539103039935289</v>
      </c>
      <c r="J27" s="442">
        <f>IF(SUM(J28:J29)=0,"NO",SUM(J28:J29))</f>
        <v>5.3323874993131334E-2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0.49023036207661963</v>
      </c>
      <c r="G28" s="4149">
        <f t="shared" si="0"/>
        <v>1.9599999999999995</v>
      </c>
      <c r="H28" s="4150">
        <f t="shared" si="1"/>
        <v>0.19108571428571428</v>
      </c>
      <c r="I28" s="3294">
        <v>9.6085150967017432E-4</v>
      </c>
      <c r="J28" s="3292">
        <v>9.3676018901955199E-5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495.23045297661577</v>
      </c>
      <c r="G29" s="4149">
        <f t="shared" ref="G29" si="2">IF(SUM($F29)=0,"NA",I29/$F29*1000)</f>
        <v>1.8666666666666667</v>
      </c>
      <c r="H29" s="4150">
        <f t="shared" ref="H29" si="3">IF(SUM($F29)=0,"NA",J29/$F29*1000)</f>
        <v>0.10748571428571427</v>
      </c>
      <c r="I29" s="3294">
        <v>0.92443017888968271</v>
      </c>
      <c r="J29" s="3292">
        <v>5.3230198974229377E-2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1138.7434395518412</v>
      </c>
    </row>
    <row r="11" spans="2:5" s="83" customFormat="1" ht="18" customHeight="1" x14ac:dyDescent="0.2">
      <c r="B11" s="1858" t="s">
        <v>1361</v>
      </c>
      <c r="C11" s="4175">
        <v>2706787.008706606</v>
      </c>
      <c r="D11" s="3534">
        <f>IF(SUM(C11)=0,"NA",E11*1000/(44/12)/C11)</f>
        <v>0.10800000000000001</v>
      </c>
      <c r="E11" s="3395">
        <v>1071.8876554478161</v>
      </c>
    </row>
    <row r="12" spans="2:5" s="83" customFormat="1" ht="18" customHeight="1" x14ac:dyDescent="0.2">
      <c r="B12" s="1858" t="s">
        <v>1362</v>
      </c>
      <c r="C12" s="4175">
        <v>147638.83129339386</v>
      </c>
      <c r="D12" s="3534">
        <f t="shared" ref="D12:D16" si="0">IF(SUM(C12)=0,"NA",E12*1000/(44/12)/C12)</f>
        <v>0.12350000000000001</v>
      </c>
      <c r="E12" s="3395">
        <v>66.85578410402519</v>
      </c>
    </row>
    <row r="13" spans="2:5" s="83" customFormat="1" ht="18" customHeight="1" x14ac:dyDescent="0.2">
      <c r="B13" s="853" t="s">
        <v>1363</v>
      </c>
      <c r="C13" s="4176">
        <v>1843863.1172495729</v>
      </c>
      <c r="D13" s="4177">
        <f t="shared" si="0"/>
        <v>0.20000000000000004</v>
      </c>
      <c r="E13" s="3396">
        <v>1352.1662859830203</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-20514.150918884588</v>
      </c>
      <c r="D10" s="4269">
        <f t="shared" ref="D10:H10" si="0">IF(SUM(D11,D14,D17,D20,D23,D26,D29:D30)=0,"NO",SUM(D11,D14,D17,D20,D23,D26,D29:D30))</f>
        <v>716.15556938461111</v>
      </c>
      <c r="E10" s="4269">
        <f t="shared" si="0"/>
        <v>17.694410367499898</v>
      </c>
      <c r="F10" s="4269">
        <f t="shared" si="0"/>
        <v>977.2070816894269</v>
      </c>
      <c r="G10" s="4269">
        <f t="shared" si="0"/>
        <v>25547.551783580282</v>
      </c>
      <c r="H10" s="4270">
        <f t="shared" si="0"/>
        <v>649.88541874072564</v>
      </c>
      <c r="I10" s="4271">
        <f>IF(SUM(C10:E10)=0,"NO",SUM(C10)+28*SUM(D10)+265*SUM(E10))</f>
        <v>4227.2237712719952</v>
      </c>
      <c r="J10" s="4259"/>
    </row>
    <row r="11" spans="2:10" ht="18" customHeight="1" x14ac:dyDescent="0.2">
      <c r="B11" s="464" t="s">
        <v>1252</v>
      </c>
      <c r="C11" s="4272">
        <f>IF(SUM(C12:C13)=0,"NO",SUM(C12:C13))</f>
        <v>-58758.565850955252</v>
      </c>
      <c r="D11" s="4272">
        <f t="shared" ref="D11:H11" si="1">IF(SUM(D12:D13)=0,"NO",SUM(D12:D13))</f>
        <v>312.67938331430719</v>
      </c>
      <c r="E11" s="4272">
        <f t="shared" si="1"/>
        <v>6.3078997257968688</v>
      </c>
      <c r="F11" s="4272">
        <f t="shared" si="1"/>
        <v>331.8280825281276</v>
      </c>
      <c r="G11" s="4272">
        <f t="shared" si="1"/>
        <v>8798.1730742280561</v>
      </c>
      <c r="H11" s="4273">
        <f t="shared" si="1"/>
        <v>266.51908842182604</v>
      </c>
      <c r="I11" s="4274">
        <f t="shared" ref="I11:I32" si="2">IF(SUM(C11:E11)=0,"NO",SUM(C11)+28*SUM(D11)+265*SUM(E11))</f>
        <v>-48331.949690818481</v>
      </c>
    </row>
    <row r="12" spans="2:10" ht="18" customHeight="1" x14ac:dyDescent="0.2">
      <c r="B12" s="465" t="s">
        <v>1253</v>
      </c>
      <c r="C12" s="4275">
        <f>IF(SUM(Table4.A!U11,'Table4(IV)'!J12)=0,"NO",SUM(Table4.A!U11,'Table4(IV)'!J12))</f>
        <v>-22349.630262089355</v>
      </c>
      <c r="D12" s="4275">
        <f>'Table4(IV)'!K12</f>
        <v>308.49147134517887</v>
      </c>
      <c r="E12" s="4275">
        <f>IF(SUM('Table4(III)'!I12,'Table4(IV)'!L12)=0,"NO",SUM('Table4(III)'!I12,'Table4(IV)'!L12))</f>
        <v>5.3785670075903571</v>
      </c>
      <c r="F12" s="4276">
        <v>329.34545314035029</v>
      </c>
      <c r="G12" s="4276">
        <v>8702.7615636311966</v>
      </c>
      <c r="H12" s="4277">
        <v>255.33174850913363</v>
      </c>
      <c r="I12" s="4278">
        <f t="shared" si="2"/>
        <v>-12286.548807412903</v>
      </c>
    </row>
    <row r="13" spans="2:10" ht="18" customHeight="1" thickBot="1" x14ac:dyDescent="0.25">
      <c r="B13" s="466" t="s">
        <v>1254</v>
      </c>
      <c r="C13" s="4279">
        <f>IF(SUM(Table4.A!U16,'Table4(IV)'!J19)=0,"NO",SUM(Table4.A!U16,'Table4(IV)'!J19))</f>
        <v>-36408.935588865897</v>
      </c>
      <c r="D13" s="4279">
        <f>'Table4(IV)'!K19</f>
        <v>4.1879119691283382</v>
      </c>
      <c r="E13" s="4279">
        <f>IF(SUM('Table4(III)'!I13,'Table4(IV)'!L19)=0,"NO",SUM('Table4(III)'!I13,'Table4(IV)'!L19))</f>
        <v>0.92933271820651198</v>
      </c>
      <c r="F13" s="4280">
        <v>2.4826293877773113</v>
      </c>
      <c r="G13" s="4280">
        <v>95.411510596860168</v>
      </c>
      <c r="H13" s="4281">
        <v>11.187339912692403</v>
      </c>
      <c r="I13" s="4282">
        <f t="shared" si="2"/>
        <v>-36045.400883405578</v>
      </c>
    </row>
    <row r="14" spans="2:10" ht="18" customHeight="1" x14ac:dyDescent="0.2">
      <c r="B14" s="464" t="s">
        <v>1255</v>
      </c>
      <c r="C14" s="4272">
        <f>IF(SUM(C15:C16)=0,"NO",SUM(C15:C16))</f>
        <v>-398.44045443091727</v>
      </c>
      <c r="D14" s="4272">
        <f t="shared" ref="D14" si="3">IF(SUM(D15:D16)=0,"NO",SUM(D15:D16))</f>
        <v>2.0710974362840573</v>
      </c>
      <c r="E14" s="4272">
        <f t="shared" ref="E14" si="4">IF(SUM(E15:E16)=0,"NO",SUM(E15:E16))</f>
        <v>0.13342757416058848</v>
      </c>
      <c r="F14" s="4272">
        <f t="shared" ref="F14" si="5">IF(SUM(F15:F16)=0,"NO",SUM(F15:F16))</f>
        <v>1.5594870576781741</v>
      </c>
      <c r="G14" s="4272">
        <f t="shared" ref="G14" si="6">IF(SUM(G15:G16)=0,"NO",SUM(G15:G16))</f>
        <v>61.078197542265961</v>
      </c>
      <c r="H14" s="4273">
        <f t="shared" ref="H14" si="7">IF(SUM(H15:H16)=0,"NO",SUM(H15:H16))</f>
        <v>7.383078823790389</v>
      </c>
      <c r="I14" s="4283">
        <f t="shared" si="2"/>
        <v>-305.09141906240774</v>
      </c>
    </row>
    <row r="15" spans="2:10" ht="18" customHeight="1" x14ac:dyDescent="0.2">
      <c r="B15" s="465" t="s">
        <v>1256</v>
      </c>
      <c r="C15" s="4275">
        <f>IF(SUM(Table4.B!S11,'Table4(IV)'!J26)=0,"NO",SUM(Table4.B!S11,'Table4(IV)'!J26))</f>
        <v>-4263.2449998825532</v>
      </c>
      <c r="D15" s="4275" t="str">
        <f>'Table4(IV)'!K26</f>
        <v>IE</v>
      </c>
      <c r="E15" s="4275" t="str">
        <f>'Table4(IV)'!L26</f>
        <v>IE</v>
      </c>
      <c r="F15" s="4276" t="s">
        <v>274</v>
      </c>
      <c r="G15" s="4276" t="s">
        <v>274</v>
      </c>
      <c r="H15" s="4277" t="s">
        <v>274</v>
      </c>
      <c r="I15" s="4278">
        <f t="shared" si="2"/>
        <v>-4263.2449998825532</v>
      </c>
    </row>
    <row r="16" spans="2:10" ht="18" customHeight="1" thickBot="1" x14ac:dyDescent="0.25">
      <c r="B16" s="466" t="s">
        <v>1257</v>
      </c>
      <c r="C16" s="4279">
        <f>IF(SUM(Table4.B!S13,'Table4(IV)'!J31)=0,"IE",SUM(Table4.B!S13,'Table4(IV)'!J31))</f>
        <v>3864.8045454516359</v>
      </c>
      <c r="D16" s="4279">
        <f>'Table4(IV)'!K31</f>
        <v>2.0710974362840573</v>
      </c>
      <c r="E16" s="4279">
        <f>IF(SUM('Table4(III)'!I21,'Table4(IV)'!L31)=0,"IE",SUM('Table4(III)'!I21,'Table4(IV)'!L31))</f>
        <v>0.13342757416058848</v>
      </c>
      <c r="F16" s="4280">
        <v>1.5594870576781741</v>
      </c>
      <c r="G16" s="4280">
        <v>61.078197542265961</v>
      </c>
      <c r="H16" s="4281">
        <v>7.383078823790389</v>
      </c>
      <c r="I16" s="4282">
        <f t="shared" si="2"/>
        <v>3958.1535808201456</v>
      </c>
    </row>
    <row r="17" spans="2:9" ht="18" customHeight="1" x14ac:dyDescent="0.2">
      <c r="B17" s="464" t="s">
        <v>1258</v>
      </c>
      <c r="C17" s="4272">
        <f>IF(SUM(C18:C19)=0,"NO",SUM(C18:C19))</f>
        <v>37625.096834691241</v>
      </c>
      <c r="D17" s="4272">
        <f t="shared" ref="D17" si="8">IF(SUM(D18:D19)=0,"NO",SUM(D18:D19))</f>
        <v>312.80650857586471</v>
      </c>
      <c r="E17" s="4272">
        <f t="shared" ref="E17" si="9">IF(SUM(E18:E19)=0,"NO",SUM(E18:E19))</f>
        <v>10.639132082143236</v>
      </c>
      <c r="F17" s="4272">
        <f t="shared" ref="F17" si="10">IF(SUM(F18:F19)=0,"NO",SUM(F18:F19))</f>
        <v>612.22739755776468</v>
      </c>
      <c r="G17" s="4272">
        <f t="shared" ref="G17" si="11">IF(SUM(G18:G19)=0,"NO",SUM(G18:G19))</f>
        <v>15915.11017866853</v>
      </c>
      <c r="H17" s="4273">
        <f t="shared" ref="H17" si="12">IF(SUM(H18:H19)=0,"NO",SUM(H18:H19))</f>
        <v>370.63565166309832</v>
      </c>
      <c r="I17" s="4283">
        <f t="shared" si="2"/>
        <v>49203.049076583411</v>
      </c>
    </row>
    <row r="18" spans="2:9" ht="18" customHeight="1" x14ac:dyDescent="0.2">
      <c r="B18" s="465" t="s">
        <v>1259</v>
      </c>
      <c r="C18" s="4275">
        <f>IF(SUM(Table4.C!S11,'Table4(IV)'!J37)=0,"IE",SUM(Table4.C!S11,'Table4(IV)'!J37))</f>
        <v>-8926.7003641426527</v>
      </c>
      <c r="D18" s="4275">
        <f>'Table4(IV)'!K37</f>
        <v>266.12805664437951</v>
      </c>
      <c r="E18" s="4275">
        <f>IF(SUM('Table4(III)'!I29,'Table4(IV)'!L37)=0,"NO",SUM('Table4(III)'!I29,'Table4(IV)'!L37))</f>
        <v>9.1992136673966023</v>
      </c>
      <c r="F18" s="4276">
        <v>575.80106008247606</v>
      </c>
      <c r="G18" s="4276">
        <v>14523.45156523355</v>
      </c>
      <c r="H18" s="4277">
        <v>209.0578093903882</v>
      </c>
      <c r="I18" s="4278">
        <f t="shared" si="2"/>
        <v>962.6768437600731</v>
      </c>
    </row>
    <row r="19" spans="2:9" ht="18" customHeight="1" thickBot="1" x14ac:dyDescent="0.25">
      <c r="B19" s="466" t="s">
        <v>1260</v>
      </c>
      <c r="C19" s="4279">
        <f>IF(SUM(Table4.C!S15,'Table4(IV)'!J42)=0,"IE",SUM(Table4.C!S15,'Table4(IV)'!J42))</f>
        <v>46551.797198833898</v>
      </c>
      <c r="D19" s="4279">
        <f>'Table4(IV)'!K42</f>
        <v>46.678451931485213</v>
      </c>
      <c r="E19" s="4279">
        <f>IF(SUM('Table4(III)'!I30,'Table4(IV)'!L42)=0,"NO",SUM('Table4(III)'!I30,'Table4(IV)'!L42))</f>
        <v>1.4399184147466335</v>
      </c>
      <c r="F19" s="4280">
        <v>36.42633747528857</v>
      </c>
      <c r="G19" s="4280">
        <v>1391.6586134349795</v>
      </c>
      <c r="H19" s="4281">
        <v>161.57784227271009</v>
      </c>
      <c r="I19" s="4282">
        <f t="shared" si="2"/>
        <v>48240.372232823342</v>
      </c>
    </row>
    <row r="20" spans="2:9" ht="18" customHeight="1" x14ac:dyDescent="0.2">
      <c r="B20" s="464" t="s">
        <v>1261</v>
      </c>
      <c r="C20" s="4272">
        <f>IF(SUM(C21:C22)=0,"NO",SUM(C21:C22))</f>
        <v>323.13814266130902</v>
      </c>
      <c r="D20" s="4272">
        <f t="shared" ref="D20" si="13">IF(SUM(D21:D22)=0,"NO",SUM(D21:D22))</f>
        <v>87.230385558751095</v>
      </c>
      <c r="E20" s="4272">
        <f t="shared" ref="E20" si="14">IF(SUM(E21:E22)=0,"NO",SUM(E21:E22))</f>
        <v>0.41758070653252854</v>
      </c>
      <c r="F20" s="4272">
        <f t="shared" ref="F20" si="15">IF(SUM(F21:F22)=0,"NO",SUM(F21:F22))</f>
        <v>30.561896663864783</v>
      </c>
      <c r="G20" s="4272">
        <f t="shared" ref="G20" si="16">IF(SUM(G21:G22)=0,"NO",SUM(G21:G22))</f>
        <v>732.84126387659956</v>
      </c>
      <c r="H20" s="4273">
        <f t="shared" ref="H20" si="17">IF(SUM(H21:H22)=0,"NO",SUM(H21:H22))</f>
        <v>0.4702398109874848</v>
      </c>
      <c r="I20" s="4283">
        <f t="shared" si="2"/>
        <v>2876.2478255374594</v>
      </c>
    </row>
    <row r="21" spans="2:9" ht="18" customHeight="1" x14ac:dyDescent="0.2">
      <c r="B21" s="465" t="s">
        <v>1262</v>
      </c>
      <c r="C21" s="4275">
        <f>IF(SUM(Table4.D!S11,'Table4(IV)'!J49)=0,"IE",SUM(Table4.D!S11,'Table4(IV)'!J49))</f>
        <v>316.90835638512368</v>
      </c>
      <c r="D21" s="4275">
        <f>IF(SUM('Table4(IV)'!K49,'Table4(II)'!J270)=0,"NO",SUM('Table4(IV)'!K49,'Table4(II)'!J270))</f>
        <v>86.622352221449802</v>
      </c>
      <c r="E21" s="4275">
        <f>IF(SUM('Table4(II)'!I270,'Table4(III)'!I38,'Table4(IV)'!L49)=0,"NO",SUM('Table4(II)'!I270,'Table4(III)'!I38,'Table4(IV)'!L49))</f>
        <v>0.41758070653252854</v>
      </c>
      <c r="F21" s="4276">
        <v>30.561896663864783</v>
      </c>
      <c r="G21" s="4276">
        <v>732.84126387659956</v>
      </c>
      <c r="H21" s="4277">
        <v>0.4702398109874848</v>
      </c>
      <c r="I21" s="4278">
        <f t="shared" si="2"/>
        <v>2852.9931058168381</v>
      </c>
    </row>
    <row r="22" spans="2:9" ht="18" customHeight="1" thickBot="1" x14ac:dyDescent="0.25">
      <c r="B22" s="466" t="s">
        <v>1263</v>
      </c>
      <c r="C22" s="4279">
        <f>IF(SUM(Table4.D!S23,'Table4(II)'!H320,'Table4(IV)'!J54)=0,"NO",SUM(Table4.D!S23,'Table4(II)'!H320,'Table4(IV)'!J54))</f>
        <v>6.2297862761853162</v>
      </c>
      <c r="D22" s="4279">
        <f>IF(SUM('Table4(IV)'!K54,'Table4(II)'!J320)=0,"NO",SUM('Table4(IV)'!K54,'Table4(II)'!J320))</f>
        <v>0.60803333730129738</v>
      </c>
      <c r="E22" s="4279" t="str">
        <f>IF(SUM('Table4(II)'!I320,'Table4(III)'!I39,'Table4(IV)'!L54)=0,"NO",SUM('Table4(II)'!I320,'Table4(III)'!I39,'Table4(IV)'!L54))</f>
        <v>NO</v>
      </c>
      <c r="F22" s="4280" t="s">
        <v>274</v>
      </c>
      <c r="G22" s="4280" t="s">
        <v>274</v>
      </c>
      <c r="H22" s="4281" t="s">
        <v>274</v>
      </c>
      <c r="I22" s="4282">
        <f t="shared" si="2"/>
        <v>23.254719720621644</v>
      </c>
    </row>
    <row r="23" spans="2:9" ht="18" customHeight="1" x14ac:dyDescent="0.2">
      <c r="B23" s="464" t="s">
        <v>1264</v>
      </c>
      <c r="C23" s="4272">
        <f>IF(SUM(C24:C25)=0,"NO",SUM(C24:C25))</f>
        <v>4523.6301701224902</v>
      </c>
      <c r="D23" s="4272">
        <f t="shared" ref="D23" si="18">IF(SUM(D24:D25)=0,"NO",SUM(D24:D25))</f>
        <v>1.3681944994039681</v>
      </c>
      <c r="E23" s="4272">
        <f t="shared" ref="E23" si="19">IF(SUM(E24:E25)=0,"NO",SUM(E24:E25))</f>
        <v>4.6045657813947316E-2</v>
      </c>
      <c r="F23" s="4272">
        <f>IF(SUM(F24:F25)=0,"NO",SUM(F24:F25))</f>
        <v>1.0302178819916783</v>
      </c>
      <c r="G23" s="4272">
        <f t="shared" ref="G23" si="20">IF(SUM(G24:G25)=0,"NO",SUM(G24:G25))</f>
        <v>40.349069264829986</v>
      </c>
      <c r="H23" s="4273">
        <f t="shared" ref="H23" si="21">IF(SUM(H24:H25)=0,"NO",SUM(H24:H25))</f>
        <v>4.8773600210234047</v>
      </c>
      <c r="I23" s="4283">
        <f t="shared" si="2"/>
        <v>4574.1417154264973</v>
      </c>
    </row>
    <row r="24" spans="2:9" ht="18" customHeight="1" thickBot="1" x14ac:dyDescent="0.25">
      <c r="B24" s="465" t="s">
        <v>1265</v>
      </c>
      <c r="C24" s="4275">
        <f>IF(SUM(Table4.E!S11,'Table4(IV)'!J60)=0,"IE",SUM(Table4.E!S11,'Table4(IV)'!J60))</f>
        <v>-21.497198384252396</v>
      </c>
      <c r="D24" s="4275" t="str">
        <f>'Table4(IV)'!K60</f>
        <v>IE</v>
      </c>
      <c r="E24" s="4275">
        <f>IF(SUM('Table4(III)'!I47,'Table4(IV)'!L60)=0,"IE",SUM('Table4(III)'!I47,'Table4(IV)'!L60))</f>
        <v>1.1005201118977206E-4</v>
      </c>
      <c r="F24" s="4280" t="s">
        <v>274</v>
      </c>
      <c r="G24" s="4280" t="s">
        <v>274</v>
      </c>
      <c r="H24" s="4281" t="s">
        <v>274</v>
      </c>
      <c r="I24" s="4278">
        <f t="shared" si="2"/>
        <v>-21.468034601287105</v>
      </c>
    </row>
    <row r="25" spans="2:9" ht="18" customHeight="1" thickBot="1" x14ac:dyDescent="0.25">
      <c r="B25" s="466" t="s">
        <v>1266</v>
      </c>
      <c r="C25" s="4279">
        <f>IF(SUM(Table4.E!S13,'Table4(IV)'!J65)=0,"IE",SUM(Table4.E!S13,'Table4(IV)'!J65))</f>
        <v>4545.1273685067426</v>
      </c>
      <c r="D25" s="4279">
        <f>'Table4(IV)'!K65</f>
        <v>1.3681944994039681</v>
      </c>
      <c r="E25" s="4279">
        <f>IF(SUM('Table4(III)'!I48,'Table4(IV)'!L65)=0,"NO",SUM('Table4(III)'!I48,'Table4(IV)'!L65))</f>
        <v>4.5935605802757545E-2</v>
      </c>
      <c r="F25" s="4280">
        <v>1.0302178819916783</v>
      </c>
      <c r="G25" s="4280">
        <v>40.349069264829986</v>
      </c>
      <c r="H25" s="4281">
        <v>4.8773600210234047</v>
      </c>
      <c r="I25" s="4282">
        <f t="shared" si="2"/>
        <v>4595.6097500277847</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-3862.7706398082705</v>
      </c>
      <c r="D29" s="4288"/>
      <c r="E29" s="4288"/>
      <c r="F29" s="4288"/>
      <c r="G29" s="4288"/>
      <c r="H29" s="4289"/>
      <c r="I29" s="4290">
        <f t="shared" si="2"/>
        <v>-3862.7706398082705</v>
      </c>
    </row>
    <row r="30" spans="2:9" ht="18" customHeight="1" x14ac:dyDescent="0.2">
      <c r="B30" s="1167" t="s">
        <v>1271</v>
      </c>
      <c r="C30" s="4291">
        <f>IF(SUM(C31:C32)=0,"NO",SUM(C31:C32))</f>
        <v>33.760878834808885</v>
      </c>
      <c r="D30" s="4291" t="str">
        <f t="shared" ref="D30" si="27">IF(SUM(D31:D32)=0,"NO",SUM(D31:D32))</f>
        <v>NO</v>
      </c>
      <c r="E30" s="4291">
        <f t="shared" ref="E30" si="28">IF(SUM(E31:E32)=0,"NO",SUM(E31:E32))</f>
        <v>0.15032462105272859</v>
      </c>
      <c r="F30" s="4291" t="str">
        <f t="shared" ref="F30" si="29">IF(SUM(F31:F32)=0,"NO",SUM(F31:F32))</f>
        <v>NO</v>
      </c>
      <c r="G30" s="4291" t="str">
        <f t="shared" ref="G30" si="30">IF(SUM(G31:G32)=0,"NO",SUM(G31:G32))</f>
        <v>NO</v>
      </c>
      <c r="H30" s="4292" t="str">
        <f t="shared" ref="H30" si="31">IF(SUM(H31:H32)=0,"NO",SUM(H31:H32))</f>
        <v>NO</v>
      </c>
      <c r="I30" s="4293">
        <f t="shared" si="2"/>
        <v>73.596903413781959</v>
      </c>
    </row>
    <row r="31" spans="2:9" ht="18" customHeight="1" x14ac:dyDescent="0.2">
      <c r="B31" s="2693" t="s">
        <v>1272</v>
      </c>
      <c r="C31" s="4294" t="s">
        <v>199</v>
      </c>
      <c r="D31" s="4294" t="s">
        <v>199</v>
      </c>
      <c r="E31" s="4294">
        <v>0.15032462105272859</v>
      </c>
      <c r="F31" s="4294" t="s">
        <v>199</v>
      </c>
      <c r="G31" s="4294" t="s">
        <v>199</v>
      </c>
      <c r="H31" s="4295" t="s">
        <v>199</v>
      </c>
      <c r="I31" s="4296">
        <f t="shared" si="2"/>
        <v>39.836024578973074</v>
      </c>
    </row>
    <row r="32" spans="2:9" ht="18" customHeight="1" thickBot="1" x14ac:dyDescent="0.25">
      <c r="B32" s="2692" t="s">
        <v>1273</v>
      </c>
      <c r="C32" s="4297">
        <v>33.760878834808885</v>
      </c>
      <c r="D32" s="4297" t="s">
        <v>199</v>
      </c>
      <c r="E32" s="4297" t="s">
        <v>199</v>
      </c>
      <c r="F32" s="4298" t="s">
        <v>199</v>
      </c>
      <c r="G32" s="4298" t="s">
        <v>199</v>
      </c>
      <c r="H32" s="4298" t="s">
        <v>199</v>
      </c>
      <c r="I32" s="4282">
        <f t="shared" si="2"/>
        <v>33.760878834808885</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40824.50296125195</v>
      </c>
      <c r="D35" s="4297">
        <v>215.31368968234921</v>
      </c>
      <c r="E35" s="4297">
        <v>2.0110066172458869</v>
      </c>
      <c r="F35" s="4297">
        <v>83.034978563842657</v>
      </c>
      <c r="G35" s="4297">
        <v>3252.1121600015322</v>
      </c>
      <c r="H35" s="4297">
        <v>393.11245890128413</v>
      </c>
      <c r="I35" s="4302">
        <f t="shared" ref="I35" si="32">IF(SUM(C35:E35)=0,"NO",SUM(C35)+28*SUM(D35)+265*SUM(E35))</f>
        <v>47386.203025927891</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371036.04992430686</v>
      </c>
      <c r="D10" s="4489">
        <f t="shared" ref="D10:I10" si="0">IF(SUM(D11,D37,D47)=0,"NO",SUM(D11,D37,D47))</f>
        <v>1298.9942524423438</v>
      </c>
      <c r="E10" s="4489">
        <f t="shared" si="0"/>
        <v>11.752840827237796</v>
      </c>
      <c r="F10" s="4489">
        <f t="shared" si="0"/>
        <v>2499.0341473869494</v>
      </c>
      <c r="G10" s="4489">
        <f t="shared" si="0"/>
        <v>2411.5458656527189</v>
      </c>
      <c r="H10" s="4489">
        <f t="shared" si="0"/>
        <v>744.01905638427991</v>
      </c>
      <c r="I10" s="4490">
        <f t="shared" si="0"/>
        <v>679.54719546933461</v>
      </c>
      <c r="J10" s="4427">
        <f t="shared" ref="J10:J40" si="1">IF(SUM(C10:E10)=0,"NO",SUM(C10,IFERROR(28*D10,0),IFERROR(265*E10,0)))</f>
        <v>410522.39181191049</v>
      </c>
    </row>
    <row r="11" spans="2:10" s="83" customFormat="1" ht="18" customHeight="1" thickBot="1" x14ac:dyDescent="0.25">
      <c r="B11" s="18" t="s">
        <v>174</v>
      </c>
      <c r="C11" s="3010">
        <f>IF(SUM(C12,C16,C24,C30,C34)=0,"NO",SUM(C12,C16,C24,C30,C34))</f>
        <v>361755.42857504578</v>
      </c>
      <c r="D11" s="3010">
        <f t="shared" ref="D11:I11" si="2">IF(SUM(D12,D16,D24,D30,D34)=0,"NO",SUM(D12,D16,D24,D30,D34))</f>
        <v>82.057317884315282</v>
      </c>
      <c r="E11" s="3010">
        <f t="shared" si="2"/>
        <v>11.634376737381681</v>
      </c>
      <c r="F11" s="3010">
        <f t="shared" si="2"/>
        <v>2497.2303250716691</v>
      </c>
      <c r="G11" s="3010">
        <f t="shared" si="2"/>
        <v>2401.0836962240946</v>
      </c>
      <c r="H11" s="3010">
        <f t="shared" si="2"/>
        <v>518.04725570875939</v>
      </c>
      <c r="I11" s="3011">
        <f t="shared" si="2"/>
        <v>679.54719546933461</v>
      </c>
      <c r="J11" s="3012">
        <f t="shared" si="1"/>
        <v>367136.14331121271</v>
      </c>
    </row>
    <row r="12" spans="2:10" s="83" customFormat="1" ht="18" customHeight="1" x14ac:dyDescent="0.2">
      <c r="B12" s="26" t="s">
        <v>175</v>
      </c>
      <c r="C12" s="3010">
        <f>IF(SUM(C13:C15)=0,"NO",SUM(C13:C15))</f>
        <v>203661.98819126311</v>
      </c>
      <c r="D12" s="3010">
        <f t="shared" ref="D12:I12" si="3">IF(SUM(D13:D15)=0,"NO",SUM(D13:D15))</f>
        <v>25.920302178925134</v>
      </c>
      <c r="E12" s="3010">
        <f t="shared" si="3"/>
        <v>3.9078887872154979</v>
      </c>
      <c r="F12" s="3010">
        <f t="shared" si="3"/>
        <v>1057.2563136815049</v>
      </c>
      <c r="G12" s="3010">
        <f t="shared" si="3"/>
        <v>237.44027076526072</v>
      </c>
      <c r="H12" s="3010">
        <f>IF(SUM(H13:H15)=0,"NO",SUM(H13:H15))</f>
        <v>66.740188250219049</v>
      </c>
      <c r="I12" s="3011">
        <f t="shared" si="3"/>
        <v>560.39044330870115</v>
      </c>
      <c r="J12" s="3012">
        <f t="shared" si="1"/>
        <v>205423.34718088512</v>
      </c>
    </row>
    <row r="13" spans="2:10" s="83" customFormat="1" ht="18" customHeight="1" x14ac:dyDescent="0.2">
      <c r="B13" s="20" t="s">
        <v>176</v>
      </c>
      <c r="C13" s="3013">
        <f>'Table1.A(a)s1'!H24</f>
        <v>179408.66453085624</v>
      </c>
      <c r="D13" s="3013">
        <f>'Table1.A(a)s1'!I24</f>
        <v>15.792793180031296</v>
      </c>
      <c r="E13" s="3013">
        <f>'Table1.A(a)s1'!J24</f>
        <v>3.3067117238036525</v>
      </c>
      <c r="F13" s="3014">
        <v>587.69607548449369</v>
      </c>
      <c r="G13" s="3014">
        <v>100.88401486257249</v>
      </c>
      <c r="H13" s="3014">
        <v>10.129146855324665</v>
      </c>
      <c r="I13" s="3015">
        <v>540.10080845553546</v>
      </c>
      <c r="J13" s="3016">
        <f t="shared" si="1"/>
        <v>180727.14134670509</v>
      </c>
    </row>
    <row r="14" spans="2:10" s="83" customFormat="1" ht="18" customHeight="1" x14ac:dyDescent="0.2">
      <c r="B14" s="20" t="s">
        <v>177</v>
      </c>
      <c r="C14" s="3013">
        <f>'Table1.A(a)s1'!H53</f>
        <v>4759.1721027006279</v>
      </c>
      <c r="D14" s="3013">
        <f>'Table1.A(a)s1'!I53</f>
        <v>7.8218990518246281E-2</v>
      </c>
      <c r="E14" s="3013">
        <f>'Table1.A(a)s1'!J53</f>
        <v>1.27176874265638E-2</v>
      </c>
      <c r="F14" s="3014">
        <v>32.04215675292135</v>
      </c>
      <c r="G14" s="3014">
        <v>3.9602576667549108</v>
      </c>
      <c r="H14" s="3014">
        <v>7.5335526988021595E-2</v>
      </c>
      <c r="I14" s="3015">
        <v>7.1779840947508742</v>
      </c>
      <c r="J14" s="3016">
        <f t="shared" si="1"/>
        <v>4764.7324216031784</v>
      </c>
    </row>
    <row r="15" spans="2:10" s="83" customFormat="1" ht="18" customHeight="1" thickBot="1" x14ac:dyDescent="0.25">
      <c r="B15" s="21" t="s">
        <v>178</v>
      </c>
      <c r="C15" s="3017">
        <f>'Table1.A(a)s1'!H60</f>
        <v>19494.151557706242</v>
      </c>
      <c r="D15" s="3017">
        <f>'Table1.A(a)s1'!I60</f>
        <v>10.049290008375593</v>
      </c>
      <c r="E15" s="3017">
        <f>'Table1.A(a)s1'!J60</f>
        <v>0.58845937598528164</v>
      </c>
      <c r="F15" s="3018">
        <v>437.51808144409</v>
      </c>
      <c r="G15" s="3018">
        <v>132.59599823593334</v>
      </c>
      <c r="H15" s="3018">
        <v>56.535705867906358</v>
      </c>
      <c r="I15" s="3019">
        <v>13.111650758414807</v>
      </c>
      <c r="J15" s="3020">
        <f t="shared" si="1"/>
        <v>19931.473412576859</v>
      </c>
    </row>
    <row r="16" spans="2:10" s="83" customFormat="1" ht="18" customHeight="1" x14ac:dyDescent="0.2">
      <c r="B16" s="25" t="s">
        <v>179</v>
      </c>
      <c r="C16" s="3010">
        <f>IF(SUM(C17:C23)=0,"NO",SUM(C17:C23))</f>
        <v>45733.231352848219</v>
      </c>
      <c r="D16" s="3010">
        <f t="shared" ref="D16:I16" si="4">IF(SUM(D17:D23)=0,"NO",SUM(D17:D23))</f>
        <v>2.4526234083275833</v>
      </c>
      <c r="E16" s="3010">
        <f t="shared" si="4"/>
        <v>1.4770703712489541</v>
      </c>
      <c r="F16" s="3010">
        <f t="shared" si="4"/>
        <v>772.17242738002665</v>
      </c>
      <c r="G16" s="3010">
        <f t="shared" si="4"/>
        <v>243.59744144944341</v>
      </c>
      <c r="H16" s="3010">
        <f t="shared" si="4"/>
        <v>101.16791692722782</v>
      </c>
      <c r="I16" s="3011">
        <f t="shared" si="4"/>
        <v>87.401139266844524</v>
      </c>
      <c r="J16" s="3012">
        <f t="shared" si="1"/>
        <v>46193.328456662362</v>
      </c>
    </row>
    <row r="17" spans="2:10" s="83" customFormat="1" ht="18" customHeight="1" x14ac:dyDescent="0.2">
      <c r="B17" s="20" t="s">
        <v>180</v>
      </c>
      <c r="C17" s="3013">
        <f>'Table1.A(a)s2'!H17</f>
        <v>1529.7471033351994</v>
      </c>
      <c r="D17" s="3013">
        <f>'Table1.A(a)s2'!I17</f>
        <v>3.436724100330589E-2</v>
      </c>
      <c r="E17" s="3013">
        <f>'Table1.A(a)s2'!J17</f>
        <v>1.9623742350736155E-2</v>
      </c>
      <c r="F17" s="3014">
        <v>17.231107021988578</v>
      </c>
      <c r="G17" s="3014">
        <v>2.8101461426591028</v>
      </c>
      <c r="H17" s="3014">
        <v>0.29517811290784668</v>
      </c>
      <c r="I17" s="3015">
        <v>7.4113067415904457</v>
      </c>
      <c r="J17" s="3016">
        <f t="shared" si="1"/>
        <v>1535.9096778062371</v>
      </c>
    </row>
    <row r="18" spans="2:10" s="83" customFormat="1" ht="18" customHeight="1" x14ac:dyDescent="0.2">
      <c r="B18" s="20" t="s">
        <v>181</v>
      </c>
      <c r="C18" s="3013">
        <f>'Table1.A(a)s2'!H24</f>
        <v>15073.265901481445</v>
      </c>
      <c r="D18" s="3013">
        <f>'Table1.A(a)s2'!I24</f>
        <v>0.26961534259405712</v>
      </c>
      <c r="E18" s="3013">
        <f>'Table1.A(a)s2'!J24</f>
        <v>0.1670074098626044</v>
      </c>
      <c r="F18" s="3014">
        <v>106.03977753240872</v>
      </c>
      <c r="G18" s="3014">
        <v>17.922580015745673</v>
      </c>
      <c r="H18" s="3014">
        <v>2.8340878106255345</v>
      </c>
      <c r="I18" s="3015">
        <v>46.126513193808094</v>
      </c>
      <c r="J18" s="3016">
        <f t="shared" si="1"/>
        <v>15125.07209468767</v>
      </c>
    </row>
    <row r="19" spans="2:10" s="83" customFormat="1" ht="18" customHeight="1" x14ac:dyDescent="0.2">
      <c r="B19" s="20" t="s">
        <v>182</v>
      </c>
      <c r="C19" s="3013">
        <f>'Table1.A(a)s2'!H31</f>
        <v>9146.7726074241727</v>
      </c>
      <c r="D19" s="3013">
        <f>'Table1.A(a)s2'!I31</f>
        <v>0.27994470701572027</v>
      </c>
      <c r="E19" s="3013">
        <f>'Table1.A(a)s2'!J31</f>
        <v>0.10485673758052844</v>
      </c>
      <c r="F19" s="3014">
        <v>63.355822319912484</v>
      </c>
      <c r="G19" s="3014">
        <v>19.785144821008533</v>
      </c>
      <c r="H19" s="3014">
        <v>11.483641253223164</v>
      </c>
      <c r="I19" s="3015">
        <v>9.1472668095956369</v>
      </c>
      <c r="J19" s="3016">
        <f t="shared" si="1"/>
        <v>9182.3980946794527</v>
      </c>
    </row>
    <row r="20" spans="2:10" s="83" customFormat="1" ht="18" customHeight="1" x14ac:dyDescent="0.2">
      <c r="B20" s="20" t="s">
        <v>183</v>
      </c>
      <c r="C20" s="3013">
        <f>'Table1.A(a)s2'!H38</f>
        <v>957.39519302849635</v>
      </c>
      <c r="D20" s="3013">
        <f>'Table1.A(a)s2'!I38</f>
        <v>0.19832974854337662</v>
      </c>
      <c r="E20" s="3013">
        <f>'Table1.A(a)s2'!J38</f>
        <v>0.13104922374145145</v>
      </c>
      <c r="F20" s="3014">
        <v>7.4703567208647446</v>
      </c>
      <c r="G20" s="3014">
        <v>5.4251098099506141</v>
      </c>
      <c r="H20" s="3014">
        <v>0.47765464467799745</v>
      </c>
      <c r="I20" s="3015">
        <v>1.3826680947273957</v>
      </c>
      <c r="J20" s="3016">
        <f t="shared" si="1"/>
        <v>997.67647027919554</v>
      </c>
    </row>
    <row r="21" spans="2:10" s="83" customFormat="1" ht="18" customHeight="1" x14ac:dyDescent="0.2">
      <c r="B21" s="20" t="s">
        <v>184</v>
      </c>
      <c r="C21" s="3013">
        <f>'Table1.A(a)s2'!H45</f>
        <v>2835.1928317492066</v>
      </c>
      <c r="D21" s="3013">
        <f>'Table1.A(a)s2'!I45</f>
        <v>0.81342958337079063</v>
      </c>
      <c r="E21" s="3013">
        <f>'Table1.A(a)s2'!J45</f>
        <v>0.5183074117645875</v>
      </c>
      <c r="F21" s="3014">
        <v>23.53960389228406</v>
      </c>
      <c r="G21" s="3014">
        <v>23.711755290999889</v>
      </c>
      <c r="H21" s="3014">
        <v>1.8392492816159363</v>
      </c>
      <c r="I21" s="3015">
        <v>3.7793128065609767</v>
      </c>
      <c r="J21" s="3016">
        <f t="shared" si="1"/>
        <v>2995.3203242012046</v>
      </c>
    </row>
    <row r="22" spans="2:10" s="83" customFormat="1" ht="18" customHeight="1" x14ac:dyDescent="0.2">
      <c r="B22" s="20" t="s">
        <v>185</v>
      </c>
      <c r="C22" s="3013">
        <f>'Table1.A(a)s2'!H52</f>
        <v>5283.012068012391</v>
      </c>
      <c r="D22" s="3013">
        <f>'Table1.A(a)s2'!I52</f>
        <v>0.28788387358400225</v>
      </c>
      <c r="E22" s="3013">
        <f>'Table1.A(a)s2'!J52</f>
        <v>4.7727144567141437E-2</v>
      </c>
      <c r="F22" s="3014">
        <v>78.465385555582728</v>
      </c>
      <c r="G22" s="3014">
        <v>23.019336142299423</v>
      </c>
      <c r="H22" s="3014">
        <v>14.8458382690443</v>
      </c>
      <c r="I22" s="3015">
        <v>8.8428159752057915</v>
      </c>
      <c r="J22" s="3016">
        <f t="shared" si="1"/>
        <v>5303.7205097830356</v>
      </c>
    </row>
    <row r="23" spans="2:10" s="83" customFormat="1" ht="18" customHeight="1" thickBot="1" x14ac:dyDescent="0.25">
      <c r="B23" s="3039" t="s">
        <v>186</v>
      </c>
      <c r="C23" s="3013">
        <f>'Table1.A(a)s2'!H59</f>
        <v>10907.845647817307</v>
      </c>
      <c r="D23" s="3013">
        <f>'Table1.A(a)s2'!I59</f>
        <v>0.56905291221633036</v>
      </c>
      <c r="E23" s="3013">
        <f>'Table1.A(a)s2'!J59</f>
        <v>0.48849870138190477</v>
      </c>
      <c r="F23" s="3014">
        <v>476.07037433698531</v>
      </c>
      <c r="G23" s="3014">
        <v>150.92336922678018</v>
      </c>
      <c r="H23" s="3014">
        <v>69.392267555133046</v>
      </c>
      <c r="I23" s="3015">
        <v>10.711255645356182</v>
      </c>
      <c r="J23" s="3016">
        <f t="shared" si="1"/>
        <v>11053.231285225569</v>
      </c>
    </row>
    <row r="24" spans="2:10" s="83" customFormat="1" ht="18" customHeight="1" x14ac:dyDescent="0.2">
      <c r="B24" s="25" t="s">
        <v>187</v>
      </c>
      <c r="C24" s="3010">
        <f>IF(SUM(C25:C29)=0,"NO",SUM(C25:C29))</f>
        <v>91191.407059096789</v>
      </c>
      <c r="D24" s="3010">
        <f t="shared" ref="D24:I24" si="5">IF(SUM(D25:D29)=0,"NO",SUM(D25:D29))</f>
        <v>15.160832072331941</v>
      </c>
      <c r="E24" s="3010">
        <f t="shared" si="5"/>
        <v>5.5627603380606585</v>
      </c>
      <c r="F24" s="3010">
        <f t="shared" si="5"/>
        <v>300.32071914083929</v>
      </c>
      <c r="G24" s="3010">
        <f t="shared" si="5"/>
        <v>1250.9821546789562</v>
      </c>
      <c r="H24" s="3010">
        <f t="shared" si="5"/>
        <v>235.01331385056073</v>
      </c>
      <c r="I24" s="3011">
        <f t="shared" si="5"/>
        <v>23.444488003292303</v>
      </c>
      <c r="J24" s="3012">
        <f t="shared" si="1"/>
        <v>93090.041846708147</v>
      </c>
    </row>
    <row r="25" spans="2:10" s="83" customFormat="1" ht="18" customHeight="1" x14ac:dyDescent="0.2">
      <c r="B25" s="20" t="s">
        <v>188</v>
      </c>
      <c r="C25" s="1884">
        <f>'Table1.A(a)s3'!H16</f>
        <v>8505.1102057951139</v>
      </c>
      <c r="D25" s="1884">
        <f>'Table1.A(a)s3'!I16</f>
        <v>3.6908683739032166E-2</v>
      </c>
      <c r="E25" s="1884">
        <f>'Table1.A(a)s3'!J16</f>
        <v>6.2576058857170311E-2</v>
      </c>
      <c r="F25" s="3014">
        <v>28.756322491839789</v>
      </c>
      <c r="G25" s="3014">
        <v>18.780340694343511</v>
      </c>
      <c r="H25" s="3014">
        <v>1.8612272802560195</v>
      </c>
      <c r="I25" s="3015">
        <v>1.0027898300704832</v>
      </c>
      <c r="J25" s="3016">
        <f t="shared" si="1"/>
        <v>8522.7263045369582</v>
      </c>
    </row>
    <row r="26" spans="2:10" s="83" customFormat="1" ht="18" customHeight="1" x14ac:dyDescent="0.2">
      <c r="B26" s="20" t="s">
        <v>189</v>
      </c>
      <c r="C26" s="1884">
        <f>'Table1.A(a)s3'!H20</f>
        <v>77796.505089010418</v>
      </c>
      <c r="D26" s="1884">
        <f>'Table1.A(a)s3'!I20</f>
        <v>10.358116051931258</v>
      </c>
      <c r="E26" s="1884">
        <f>'Table1.A(a)s3'!J20</f>
        <v>4.1866787755220649</v>
      </c>
      <c r="F26" s="3014">
        <v>190.5589154665866</v>
      </c>
      <c r="G26" s="3014">
        <v>970.41544805980118</v>
      </c>
      <c r="H26" s="3014">
        <v>189.45738395145176</v>
      </c>
      <c r="I26" s="3015">
        <v>17.12303518314193</v>
      </c>
      <c r="J26" s="3016">
        <f t="shared" si="1"/>
        <v>79196.00221397783</v>
      </c>
    </row>
    <row r="27" spans="2:10" s="83" customFormat="1" ht="18" customHeight="1" x14ac:dyDescent="0.2">
      <c r="B27" s="20" t="s">
        <v>190</v>
      </c>
      <c r="C27" s="1884">
        <f>'Table1.A(a)s3'!H81</f>
        <v>2997.1209408000004</v>
      </c>
      <c r="D27" s="1884">
        <f>'Table1.A(a)s3'!I81</f>
        <v>0.17150399999999999</v>
      </c>
      <c r="E27" s="1884">
        <f>'Table1.A(a)s3'!J81</f>
        <v>1.2862799999999999</v>
      </c>
      <c r="F27" s="3014">
        <v>65.600279999999998</v>
      </c>
      <c r="G27" s="3014">
        <v>8.660952</v>
      </c>
      <c r="H27" s="3014">
        <v>3.0441959999999995</v>
      </c>
      <c r="I27" s="3015">
        <v>2.4462265182186229</v>
      </c>
      <c r="J27" s="3016">
        <f t="shared" si="1"/>
        <v>3342.7872528000003</v>
      </c>
    </row>
    <row r="28" spans="2:10" s="83" customFormat="1" ht="18" customHeight="1" x14ac:dyDescent="0.2">
      <c r="B28" s="20" t="s">
        <v>191</v>
      </c>
      <c r="C28" s="1884">
        <f>'Table1.A(a)s3'!H88</f>
        <v>1333.3462777598984</v>
      </c>
      <c r="D28" s="1884">
        <f>'Table1.A(a)s3'!I88</f>
        <v>4.4792781566685722</v>
      </c>
      <c r="E28" s="1884">
        <f>'Table1.A(a)s3'!J88</f>
        <v>2.6077390374921735E-2</v>
      </c>
      <c r="F28" s="3014">
        <v>13.255207858922446</v>
      </c>
      <c r="G28" s="3014">
        <v>248.02235114661184</v>
      </c>
      <c r="H28" s="3014">
        <v>39.90726552895628</v>
      </c>
      <c r="I28" s="3015">
        <v>2.8672838638757994</v>
      </c>
      <c r="J28" s="3016">
        <f t="shared" si="1"/>
        <v>1465.6765745959726</v>
      </c>
    </row>
    <row r="29" spans="2:10" s="83" customFormat="1" ht="18" customHeight="1" thickBot="1" x14ac:dyDescent="0.25">
      <c r="B29" s="22" t="s">
        <v>192</v>
      </c>
      <c r="C29" s="1888">
        <f>'Table1.A(a)s3'!H99</f>
        <v>559.32454573136272</v>
      </c>
      <c r="D29" s="1888">
        <f>'Table1.A(a)s3'!I99</f>
        <v>0.11502517999307672</v>
      </c>
      <c r="E29" s="1888">
        <f>'Table1.A(a)s3'!J99</f>
        <v>1.1481133065017249E-3</v>
      </c>
      <c r="F29" s="3021">
        <v>2.1499933234904249</v>
      </c>
      <c r="G29" s="3021">
        <v>5.1030627781996278</v>
      </c>
      <c r="H29" s="3021">
        <v>0.74324108989665616</v>
      </c>
      <c r="I29" s="3022">
        <v>5.1526079854675071E-3</v>
      </c>
      <c r="J29" s="3023">
        <f t="shared" si="1"/>
        <v>562.84950079739178</v>
      </c>
    </row>
    <row r="30" spans="2:10" ht="18" customHeight="1" x14ac:dyDescent="0.2">
      <c r="B30" s="26" t="s">
        <v>193</v>
      </c>
      <c r="C30" s="3010">
        <f>IF(SUM(C31:C33)=0,"NO",SUM(C31:C33))</f>
        <v>20151.743905091054</v>
      </c>
      <c r="D30" s="3010">
        <f t="shared" ref="D30" si="6">IF(SUM(D31:D33)=0,"NO",SUM(D31:D33))</f>
        <v>38.489998252866187</v>
      </c>
      <c r="E30" s="3010">
        <f t="shared" ref="E30" si="7">IF(SUM(E31:E33)=0,"NO",SUM(E31:E33))</f>
        <v>0.65809685756929559</v>
      </c>
      <c r="F30" s="3010">
        <f t="shared" ref="F30" si="8">IF(SUM(F31:F33)=0,"NO",SUM(F31:F33))</f>
        <v>358.64852807600789</v>
      </c>
      <c r="G30" s="3010">
        <f t="shared" ref="G30" si="9">IF(SUM(G31:G33)=0,"NO",SUM(G31:G33))</f>
        <v>665.81263974144804</v>
      </c>
      <c r="H30" s="3010">
        <f t="shared" ref="H30" si="10">IF(SUM(H31:H33)=0,"NO",SUM(H31:H33))</f>
        <v>114.60580780729701</v>
      </c>
      <c r="I30" s="3011">
        <f t="shared" ref="I30" si="11">IF(SUM(I31:I33)=0,"NO",SUM(I31:I33))</f>
        <v>7.9602584818023585</v>
      </c>
      <c r="J30" s="3024">
        <f t="shared" si="1"/>
        <v>21403.859523427171</v>
      </c>
    </row>
    <row r="31" spans="2:10" ht="18" customHeight="1" x14ac:dyDescent="0.2">
      <c r="B31" s="20" t="s">
        <v>194</v>
      </c>
      <c r="C31" s="3013">
        <f>'Table1.A(a)s4'!H17</f>
        <v>5075.8005950081952</v>
      </c>
      <c r="D31" s="3013">
        <f>'Table1.A(a)s4'!I17</f>
        <v>0.11123158633356603</v>
      </c>
      <c r="E31" s="3013">
        <f>'Table1.A(a)s4'!J17</f>
        <v>9.4763432493796651E-2</v>
      </c>
      <c r="F31" s="3014">
        <v>30.069984568420121</v>
      </c>
      <c r="G31" s="3014">
        <v>11.245080723238088</v>
      </c>
      <c r="H31" s="3014">
        <v>4.3125028413393434</v>
      </c>
      <c r="I31" s="3015">
        <v>2.747144703135123</v>
      </c>
      <c r="J31" s="3016">
        <f t="shared" si="1"/>
        <v>5104.0273890363906</v>
      </c>
    </row>
    <row r="32" spans="2:10" ht="18" customHeight="1" x14ac:dyDescent="0.2">
      <c r="B32" s="20" t="s">
        <v>195</v>
      </c>
      <c r="C32" s="3013">
        <f>'Table1.A(a)s4'!H38</f>
        <v>8788.5762114560766</v>
      </c>
      <c r="D32" s="3013">
        <f>'Table1.A(a)s4'!I38</f>
        <v>37.774355709007125</v>
      </c>
      <c r="E32" s="3013">
        <f>'Table1.A(a)s4'!J38</f>
        <v>0.24129233140638218</v>
      </c>
      <c r="F32" s="3014">
        <v>12.093472179817669</v>
      </c>
      <c r="G32" s="3014">
        <v>514.81567005750867</v>
      </c>
      <c r="H32" s="3014">
        <v>60.710233511030324</v>
      </c>
      <c r="I32" s="3015">
        <v>0.52214559556499629</v>
      </c>
      <c r="J32" s="3016">
        <f t="shared" si="1"/>
        <v>9910.2006391309678</v>
      </c>
    </row>
    <row r="33" spans="2:10" ht="18" customHeight="1" thickBot="1" x14ac:dyDescent="0.25">
      <c r="B33" s="20" t="s">
        <v>196</v>
      </c>
      <c r="C33" s="3013">
        <f>'Table1.A(a)s4'!H59</f>
        <v>6287.3670986267816</v>
      </c>
      <c r="D33" s="3013">
        <f>'Table1.A(a)s4'!I59</f>
        <v>0.60441095752549423</v>
      </c>
      <c r="E33" s="3013">
        <f>'Table1.A(a)s4'!J59</f>
        <v>0.32204109366911671</v>
      </c>
      <c r="F33" s="3014">
        <v>316.48507132777007</v>
      </c>
      <c r="G33" s="3014">
        <v>139.75188896070131</v>
      </c>
      <c r="H33" s="3014">
        <v>49.583071454927349</v>
      </c>
      <c r="I33" s="3015">
        <v>4.690968183102239</v>
      </c>
      <c r="J33" s="3016">
        <f t="shared" si="1"/>
        <v>6389.6314952598113</v>
      </c>
    </row>
    <row r="34" spans="2:10" ht="18" customHeight="1" x14ac:dyDescent="0.2">
      <c r="B34" s="25" t="s">
        <v>197</v>
      </c>
      <c r="C34" s="3010">
        <f>IF(SUM(C35:C36)=0,"NO",SUM(C35:C36))</f>
        <v>1017.0580667465537</v>
      </c>
      <c r="D34" s="3010">
        <f t="shared" ref="D34:E34" si="12">IF(SUM(D35:D36)=0,"NO",SUM(D35:D36))</f>
        <v>3.3561971864446156E-2</v>
      </c>
      <c r="E34" s="3010">
        <f t="shared" si="12"/>
        <v>2.8560383287274383E-2</v>
      </c>
      <c r="F34" s="3010">
        <f t="shared" ref="F34:I34" si="13">IF(SUM(F35:F36)=0,"NO",SUM(F35:F36))</f>
        <v>8.8323367932904961</v>
      </c>
      <c r="G34" s="3010">
        <f t="shared" si="13"/>
        <v>3.2511895889859561</v>
      </c>
      <c r="H34" s="3010">
        <f t="shared" si="13"/>
        <v>0.52002887345473225</v>
      </c>
      <c r="I34" s="3011">
        <f t="shared" si="13"/>
        <v>0.35086640869416208</v>
      </c>
      <c r="J34" s="3012">
        <f t="shared" si="1"/>
        <v>1025.5663035298858</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1017.0580667465537</v>
      </c>
      <c r="D36" s="3025">
        <f>'Table1.A(a)s4'!I108</f>
        <v>3.3561971864446156E-2</v>
      </c>
      <c r="E36" s="3025">
        <f>'Table1.A(a)s4'!J108</f>
        <v>2.8560383287274383E-2</v>
      </c>
      <c r="F36" s="3021">
        <v>8.8323367932904961</v>
      </c>
      <c r="G36" s="3021">
        <v>3.2511895889859561</v>
      </c>
      <c r="H36" s="3021">
        <v>0.52002887345473225</v>
      </c>
      <c r="I36" s="3022">
        <v>0.35086640869416208</v>
      </c>
      <c r="J36" s="3023">
        <f t="shared" si="1"/>
        <v>1025.5663035298858</v>
      </c>
    </row>
    <row r="37" spans="2:10" ht="18" customHeight="1" thickBot="1" x14ac:dyDescent="0.25">
      <c r="B37" s="18" t="s">
        <v>201</v>
      </c>
      <c r="C37" s="3010">
        <f>IF(SUM(C38,C42)=0,"NO",SUM(C38,C42))</f>
        <v>9280.6213492610786</v>
      </c>
      <c r="D37" s="3010">
        <f t="shared" ref="D37:I37" si="14">IF(SUM(D38,D42)=0,"NO",SUM(D38,D42))</f>
        <v>1216.9369345580285</v>
      </c>
      <c r="E37" s="3010">
        <f t="shared" si="14"/>
        <v>0.11846408985611551</v>
      </c>
      <c r="F37" s="3010">
        <f t="shared" si="14"/>
        <v>1.8038223152800792</v>
      </c>
      <c r="G37" s="3010">
        <f t="shared" si="14"/>
        <v>10.462169428624462</v>
      </c>
      <c r="H37" s="3010">
        <f t="shared" si="14"/>
        <v>225.97180067552051</v>
      </c>
      <c r="I37" s="3011" t="str">
        <f t="shared" si="14"/>
        <v>NO</v>
      </c>
      <c r="J37" s="3012">
        <f t="shared" si="1"/>
        <v>43386.248500697744</v>
      </c>
    </row>
    <row r="38" spans="2:10" ht="18" customHeight="1" x14ac:dyDescent="0.2">
      <c r="B38" s="26" t="s">
        <v>202</v>
      </c>
      <c r="C38" s="3010">
        <f>IF(SUM(C39:C41)=0,"NO",SUM(C39:C41))</f>
        <v>1837.8700527484677</v>
      </c>
      <c r="D38" s="3010">
        <f t="shared" ref="D38" si="15">IF(SUM(D39:D41)=0,"NO",SUM(D39:D41))</f>
        <v>994.0994845095189</v>
      </c>
      <c r="E38" s="3010">
        <f t="shared" ref="E38" si="16">IF(SUM(E39:E41)=0,"NO",SUM(E39:E41))</f>
        <v>1.4676359872572309E-3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29673.044542551619</v>
      </c>
    </row>
    <row r="39" spans="2:10" ht="18" customHeight="1" x14ac:dyDescent="0.2">
      <c r="B39" s="20" t="s">
        <v>203</v>
      </c>
      <c r="C39" s="3013">
        <f>'Table1.B.1'!G10</f>
        <v>1837.8700527484677</v>
      </c>
      <c r="D39" s="3013">
        <f>'Table1.B.1'!F10</f>
        <v>994.0994845095189</v>
      </c>
      <c r="E39" s="3014">
        <v>1.4676359872572309E-3</v>
      </c>
      <c r="F39" s="3014" t="s">
        <v>199</v>
      </c>
      <c r="G39" s="3014" t="s">
        <v>199</v>
      </c>
      <c r="H39" s="3014" t="s">
        <v>199</v>
      </c>
      <c r="I39" s="2940"/>
      <c r="J39" s="3016">
        <f t="shared" si="1"/>
        <v>29673.044542551619</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7442.7512965126107</v>
      </c>
      <c r="D42" s="3010">
        <f t="shared" ref="D42:I42" si="21">IF(SUM(D43:D46)=0,"NO",SUM(D43:D46))</f>
        <v>222.83745004850962</v>
      </c>
      <c r="E42" s="4491">
        <f t="shared" si="21"/>
        <v>0.11699645386885828</v>
      </c>
      <c r="F42" s="3010">
        <f t="shared" si="21"/>
        <v>1.8038223152800792</v>
      </c>
      <c r="G42" s="3010">
        <f t="shared" si="21"/>
        <v>10.462169428624462</v>
      </c>
      <c r="H42" s="3010">
        <f t="shared" si="21"/>
        <v>225.97180067552051</v>
      </c>
      <c r="I42" s="3011" t="str">
        <f t="shared" si="21"/>
        <v>NO</v>
      </c>
      <c r="J42" s="3012">
        <f t="shared" ref="J42:J59" si="22">IF(SUM(C42:E42)=0,"NO",SUM(C42,IFERROR(28*D42,0),IFERROR(265*E42,0)))</f>
        <v>13713.203958146127</v>
      </c>
    </row>
    <row r="43" spans="2:10" ht="18" customHeight="1" x14ac:dyDescent="0.2">
      <c r="B43" s="20" t="s">
        <v>208</v>
      </c>
      <c r="C43" s="3013">
        <f>'Table1.B.2'!I10</f>
        <v>200.04990489814813</v>
      </c>
      <c r="D43" s="3013">
        <f>'Table1.B.2'!J10</f>
        <v>3.7926987804482053</v>
      </c>
      <c r="E43" s="4492">
        <f>'Table1.B.2'!K10</f>
        <v>6.0126316500000001E-3</v>
      </c>
      <c r="F43" s="3014">
        <v>0.11134503055555556</v>
      </c>
      <c r="G43" s="3014">
        <v>0.64580117722222219</v>
      </c>
      <c r="H43" s="3014">
        <v>126.90603094849965</v>
      </c>
      <c r="I43" s="3015" t="s">
        <v>199</v>
      </c>
      <c r="J43" s="3016">
        <f t="shared" si="22"/>
        <v>307.8388181379479</v>
      </c>
    </row>
    <row r="44" spans="2:10" ht="18" customHeight="1" x14ac:dyDescent="0.2">
      <c r="B44" s="20" t="s">
        <v>209</v>
      </c>
      <c r="C44" s="3013">
        <f>SUM('Table1.B.2'!I21)</f>
        <v>127.94771875777793</v>
      </c>
      <c r="D44" s="3013">
        <f>'Table1.B.2'!J21</f>
        <v>152.89153581478865</v>
      </c>
      <c r="E44" s="4492">
        <f>'Table1.B.2'!K21</f>
        <v>3.2804166372299996E-3</v>
      </c>
      <c r="F44" s="3014">
        <v>6.0748456245000006E-2</v>
      </c>
      <c r="G44" s="3014">
        <v>0.35234104622099999</v>
      </c>
      <c r="H44" s="3014">
        <v>82.748481442225625</v>
      </c>
      <c r="I44" s="3015" t="s">
        <v>199</v>
      </c>
      <c r="J44" s="3016">
        <f t="shared" si="22"/>
        <v>4409.7800319807257</v>
      </c>
    </row>
    <row r="45" spans="2:10" ht="18" customHeight="1" x14ac:dyDescent="0.2">
      <c r="B45" s="20" t="s">
        <v>210</v>
      </c>
      <c r="C45" s="3013">
        <f>'Table1.B.2'!I31</f>
        <v>7114.7536728566847</v>
      </c>
      <c r="D45" s="3013">
        <f>'Table1.B.2'!J31</f>
        <v>66.153215453272765</v>
      </c>
      <c r="E45" s="4492">
        <f>'Table1.B.2'!K31</f>
        <v>0.10770340558162828</v>
      </c>
      <c r="F45" s="3014">
        <v>1.6317288284795237</v>
      </c>
      <c r="G45" s="3014">
        <v>9.4640272051812389</v>
      </c>
      <c r="H45" s="3014">
        <v>16.317288284795239</v>
      </c>
      <c r="I45" s="3015" t="s">
        <v>199</v>
      </c>
      <c r="J45" s="3016">
        <f t="shared" si="22"/>
        <v>8995.5851080274533</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14128.3205</v>
      </c>
      <c r="D52" s="3013">
        <f t="shared" ref="D52:I52" si="23">IF(SUM(D53:D54)=0,"NO",SUM(D53:D54))</f>
        <v>0.23731321000000002</v>
      </c>
      <c r="E52" s="3013">
        <f t="shared" si="23"/>
        <v>0.12093147292210527</v>
      </c>
      <c r="F52" s="3013">
        <f t="shared" si="23"/>
        <v>121.08885137757896</v>
      </c>
      <c r="G52" s="3013">
        <f t="shared" si="23"/>
        <v>20.220152621052634</v>
      </c>
      <c r="H52" s="3013">
        <f t="shared" si="23"/>
        <v>10.923580138968422</v>
      </c>
      <c r="I52" s="3034">
        <f t="shared" si="23"/>
        <v>38.552840493927128</v>
      </c>
      <c r="J52" s="3016">
        <f t="shared" si="22"/>
        <v>14167.012110204358</v>
      </c>
    </row>
    <row r="53" spans="2:10" ht="18" customHeight="1" x14ac:dyDescent="0.2">
      <c r="B53" s="164" t="s">
        <v>218</v>
      </c>
      <c r="C53" s="3013">
        <f>Table1.D!G10</f>
        <v>11893.248</v>
      </c>
      <c r="D53" s="3013">
        <f>Table1.D!H10</f>
        <v>2.4198210000000005E-2</v>
      </c>
      <c r="E53" s="3013">
        <f>Table1.D!I10</f>
        <v>6.0041472922105266E-2</v>
      </c>
      <c r="F53" s="3014">
        <v>60.843551377578954</v>
      </c>
      <c r="G53" s="3014">
        <v>18.697907621052632</v>
      </c>
      <c r="H53" s="3014">
        <v>9.031640138968422</v>
      </c>
      <c r="I53" s="3015">
        <v>1.4012160000000002</v>
      </c>
      <c r="J53" s="3016">
        <f t="shared" si="22"/>
        <v>11909.836540204356</v>
      </c>
    </row>
    <row r="54" spans="2:10" ht="18" customHeight="1" x14ac:dyDescent="0.2">
      <c r="B54" s="164" t="s">
        <v>219</v>
      </c>
      <c r="C54" s="3013">
        <f>Table1.D!G14</f>
        <v>2235.0724999999998</v>
      </c>
      <c r="D54" s="3013">
        <f>Table1.D!H14</f>
        <v>0.21311500000000003</v>
      </c>
      <c r="E54" s="3013">
        <f>Table1.D!I14</f>
        <v>6.0890000000000007E-2</v>
      </c>
      <c r="F54" s="3014">
        <v>60.245300000000007</v>
      </c>
      <c r="G54" s="3014">
        <v>1.5222450000000001</v>
      </c>
      <c r="H54" s="3014">
        <v>1.8919400000000002</v>
      </c>
      <c r="I54" s="3015">
        <v>37.15162449392713</v>
      </c>
      <c r="J54" s="3016">
        <f t="shared" si="22"/>
        <v>2257.1755699999999</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17898.475606673015</v>
      </c>
      <c r="D56" s="3035"/>
      <c r="E56" s="3035"/>
      <c r="F56" s="3035"/>
      <c r="G56" s="3035"/>
      <c r="H56" s="3035"/>
      <c r="I56" s="2976"/>
      <c r="J56" s="3020">
        <f t="shared" si="22"/>
        <v>17898.475606673015</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135351.42146839501</v>
      </c>
      <c r="D10" s="3491" t="s">
        <v>199</v>
      </c>
      <c r="E10" s="3491">
        <v>19.838832689</v>
      </c>
      <c r="F10" s="3491">
        <v>493.59529676099999</v>
      </c>
      <c r="G10" s="3491" t="s">
        <v>199</v>
      </c>
      <c r="H10" s="3491" t="s">
        <v>199</v>
      </c>
      <c r="I10" s="3491" t="s">
        <v>199</v>
      </c>
      <c r="J10" s="3491">
        <v>17.110569135999999</v>
      </c>
      <c r="K10" s="3491" t="s">
        <v>199</v>
      </c>
      <c r="L10" s="3491" t="s">
        <v>199</v>
      </c>
      <c r="M10" s="3492">
        <f>IF(SUM(C10:L10)=0,"NO",SUM(C10:L10))</f>
        <v>135881.96616698103</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18.774617621000001</v>
      </c>
      <c r="D12" s="3491" t="s">
        <v>199</v>
      </c>
      <c r="E12" s="3491">
        <v>39970.410779446</v>
      </c>
      <c r="F12" s="3491" t="s">
        <v>274</v>
      </c>
      <c r="G12" s="3491" t="s">
        <v>199</v>
      </c>
      <c r="H12" s="3491" t="s">
        <v>274</v>
      </c>
      <c r="I12" s="3491" t="s">
        <v>199</v>
      </c>
      <c r="J12" s="3491" t="s">
        <v>274</v>
      </c>
      <c r="K12" s="3491" t="s">
        <v>199</v>
      </c>
      <c r="L12" s="3491" t="s">
        <v>199</v>
      </c>
      <c r="M12" s="3492">
        <f t="shared" si="0"/>
        <v>39989.185397066998</v>
      </c>
    </row>
    <row r="13" spans="2:13" ht="18" customHeight="1" x14ac:dyDescent="0.2">
      <c r="B13" s="2303" t="s">
        <v>1296</v>
      </c>
      <c r="C13" s="3491">
        <v>746.22943045600005</v>
      </c>
      <c r="D13" s="3491" t="s">
        <v>199</v>
      </c>
      <c r="E13" s="3491" t="s">
        <v>274</v>
      </c>
      <c r="F13" s="3491">
        <v>516748.840879647</v>
      </c>
      <c r="G13" s="3491" t="s">
        <v>199</v>
      </c>
      <c r="H13" s="3491" t="s">
        <v>274</v>
      </c>
      <c r="I13" s="3491" t="s">
        <v>199</v>
      </c>
      <c r="J13" s="3491" t="s">
        <v>274</v>
      </c>
      <c r="K13" s="3491" t="s">
        <v>199</v>
      </c>
      <c r="L13" s="3491" t="s">
        <v>199</v>
      </c>
      <c r="M13" s="3492">
        <f t="shared" si="0"/>
        <v>517495.07031010301</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8.9552111700000001</v>
      </c>
      <c r="D15" s="3491" t="s">
        <v>199</v>
      </c>
      <c r="E15" s="3491">
        <v>0.63304705100000003</v>
      </c>
      <c r="F15" s="3491">
        <v>2.443871627</v>
      </c>
      <c r="G15" s="3491" t="s">
        <v>199</v>
      </c>
      <c r="H15" s="3491">
        <v>13240.27884171</v>
      </c>
      <c r="I15" s="3491" t="s">
        <v>199</v>
      </c>
      <c r="J15" s="3491" t="s">
        <v>199</v>
      </c>
      <c r="K15" s="3491" t="s">
        <v>199</v>
      </c>
      <c r="L15" s="3491" t="s">
        <v>199</v>
      </c>
      <c r="M15" s="3492">
        <f t="shared" si="0"/>
        <v>13252.310971557999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9.8332482680000002</v>
      </c>
      <c r="D17" s="3491" t="s">
        <v>199</v>
      </c>
      <c r="E17" s="3491" t="s">
        <v>199</v>
      </c>
      <c r="F17" s="3491" t="s">
        <v>199</v>
      </c>
      <c r="G17" s="3491" t="s">
        <v>199</v>
      </c>
      <c r="H17" s="3491" t="s">
        <v>199</v>
      </c>
      <c r="I17" s="3491" t="s">
        <v>199</v>
      </c>
      <c r="J17" s="3491">
        <v>1508.0050602020001</v>
      </c>
      <c r="K17" s="3491" t="s">
        <v>199</v>
      </c>
      <c r="L17" s="3491" t="s">
        <v>199</v>
      </c>
      <c r="M17" s="3492">
        <f t="shared" si="0"/>
        <v>1517.8383084700001</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136135.21397591001</v>
      </c>
      <c r="D20" s="3493" t="str">
        <f t="shared" ref="D20:L20" si="1">IF(SUM(D10:D19)=0,"NO",SUM(D10:D19))</f>
        <v>NO</v>
      </c>
      <c r="E20" s="3493">
        <f t="shared" si="1"/>
        <v>39990.882659185998</v>
      </c>
      <c r="F20" s="3493">
        <f t="shared" si="1"/>
        <v>517244.880048035</v>
      </c>
      <c r="G20" s="3493" t="str">
        <f t="shared" si="1"/>
        <v>NO</v>
      </c>
      <c r="H20" s="3493">
        <f t="shared" si="1"/>
        <v>13240.27884171</v>
      </c>
      <c r="I20" s="3493" t="str">
        <f t="shared" si="1"/>
        <v>NO</v>
      </c>
      <c r="J20" s="3493">
        <f t="shared" si="1"/>
        <v>1525.1156293380002</v>
      </c>
      <c r="K20" s="3493">
        <f t="shared" si="1"/>
        <v>60692.328845821001</v>
      </c>
      <c r="L20" s="3493" t="str">
        <f t="shared" si="1"/>
        <v>NO</v>
      </c>
      <c r="M20" s="3492">
        <f t="shared" si="0"/>
        <v>768828.69999999984</v>
      </c>
    </row>
    <row r="21" spans="2:13" ht="18" customHeight="1" thickBot="1" x14ac:dyDescent="0.25">
      <c r="B21" s="2305" t="s">
        <v>1304</v>
      </c>
      <c r="C21" s="3494">
        <f>IF(SUM(C20)=0,"NO",C20-M10)</f>
        <v>253.24780892897979</v>
      </c>
      <c r="D21" s="3494" t="str">
        <f>IF(SUM(D20)=0,"NO",D20-M11)</f>
        <v>NO</v>
      </c>
      <c r="E21" s="3494">
        <f>IF(SUM(E20)=0,"NO",E20-M12)</f>
        <v>1.6972621189997881</v>
      </c>
      <c r="F21" s="3494">
        <f>IF(SUM(F20)=0,"NO",F20-M13)</f>
        <v>-250.19026206800481</v>
      </c>
      <c r="G21" s="3494" t="str">
        <f>IF(SUM(G20)=0,"NO",G20-M14)</f>
        <v>NO</v>
      </c>
      <c r="H21" s="3494">
        <f>IF(SUM(H20)=0,"NO",H20-M15)</f>
        <v>-12.032129847999386</v>
      </c>
      <c r="I21" s="3494" t="str">
        <f>IF(SUM(I20)=0,"NO",I20-M16)</f>
        <v>NO</v>
      </c>
      <c r="J21" s="3494">
        <f>IF(SUM(J20)=0,"NO",J20-M17)</f>
        <v>7.2773208680000607</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136296.19872769419</v>
      </c>
      <c r="E10" s="3498">
        <f t="shared" ref="E10:U10" si="0">IF(SUM(E11,E16)=0,"IE",SUM(E11,E16))</f>
        <v>136135.21397591024</v>
      </c>
      <c r="F10" s="3499">
        <f t="shared" si="0"/>
        <v>160.98475178393659</v>
      </c>
      <c r="G10" s="3500">
        <f t="shared" ref="G10:K11" si="1">IFERROR(IF(SUM($D10)=0,"NA",N10/$D10),"NA")</f>
        <v>0.14663214138471534</v>
      </c>
      <c r="H10" s="3057">
        <f t="shared" si="1"/>
        <v>-1.2732945722024729E-2</v>
      </c>
      <c r="I10" s="3057">
        <f t="shared" si="1"/>
        <v>0.1338991956626906</v>
      </c>
      <c r="J10" s="3057">
        <f t="shared" si="1"/>
        <v>7.6456249578677187E-4</v>
      </c>
      <c r="K10" s="3057">
        <f t="shared" si="1"/>
        <v>5.4240677193289717E-3</v>
      </c>
      <c r="L10" s="3057">
        <f>IFERROR(IF(SUM(E10)=0,"NA",S10/E10),"NA")</f>
        <v>-2.2575235167493251E-2</v>
      </c>
      <c r="M10" s="3106">
        <f>IFERROR(IF(SUM(F10)=0,"NA",T10/F10),"NA")</f>
        <v>3.0498098444419995E-2</v>
      </c>
      <c r="N10" s="3501">
        <f t="shared" si="0"/>
        <v>19985.403482038513</v>
      </c>
      <c r="O10" s="3502">
        <f t="shared" si="0"/>
        <v>-1735.4521005180261</v>
      </c>
      <c r="P10" s="3502">
        <f t="shared" si="0"/>
        <v>18249.951381520485</v>
      </c>
      <c r="Q10" s="3502">
        <f t="shared" si="0"/>
        <v>104.20696186549571</v>
      </c>
      <c r="R10" s="3502">
        <f t="shared" si="0"/>
        <v>739.27981178613254</v>
      </c>
      <c r="S10" s="3502">
        <f t="shared" si="0"/>
        <v>-3073.2844700831874</v>
      </c>
      <c r="T10" s="3503">
        <f t="shared" si="0"/>
        <v>4.9097288079570154</v>
      </c>
      <c r="U10" s="4260">
        <f t="shared" si="0"/>
        <v>-58758.565850955252</v>
      </c>
      <c r="W10" s="2422"/>
    </row>
    <row r="11" spans="2:23" ht="18" customHeight="1" x14ac:dyDescent="0.2">
      <c r="B11" s="492" t="s">
        <v>1253</v>
      </c>
      <c r="C11" s="2282"/>
      <c r="D11" s="3504">
        <f>IF(SUM(D12:D15)=0,"IE",SUM(D12:D15))</f>
        <v>123842.62431671099</v>
      </c>
      <c r="E11" s="3505">
        <f t="shared" ref="E11:U11" si="2">IF(SUM(E12:E15)=0,"IE",SUM(E12:E15))</f>
        <v>123842.62431671099</v>
      </c>
      <c r="F11" s="3506" t="str">
        <f t="shared" si="2"/>
        <v>IE</v>
      </c>
      <c r="G11" s="3500">
        <f t="shared" si="1"/>
        <v>6.899269204293329E-2</v>
      </c>
      <c r="H11" s="3057">
        <f t="shared" si="1"/>
        <v>-1.4013366642488444E-2</v>
      </c>
      <c r="I11" s="3057">
        <f t="shared" si="1"/>
        <v>5.4979325400444846E-2</v>
      </c>
      <c r="J11" s="3057">
        <f t="shared" si="1"/>
        <v>-4.2630231268328553E-3</v>
      </c>
      <c r="K11" s="3057">
        <f t="shared" si="1"/>
        <v>1.5318013579660886E-3</v>
      </c>
      <c r="L11" s="3057">
        <f t="shared" ref="L11:L28" si="3">IFERROR(IF(SUM(E11)=0,"NA",S11/E11),"NA")</f>
        <v>-3.0295591968728191E-3</v>
      </c>
      <c r="M11" s="3106" t="str">
        <f t="shared" ref="M11:M28" si="4">IFERROR(IF(SUM(F11)=0,"NA",T11/F11),"NA")</f>
        <v>NA</v>
      </c>
      <c r="N11" s="3087">
        <f t="shared" si="2"/>
        <v>8544.2360412715225</v>
      </c>
      <c r="O11" s="3087">
        <f t="shared" si="2"/>
        <v>-1735.4521005180261</v>
      </c>
      <c r="P11" s="3087">
        <f t="shared" si="2"/>
        <v>6808.7839407534975</v>
      </c>
      <c r="Q11" s="3087">
        <f t="shared" si="2"/>
        <v>-527.94397154981186</v>
      </c>
      <c r="R11" s="3507">
        <f t="shared" si="2"/>
        <v>189.70230010242204</v>
      </c>
      <c r="S11" s="3507">
        <f t="shared" si="2"/>
        <v>-375.18856146355722</v>
      </c>
      <c r="T11" s="3507" t="str">
        <f t="shared" si="2"/>
        <v>IE</v>
      </c>
      <c r="U11" s="4261">
        <f t="shared" si="2"/>
        <v>-22349.630262089355</v>
      </c>
      <c r="W11" s="2423"/>
    </row>
    <row r="12" spans="2:23" ht="18" customHeight="1" x14ac:dyDescent="0.2">
      <c r="B12" s="490"/>
      <c r="C12" s="498" t="s">
        <v>1339</v>
      </c>
      <c r="D12" s="3509">
        <f>IF(SUM(E12:F12)=0,E12,SUM(E12:F12))</f>
        <v>17547.771129146015</v>
      </c>
      <c r="E12" s="3510">
        <v>17547.771129146015</v>
      </c>
      <c r="F12" s="3496" t="s">
        <v>274</v>
      </c>
      <c r="G12" s="3500">
        <f>IFERROR(IF(SUM($D12)=0,"NA",N12/$D12),"NA")</f>
        <v>0.48383894616700546</v>
      </c>
      <c r="H12" s="3057" t="str">
        <f>IFERROR(IF(SUM($D12)=0,"NA",O12/$D12),"NA")</f>
        <v>NA</v>
      </c>
      <c r="I12" s="3057">
        <f>IFERROR(IF(SUM($D12)=0,"NA",P12/$D12),"NA")</f>
        <v>0.48383894616700546</v>
      </c>
      <c r="J12" s="3057">
        <f>IFERROR(IF(SUM($D12)=0,"NA",Q12/$D12),"NA")</f>
        <v>-2.1123633364280931E-2</v>
      </c>
      <c r="K12" s="3057">
        <f>IFERROR(IF(SUM($D12)=0,"NA",R12/$D12),"NA")</f>
        <v>1.4100788379228436E-2</v>
      </c>
      <c r="L12" s="3057">
        <f t="shared" si="3"/>
        <v>-3.8007688491165446E-2</v>
      </c>
      <c r="M12" s="3106" t="str">
        <f t="shared" si="4"/>
        <v>NA</v>
      </c>
      <c r="N12" s="2917">
        <v>8490.2950907058112</v>
      </c>
      <c r="O12" s="2917" t="s">
        <v>274</v>
      </c>
      <c r="P12" s="3087">
        <f>IF(SUM(N12:O12)=0,N12,SUM(N12:O12))</f>
        <v>8490.2950907058112</v>
      </c>
      <c r="Q12" s="2917">
        <v>-370.6726836923944</v>
      </c>
      <c r="R12" s="2918">
        <v>247.43740721922239</v>
      </c>
      <c r="S12" s="2918">
        <v>-666.95021879084823</v>
      </c>
      <c r="T12" s="2918" t="s">
        <v>274</v>
      </c>
      <c r="U12" s="4262">
        <f>IF(SUM(P12:T12)=0,P12,SUM(P12:T12)*-44/12)</f>
        <v>-28233.735183286568</v>
      </c>
      <c r="W12" s="2424"/>
    </row>
    <row r="13" spans="2:23" ht="18" customHeight="1" x14ac:dyDescent="0.2">
      <c r="B13" s="490"/>
      <c r="C13" s="498" t="s">
        <v>1340</v>
      </c>
      <c r="D13" s="3509">
        <f t="shared" ref="D13:D15" si="5">IF(SUM(E13:F13)=0,E13,SUM(E13:F13))</f>
        <v>681.45988290815012</v>
      </c>
      <c r="E13" s="3510">
        <v>681.45988290815012</v>
      </c>
      <c r="F13" s="3496" t="s">
        <v>274</v>
      </c>
      <c r="G13" s="3500" t="str">
        <f t="shared" ref="G13:K28" si="6">IFERROR(IF(SUM($D13)=0,"NA",N13/$D13),"NA")</f>
        <v>NA</v>
      </c>
      <c r="H13" s="3057">
        <f t="shared" si="6"/>
        <v>-0.66869883956165876</v>
      </c>
      <c r="I13" s="3057">
        <f t="shared" si="6"/>
        <v>-0.66869883956165876</v>
      </c>
      <c r="J13" s="3057">
        <f t="shared" si="6"/>
        <v>-0.10562963032296038</v>
      </c>
      <c r="K13" s="3057">
        <f t="shared" si="6"/>
        <v>-0.11072952109607859</v>
      </c>
      <c r="L13" s="3057">
        <f t="shared" si="3"/>
        <v>0.42814208825057981</v>
      </c>
      <c r="M13" s="3106" t="str">
        <f t="shared" si="4"/>
        <v>NA</v>
      </c>
      <c r="N13" s="2917" t="s">
        <v>274</v>
      </c>
      <c r="O13" s="2917">
        <v>-455.69143290850383</v>
      </c>
      <c r="P13" s="3087">
        <f t="shared" ref="P13:P15" si="7">IF(SUM(N13:O13)=0,N13,SUM(N13:O13))</f>
        <v>-455.69143290850383</v>
      </c>
      <c r="Q13" s="2917">
        <v>-71.982355511515763</v>
      </c>
      <c r="R13" s="2918">
        <v>-75.457726480609253</v>
      </c>
      <c r="S13" s="2918">
        <v>291.761657327291</v>
      </c>
      <c r="T13" s="2918" t="s">
        <v>274</v>
      </c>
      <c r="U13" s="4262">
        <f t="shared" ref="U13:U15" si="8">IF(SUM(P13:T13)=0,P13,SUM(P13:T13)*-44/12)</f>
        <v>1141.6894777689056</v>
      </c>
      <c r="W13" s="2424"/>
    </row>
    <row r="14" spans="2:23" ht="18" customHeight="1" x14ac:dyDescent="0.2">
      <c r="B14" s="490"/>
      <c r="C14" s="498" t="s">
        <v>1341</v>
      </c>
      <c r="D14" s="3509">
        <f t="shared" si="5"/>
        <v>105613.39330465683</v>
      </c>
      <c r="E14" s="3510">
        <v>105613.39330465683</v>
      </c>
      <c r="F14" s="3496" t="s">
        <v>274</v>
      </c>
      <c r="G14" s="3500">
        <f t="shared" si="6"/>
        <v>5.1073967872722055E-4</v>
      </c>
      <c r="H14" s="3057" t="str">
        <f t="shared" si="6"/>
        <v>NA</v>
      </c>
      <c r="I14" s="3057">
        <f t="shared" si="6"/>
        <v>5.1073967872722055E-4</v>
      </c>
      <c r="J14" s="3057">
        <f t="shared" si="6"/>
        <v>-5.5397743295189296E-4</v>
      </c>
      <c r="K14" s="3057">
        <f t="shared" si="6"/>
        <v>1.6780655188954578E-4</v>
      </c>
      <c r="L14" s="3057" t="str">
        <f t="shared" si="3"/>
        <v>NA</v>
      </c>
      <c r="M14" s="3106" t="str">
        <f t="shared" si="4"/>
        <v>NA</v>
      </c>
      <c r="N14" s="2917">
        <v>53.940950565712015</v>
      </c>
      <c r="O14" s="2917" t="s">
        <v>274</v>
      </c>
      <c r="P14" s="3087">
        <f t="shared" si="7"/>
        <v>53.940950565712015</v>
      </c>
      <c r="Q14" s="2917">
        <v>-58.507436508252425</v>
      </c>
      <c r="R14" s="2918">
        <v>17.722619363808903</v>
      </c>
      <c r="S14" s="2918" t="s">
        <v>205</v>
      </c>
      <c r="T14" s="2918" t="s">
        <v>205</v>
      </c>
      <c r="U14" s="4262">
        <f t="shared" si="8"/>
        <v>-48.239155877984473</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-1279.7606676095222</v>
      </c>
      <c r="P15" s="3087">
        <f t="shared" si="7"/>
        <v>-1279.7606676095222</v>
      </c>
      <c r="Q15" s="2917">
        <v>-26.781495837649224</v>
      </c>
      <c r="R15" s="2918" t="s">
        <v>205</v>
      </c>
      <c r="S15" s="2918" t="s">
        <v>205</v>
      </c>
      <c r="T15" s="2918" t="s">
        <v>205</v>
      </c>
      <c r="U15" s="4262">
        <f t="shared" si="8"/>
        <v>4790.6545993062946</v>
      </c>
      <c r="W15" s="2424"/>
    </row>
    <row r="16" spans="2:23" ht="18" customHeight="1" x14ac:dyDescent="0.2">
      <c r="B16" s="475" t="s">
        <v>1343</v>
      </c>
      <c r="C16" s="494"/>
      <c r="D16" s="3509">
        <f>IF(SUM(D17,D19,D23,D25,D27)=0,"IE",SUM(D17,D19,D23,D25,D27))</f>
        <v>12453.574410983198</v>
      </c>
      <c r="E16" s="3512">
        <f t="shared" ref="E16:T16" si="9">IF(SUM(E17,E19,E23,E25,E27)=0,"IE",SUM(E17,E19,E23,E25,E27))</f>
        <v>12292.58965919926</v>
      </c>
      <c r="F16" s="3513">
        <f t="shared" si="9"/>
        <v>160.98475178393659</v>
      </c>
      <c r="G16" s="3500">
        <f t="shared" si="6"/>
        <v>0.91870551081918017</v>
      </c>
      <c r="H16" s="3057" t="str">
        <f t="shared" si="6"/>
        <v>NA</v>
      </c>
      <c r="I16" s="3057">
        <f t="shared" si="6"/>
        <v>0.91870551081918017</v>
      </c>
      <c r="J16" s="3057">
        <f t="shared" si="6"/>
        <v>5.0760601940740314E-2</v>
      </c>
      <c r="K16" s="3057">
        <f t="shared" si="6"/>
        <v>4.4130102213788588E-2</v>
      </c>
      <c r="L16" s="3057">
        <f t="shared" si="3"/>
        <v>-0.21948962614240428</v>
      </c>
      <c r="M16" s="3106">
        <f t="shared" si="4"/>
        <v>3.0498098444419995E-2</v>
      </c>
      <c r="N16" s="3057">
        <f t="shared" si="9"/>
        <v>11441.167440766989</v>
      </c>
      <c r="O16" s="3057" t="str">
        <f t="shared" si="9"/>
        <v>IE</v>
      </c>
      <c r="P16" s="3057">
        <f t="shared" si="9"/>
        <v>11441.167440766989</v>
      </c>
      <c r="Q16" s="3057">
        <f t="shared" si="9"/>
        <v>632.15093341530758</v>
      </c>
      <c r="R16" s="3514">
        <f t="shared" si="9"/>
        <v>549.57751168371055</v>
      </c>
      <c r="S16" s="3514">
        <f t="shared" si="9"/>
        <v>-2698.0959086196303</v>
      </c>
      <c r="T16" s="3514">
        <f t="shared" si="9"/>
        <v>4.9097288079570154</v>
      </c>
      <c r="U16" s="4262">
        <f>IF(SUM(U17,U19,U23,U25,U27)=0,"IE",SUM(U17,U19,U23,U25,U27))</f>
        <v>-36408.935588865897</v>
      </c>
      <c r="W16" s="2048"/>
    </row>
    <row r="17" spans="2:23" ht="18" customHeight="1" x14ac:dyDescent="0.2">
      <c r="B17" s="477" t="s">
        <v>1344</v>
      </c>
      <c r="C17" s="494"/>
      <c r="D17" s="3509">
        <f>D18</f>
        <v>79.865462657393621</v>
      </c>
      <c r="E17" s="3512">
        <f t="shared" ref="E17:U17" si="10">E18</f>
        <v>79.865462657393621</v>
      </c>
      <c r="F17" s="3513" t="str">
        <f t="shared" si="10"/>
        <v>NO</v>
      </c>
      <c r="G17" s="3500">
        <f t="shared" si="6"/>
        <v>1.3243380556922864</v>
      </c>
      <c r="H17" s="3057" t="str">
        <f t="shared" si="6"/>
        <v>NA</v>
      </c>
      <c r="I17" s="3057">
        <f t="shared" si="6"/>
        <v>1.3243380556922864</v>
      </c>
      <c r="J17" s="3057">
        <f t="shared" si="6"/>
        <v>5.7544697182729788E-2</v>
      </c>
      <c r="K17" s="3057">
        <f t="shared" si="6"/>
        <v>2.7501562746964837E-2</v>
      </c>
      <c r="L17" s="3057">
        <f t="shared" si="3"/>
        <v>-0.41460730449061994</v>
      </c>
      <c r="M17" s="3106" t="str">
        <f t="shared" si="4"/>
        <v>NA</v>
      </c>
      <c r="N17" s="3057">
        <f t="shared" si="10"/>
        <v>105.76887153265757</v>
      </c>
      <c r="O17" s="3057" t="str">
        <f t="shared" si="10"/>
        <v>IE</v>
      </c>
      <c r="P17" s="3057">
        <f t="shared" si="10"/>
        <v>105.76887153265757</v>
      </c>
      <c r="Q17" s="3057">
        <f t="shared" si="10"/>
        <v>4.5958338639783296</v>
      </c>
      <c r="R17" s="3514">
        <f t="shared" si="10"/>
        <v>2.1964250325876877</v>
      </c>
      <c r="S17" s="3514">
        <f t="shared" si="10"/>
        <v>-33.112804194278233</v>
      </c>
      <c r="T17" s="3514" t="str">
        <f t="shared" si="10"/>
        <v>NO</v>
      </c>
      <c r="U17" s="4262">
        <f t="shared" si="10"/>
        <v>-291.31052952813292</v>
      </c>
      <c r="W17" s="2048"/>
    </row>
    <row r="18" spans="2:23" ht="18" customHeight="1" x14ac:dyDescent="0.2">
      <c r="B18" s="478"/>
      <c r="C18" s="498" t="s">
        <v>409</v>
      </c>
      <c r="D18" s="3509">
        <f>IF(SUM(E18:F18)=0,E18,SUM(E18:F18))</f>
        <v>79.865462657393621</v>
      </c>
      <c r="E18" s="3510">
        <v>79.865462657393621</v>
      </c>
      <c r="F18" s="3496" t="s">
        <v>199</v>
      </c>
      <c r="G18" s="3500">
        <f t="shared" si="6"/>
        <v>1.3243380556922864</v>
      </c>
      <c r="H18" s="3057" t="str">
        <f t="shared" si="6"/>
        <v>NA</v>
      </c>
      <c r="I18" s="3057">
        <f t="shared" si="6"/>
        <v>1.3243380556922864</v>
      </c>
      <c r="J18" s="3057">
        <f t="shared" si="6"/>
        <v>5.7544697182729788E-2</v>
      </c>
      <c r="K18" s="3057">
        <f t="shared" si="6"/>
        <v>2.7501562746964837E-2</v>
      </c>
      <c r="L18" s="3057">
        <f t="shared" si="3"/>
        <v>-0.41460730449061994</v>
      </c>
      <c r="M18" s="3106" t="str">
        <f t="shared" si="4"/>
        <v>NA</v>
      </c>
      <c r="N18" s="2917">
        <v>105.76887153265757</v>
      </c>
      <c r="O18" s="2917" t="s">
        <v>274</v>
      </c>
      <c r="P18" s="3087">
        <f>IF(SUM(N18:O18)=0,N18,SUM(N18:O18))</f>
        <v>105.76887153265757</v>
      </c>
      <c r="Q18" s="2917">
        <v>4.5958338639783296</v>
      </c>
      <c r="R18" s="2918">
        <v>2.1964250325876877</v>
      </c>
      <c r="S18" s="2918">
        <v>-33.112804194278233</v>
      </c>
      <c r="T18" s="2918" t="s">
        <v>199</v>
      </c>
      <c r="U18" s="4262">
        <f t="shared" ref="U18" si="11">IF(SUM(P18:T18)=0,P18,SUM(P18:T18)*-44/12)</f>
        <v>-291.31052952813292</v>
      </c>
      <c r="W18" s="2424"/>
    </row>
    <row r="19" spans="2:23" ht="18" customHeight="1" x14ac:dyDescent="0.2">
      <c r="B19" s="477" t="s">
        <v>1345</v>
      </c>
      <c r="C19" s="494"/>
      <c r="D19" s="3504">
        <f>IF(SUM(D20:D22)=0,"IE",SUM(D20:D22))</f>
        <v>12149.646453889769</v>
      </c>
      <c r="E19" s="3512">
        <f t="shared" ref="E19:U19" si="12">IF(SUM(E20:E22)=0,"IE",SUM(E20:E22))</f>
        <v>12149.646453889769</v>
      </c>
      <c r="F19" s="3513" t="str">
        <f t="shared" si="12"/>
        <v>IE</v>
      </c>
      <c r="G19" s="3500">
        <f t="shared" si="6"/>
        <v>0.82663391993847912</v>
      </c>
      <c r="H19" s="3057" t="str">
        <f t="shared" si="6"/>
        <v>NA</v>
      </c>
      <c r="I19" s="3057">
        <f t="shared" si="6"/>
        <v>0.82663391993847912</v>
      </c>
      <c r="J19" s="3057">
        <f t="shared" si="6"/>
        <v>5.9280737313554516E-2</v>
      </c>
      <c r="K19" s="3057">
        <f t="shared" si="6"/>
        <v>4.2047578056204918E-2</v>
      </c>
      <c r="L19" s="3057">
        <f t="shared" si="3"/>
        <v>-0.21569027185390136</v>
      </c>
      <c r="M19" s="3106" t="str">
        <f t="shared" si="4"/>
        <v>NA</v>
      </c>
      <c r="N19" s="3057">
        <f t="shared" si="12"/>
        <v>10043.309874045543</v>
      </c>
      <c r="O19" s="3057" t="str">
        <f t="shared" si="12"/>
        <v>IE</v>
      </c>
      <c r="P19" s="3057">
        <f t="shared" si="12"/>
        <v>10043.309874045543</v>
      </c>
      <c r="Q19" s="3057">
        <f t="shared" si="12"/>
        <v>720.23999988559854</v>
      </c>
      <c r="R19" s="3514">
        <f t="shared" si="12"/>
        <v>510.86320762522331</v>
      </c>
      <c r="S19" s="3514">
        <f t="shared" si="12"/>
        <v>-2620.5605465682729</v>
      </c>
      <c r="T19" s="3514" t="str">
        <f t="shared" si="12"/>
        <v>IE</v>
      </c>
      <c r="U19" s="4262">
        <f t="shared" si="12"/>
        <v>-31730.792628289673</v>
      </c>
      <c r="W19" s="2048"/>
    </row>
    <row r="20" spans="2:23" ht="18" customHeight="1" x14ac:dyDescent="0.2">
      <c r="B20" s="486"/>
      <c r="C20" s="498" t="s">
        <v>1346</v>
      </c>
      <c r="D20" s="3509">
        <f>IF(SUM(E20:F20)=0,E20,SUM(E20:F20))</f>
        <v>3169.8889187223322</v>
      </c>
      <c r="E20" s="3510">
        <v>3169.8889187223322</v>
      </c>
      <c r="F20" s="3496" t="s">
        <v>199</v>
      </c>
      <c r="G20" s="3500">
        <f t="shared" si="6"/>
        <v>1.1927416044685912</v>
      </c>
      <c r="H20" s="3057" t="str">
        <f t="shared" si="6"/>
        <v>NA</v>
      </c>
      <c r="I20" s="3057">
        <f t="shared" si="6"/>
        <v>1.1927416044685912</v>
      </c>
      <c r="J20" s="3057">
        <f t="shared" si="6"/>
        <v>6.0861592408643445E-2</v>
      </c>
      <c r="K20" s="3057">
        <f t="shared" si="6"/>
        <v>2.6839247424490158E-2</v>
      </c>
      <c r="L20" s="3057">
        <f t="shared" si="3"/>
        <v>-0.43827700522773566</v>
      </c>
      <c r="M20" s="3106" t="str">
        <f t="shared" si="4"/>
        <v>NA</v>
      </c>
      <c r="N20" s="2917">
        <v>3780.8583949040822</v>
      </c>
      <c r="O20" s="2917" t="s">
        <v>274</v>
      </c>
      <c r="P20" s="3087">
        <f>IF(SUM(N20:O20)=0,N20,SUM(N20:O20))</f>
        <v>3780.8583949040822</v>
      </c>
      <c r="Q20" s="2917">
        <v>192.92448735195407</v>
      </c>
      <c r="R20" s="2918">
        <v>85.077432997738242</v>
      </c>
      <c r="S20" s="2918">
        <v>-1389.2894222022089</v>
      </c>
      <c r="T20" s="2918" t="s">
        <v>199</v>
      </c>
      <c r="U20" s="4262">
        <f t="shared" ref="U20:U22" si="13">IF(SUM(P20:T20)=0,P20,SUM(P20:T20)*-44/12)</f>
        <v>-9788.4266078557412</v>
      </c>
      <c r="W20" s="2424"/>
    </row>
    <row r="21" spans="2:23" ht="18" customHeight="1" x14ac:dyDescent="0.2">
      <c r="B21" s="490"/>
      <c r="C21" s="498" t="s">
        <v>1347</v>
      </c>
      <c r="D21" s="3509">
        <f>IF(SUM(E21:F21)=0,E21,SUM(E21:F21))</f>
        <v>8979.7575351674368</v>
      </c>
      <c r="E21" s="3510">
        <v>8979.7575351674368</v>
      </c>
      <c r="F21" s="3496" t="s">
        <v>199</v>
      </c>
      <c r="G21" s="3500">
        <f t="shared" si="6"/>
        <v>0.69733079565926748</v>
      </c>
      <c r="H21" s="3057" t="str">
        <f t="shared" si="6"/>
        <v>NA</v>
      </c>
      <c r="I21" s="3057">
        <f t="shared" si="6"/>
        <v>0.69733079565926748</v>
      </c>
      <c r="J21" s="3057">
        <f t="shared" si="6"/>
        <v>5.8713631689912969E-2</v>
      </c>
      <c r="K21" s="3057">
        <f t="shared" si="6"/>
        <v>4.7416177214137427E-2</v>
      </c>
      <c r="L21" s="3057">
        <f t="shared" si="3"/>
        <v>-0.13711629958203606</v>
      </c>
      <c r="M21" s="3106" t="str">
        <f t="shared" si="4"/>
        <v>NA</v>
      </c>
      <c r="N21" s="2917">
        <v>6261.8614668256114</v>
      </c>
      <c r="O21" s="2917" t="s">
        <v>274</v>
      </c>
      <c r="P21" s="3087">
        <f t="shared" ref="P21:P28" si="14">IF(SUM(N21:O21)=0,N21,SUM(N21:O21))</f>
        <v>6261.8614668256114</v>
      </c>
      <c r="Q21" s="2917">
        <v>527.23417658454161</v>
      </c>
      <c r="R21" s="2918">
        <v>425.78577462748507</v>
      </c>
      <c r="S21" s="2918">
        <v>-1231.271124366064</v>
      </c>
      <c r="T21" s="2918" t="s">
        <v>199</v>
      </c>
      <c r="U21" s="4262">
        <f t="shared" si="13"/>
        <v>-21939.904410129104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0.59001231585028935</v>
      </c>
      <c r="O22" s="2917" t="s">
        <v>274</v>
      </c>
      <c r="P22" s="3087">
        <f t="shared" si="14"/>
        <v>0.59001231585028935</v>
      </c>
      <c r="Q22" s="2917">
        <v>8.1335949102799066E-2</v>
      </c>
      <c r="R22" s="2918" t="s">
        <v>205</v>
      </c>
      <c r="S22" s="2918" t="s">
        <v>205</v>
      </c>
      <c r="T22" s="2918" t="s">
        <v>205</v>
      </c>
      <c r="U22" s="4262">
        <f t="shared" si="13"/>
        <v>-2.4616103048279907</v>
      </c>
      <c r="W22" s="2424"/>
    </row>
    <row r="23" spans="2:23" ht="18" customHeight="1" x14ac:dyDescent="0.2">
      <c r="B23" s="477" t="s">
        <v>1348</v>
      </c>
      <c r="C23" s="494"/>
      <c r="D23" s="3509">
        <f>D24</f>
        <v>160.98475178393659</v>
      </c>
      <c r="E23" s="3512" t="str">
        <f t="shared" ref="E23" si="15">E24</f>
        <v>NO</v>
      </c>
      <c r="F23" s="3513">
        <f t="shared" ref="F23" si="16">F24</f>
        <v>160.98475178393659</v>
      </c>
      <c r="G23" s="3500">
        <f t="shared" si="6"/>
        <v>7.3948080240687197</v>
      </c>
      <c r="H23" s="3057" t="str">
        <f t="shared" si="6"/>
        <v>NA</v>
      </c>
      <c r="I23" s="3057">
        <f t="shared" si="6"/>
        <v>7.3948080240687197</v>
      </c>
      <c r="J23" s="3057">
        <f t="shared" si="6"/>
        <v>-0.61072101225700859</v>
      </c>
      <c r="K23" s="3057">
        <f t="shared" si="6"/>
        <v>0.20807067671058152</v>
      </c>
      <c r="L23" s="3057" t="str">
        <f t="shared" si="3"/>
        <v>NA</v>
      </c>
      <c r="M23" s="3106">
        <f t="shared" si="4"/>
        <v>3.0498098444419995E-2</v>
      </c>
      <c r="N23" s="3057">
        <f t="shared" ref="N23" si="17">N24</f>
        <v>1190.4513342445655</v>
      </c>
      <c r="O23" s="3057" t="str">
        <f t="shared" ref="O23" si="18">O24</f>
        <v>IE</v>
      </c>
      <c r="P23" s="3057">
        <f t="shared" ref="P23" si="19">P24</f>
        <v>1190.4513342445655</v>
      </c>
      <c r="Q23" s="3057">
        <f t="shared" ref="Q23" si="20">Q24</f>
        <v>-98.316770567429018</v>
      </c>
      <c r="R23" s="3514">
        <f t="shared" ref="R23" si="21">R24</f>
        <v>33.496206243768682</v>
      </c>
      <c r="S23" s="3514" t="str">
        <f t="shared" ref="S23" si="22">S24</f>
        <v>NO</v>
      </c>
      <c r="T23" s="3514">
        <f t="shared" ref="T23" si="23">T24</f>
        <v>4.9097288079570154</v>
      </c>
      <c r="U23" s="4262">
        <f t="shared" ref="U23" si="24">U24</f>
        <v>-4145.3151620058279</v>
      </c>
      <c r="W23" s="2048"/>
    </row>
    <row r="24" spans="2:23" ht="18" customHeight="1" x14ac:dyDescent="0.2">
      <c r="B24" s="478"/>
      <c r="C24" s="498" t="s">
        <v>409</v>
      </c>
      <c r="D24" s="3509">
        <f>IF(SUM(E24:F24)=0,E24,SUM(E24:F24))</f>
        <v>160.98475178393659</v>
      </c>
      <c r="E24" s="3510" t="s">
        <v>199</v>
      </c>
      <c r="F24" s="3496">
        <v>160.98475178393659</v>
      </c>
      <c r="G24" s="3500">
        <f t="shared" si="6"/>
        <v>7.3948080240687197</v>
      </c>
      <c r="H24" s="3057" t="str">
        <f t="shared" si="6"/>
        <v>NA</v>
      </c>
      <c r="I24" s="3057">
        <f t="shared" si="6"/>
        <v>7.3948080240687197</v>
      </c>
      <c r="J24" s="3057">
        <f t="shared" si="6"/>
        <v>-0.61072101225700859</v>
      </c>
      <c r="K24" s="3057">
        <f t="shared" si="6"/>
        <v>0.20807067671058152</v>
      </c>
      <c r="L24" s="3057" t="str">
        <f t="shared" si="3"/>
        <v>NA</v>
      </c>
      <c r="M24" s="3106">
        <f t="shared" si="4"/>
        <v>3.0498098444419995E-2</v>
      </c>
      <c r="N24" s="2917">
        <v>1190.4513342445655</v>
      </c>
      <c r="O24" s="2917" t="s">
        <v>274</v>
      </c>
      <c r="P24" s="3087">
        <f t="shared" si="14"/>
        <v>1190.4513342445655</v>
      </c>
      <c r="Q24" s="2917">
        <v>-98.316770567429018</v>
      </c>
      <c r="R24" s="2918">
        <v>33.496206243768682</v>
      </c>
      <c r="S24" s="2918" t="s">
        <v>199</v>
      </c>
      <c r="T24" s="2918">
        <v>4.9097288079570154</v>
      </c>
      <c r="U24" s="4262">
        <f t="shared" ref="U24" si="25">IF(SUM(P24:T24)=0,P24,SUM(P24:T24)*-44/12)</f>
        <v>-4145.3151620058279</v>
      </c>
      <c r="W24" s="2424"/>
    </row>
    <row r="25" spans="2:23" ht="18" customHeight="1" x14ac:dyDescent="0.2">
      <c r="B25" s="477" t="s">
        <v>1349</v>
      </c>
      <c r="C25" s="494"/>
      <c r="D25" s="3509">
        <f>D26</f>
        <v>63.07774265209833</v>
      </c>
      <c r="E25" s="3512">
        <f t="shared" ref="E25" si="26">E26</f>
        <v>63.07774265209833</v>
      </c>
      <c r="F25" s="3513" t="str">
        <f t="shared" ref="F25" si="27">F26</f>
        <v>NO</v>
      </c>
      <c r="G25" s="3500">
        <f t="shared" si="6"/>
        <v>1.6113030788815346</v>
      </c>
      <c r="H25" s="3057" t="str">
        <f t="shared" si="6"/>
        <v>NA</v>
      </c>
      <c r="I25" s="3057">
        <f t="shared" si="6"/>
        <v>1.6113030788815346</v>
      </c>
      <c r="J25" s="3057">
        <f t="shared" si="6"/>
        <v>8.9284587500570015E-2</v>
      </c>
      <c r="K25" s="3057">
        <f t="shared" si="6"/>
        <v>4.7903946068530961E-2</v>
      </c>
      <c r="L25" s="3057">
        <f t="shared" si="3"/>
        <v>-0.70425091306911769</v>
      </c>
      <c r="M25" s="3106" t="str">
        <f t="shared" si="4"/>
        <v>NA</v>
      </c>
      <c r="N25" s="3057">
        <f t="shared" ref="N25" si="28">N26</f>
        <v>101.63736094422313</v>
      </c>
      <c r="O25" s="3057" t="str">
        <f t="shared" ref="O25" si="29">O26</f>
        <v>IE</v>
      </c>
      <c r="P25" s="3057">
        <f t="shared" ref="P25" si="30">P26</f>
        <v>101.63736094422313</v>
      </c>
      <c r="Q25" s="3057">
        <f t="shared" ref="Q25" si="31">Q26</f>
        <v>5.6318702331597104</v>
      </c>
      <c r="R25" s="3514">
        <f t="shared" ref="R25" si="32">R26</f>
        <v>3.0216727821307936</v>
      </c>
      <c r="S25" s="3514">
        <f t="shared" ref="S25" si="33">S26</f>
        <v>-44.422557857079077</v>
      </c>
      <c r="T25" s="3514" t="str">
        <f t="shared" ref="T25" si="34">T26</f>
        <v>NO</v>
      </c>
      <c r="U25" s="4262">
        <f t="shared" ref="U25" si="35">U26</f>
        <v>-241.5172690422601</v>
      </c>
      <c r="W25" s="2048"/>
    </row>
    <row r="26" spans="2:23" ht="18" customHeight="1" x14ac:dyDescent="0.2">
      <c r="B26" s="478"/>
      <c r="C26" s="498" t="s">
        <v>409</v>
      </c>
      <c r="D26" s="3509">
        <f>IF(SUM(E26:F26)=0,E26,SUM(E26:F26))</f>
        <v>63.07774265209833</v>
      </c>
      <c r="E26" s="3510">
        <v>63.07774265209833</v>
      </c>
      <c r="F26" s="3496" t="s">
        <v>199</v>
      </c>
      <c r="G26" s="3500">
        <f t="shared" si="6"/>
        <v>1.6113030788815346</v>
      </c>
      <c r="H26" s="3057" t="str">
        <f t="shared" si="6"/>
        <v>NA</v>
      </c>
      <c r="I26" s="3057">
        <f t="shared" si="6"/>
        <v>1.6113030788815346</v>
      </c>
      <c r="J26" s="3057">
        <f t="shared" si="6"/>
        <v>8.9284587500570015E-2</v>
      </c>
      <c r="K26" s="3057">
        <f t="shared" si="6"/>
        <v>4.7903946068530961E-2</v>
      </c>
      <c r="L26" s="3057">
        <f t="shared" si="3"/>
        <v>-0.70425091306911769</v>
      </c>
      <c r="M26" s="3106" t="str">
        <f t="shared" si="4"/>
        <v>NA</v>
      </c>
      <c r="N26" s="2917">
        <v>101.63736094422313</v>
      </c>
      <c r="O26" s="2917" t="s">
        <v>274</v>
      </c>
      <c r="P26" s="3087">
        <f t="shared" si="14"/>
        <v>101.63736094422313</v>
      </c>
      <c r="Q26" s="2917">
        <v>5.6318702331597104</v>
      </c>
      <c r="R26" s="2918">
        <v>3.0216727821307936</v>
      </c>
      <c r="S26" s="2918">
        <v>-44.422557857079077</v>
      </c>
      <c r="T26" s="2918" t="s">
        <v>199</v>
      </c>
      <c r="U26" s="4262">
        <f t="shared" ref="U26" si="36">IF(SUM(P26:T26)=0,P26,SUM(P26:T26)*-44/12)</f>
        <v>-241.5172690422601</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39990.882659185932</v>
      </c>
      <c r="E10" s="3523">
        <f t="shared" ref="E10:F10" si="0">IF(SUM(E11,E13)=0,"IE",SUM(E11,E13))</f>
        <v>39987.882659185932</v>
      </c>
      <c r="F10" s="3524">
        <f t="shared" si="0"/>
        <v>3</v>
      </c>
      <c r="G10" s="3500" t="str">
        <f>IFERROR(IF(SUM($D10)=0,"NA",M10/$D10),"NA")</f>
        <v>NA</v>
      </c>
      <c r="H10" s="3523">
        <f t="shared" ref="H10:J10" si="1">IFERROR(IF(SUM($D10)=0,"NA",N10/$D10),"NA")</f>
        <v>-1.2389461998280261E-2</v>
      </c>
      <c r="I10" s="3523">
        <f t="shared" si="1"/>
        <v>-1.2389461998280261E-2</v>
      </c>
      <c r="J10" s="3523">
        <f t="shared" si="1"/>
        <v>-2.8781680490318827E-3</v>
      </c>
      <c r="K10" s="3525">
        <f>IFERROR(IF(SUM(E10)=0,"NA",Q10/E10),"NA")</f>
        <v>1.8922146657176481E-2</v>
      </c>
      <c r="L10" s="3524">
        <f>IFERROR(IF(SUM(F10)=0,"NA",R10/F10),"NA")</f>
        <v>-12.475</v>
      </c>
      <c r="M10" s="3526" t="str">
        <f>IF(SUM(M11,M13)=0,"IE",SUM(M11,M13))</f>
        <v>IE</v>
      </c>
      <c r="N10" s="3523">
        <f t="shared" ref="N10:S10" si="2">IF(SUM(N11,N13)=0,"IE",SUM(N11,N13))</f>
        <v>-495.46552098366919</v>
      </c>
      <c r="O10" s="3527">
        <f t="shared" si="2"/>
        <v>-495.46552098366919</v>
      </c>
      <c r="P10" s="3523">
        <f t="shared" si="2"/>
        <v>-115.10048072225212</v>
      </c>
      <c r="Q10" s="3525">
        <f t="shared" si="2"/>
        <v>756.65658018708041</v>
      </c>
      <c r="R10" s="3525">
        <f t="shared" si="2"/>
        <v>-37.424999999999997</v>
      </c>
      <c r="S10" s="3528">
        <f t="shared" si="2"/>
        <v>-398.44045443091727</v>
      </c>
      <c r="U10" s="2287"/>
    </row>
    <row r="11" spans="2:21" ht="18" customHeight="1" x14ac:dyDescent="0.2">
      <c r="B11" s="489" t="s">
        <v>1256</v>
      </c>
      <c r="C11" s="2282"/>
      <c r="D11" s="3529">
        <f>D12</f>
        <v>37702.281127982002</v>
      </c>
      <c r="E11" s="3057">
        <f t="shared" ref="E11" si="3">E12</f>
        <v>37702.281127982002</v>
      </c>
      <c r="F11" s="3057" t="str">
        <f t="shared" ref="F11" si="4">F12</f>
        <v>IE</v>
      </c>
      <c r="G11" s="3500" t="str">
        <f t="shared" ref="G11:G23" si="5">IFERROR(IF(SUM($D11)=0,"NA",M11/$D11),"NA")</f>
        <v>NA</v>
      </c>
      <c r="H11" s="3057">
        <f t="shared" ref="H11:H23" si="6">IFERROR(IF(SUM($D11)=0,"NA",N11/$D11),"NA")</f>
        <v>-1.0816637309105492E-4</v>
      </c>
      <c r="I11" s="3057">
        <f t="shared" ref="I11:I23" si="7">IFERROR(IF(SUM($D11)=0,"NA",O11/$D11),"NA")</f>
        <v>-1.0816637309105492E-4</v>
      </c>
      <c r="J11" s="3057" t="str">
        <f t="shared" ref="J11:J23" si="8">IFERROR(IF(SUM($D11)=0,"NA",P11/$D11),"NA")</f>
        <v>NA</v>
      </c>
      <c r="K11" s="3514">
        <f t="shared" ref="K11:K23" si="9">IFERROR(IF(SUM(E11)=0,"NA",Q11/E11),"NA")</f>
        <v>3.0947233586008625E-2</v>
      </c>
      <c r="L11" s="3106" t="str">
        <f t="shared" ref="L11:L23" si="10">IFERROR(IF(SUM(F11)=0,"NA",R11/F11),"NA")</f>
        <v>NA</v>
      </c>
      <c r="M11" s="3530" t="str">
        <f t="shared" ref="M11" si="11">M12</f>
        <v>IE</v>
      </c>
      <c r="N11" s="3531">
        <f t="shared" ref="N11" si="12">N12</f>
        <v>-4.0781190068731403</v>
      </c>
      <c r="O11" s="3532">
        <f t="shared" ref="O11" si="13">O12</f>
        <v>-4.0781190068731403</v>
      </c>
      <c r="P11" s="3531" t="str">
        <f t="shared" ref="P11" si="14">P12</f>
        <v>NA</v>
      </c>
      <c r="Q11" s="3533">
        <f t="shared" ref="Q11" si="15">Q12</f>
        <v>1166.7813007930238</v>
      </c>
      <c r="R11" s="3533" t="str">
        <f t="shared" ref="R11" si="16">R12</f>
        <v>IE</v>
      </c>
      <c r="S11" s="3534">
        <f t="shared" ref="S11" si="17">S12</f>
        <v>-4263.2449998825532</v>
      </c>
      <c r="U11" s="2284"/>
    </row>
    <row r="12" spans="2:21" ht="18" customHeight="1" x14ac:dyDescent="0.2">
      <c r="B12" s="491"/>
      <c r="C12" s="498" t="s">
        <v>409</v>
      </c>
      <c r="D12" s="3509">
        <f>IF(SUM(E12:F12)=0,E12,SUM(E12:F12))</f>
        <v>37702.281127982002</v>
      </c>
      <c r="E12" s="3510">
        <v>37702.281127982002</v>
      </c>
      <c r="F12" s="3496" t="s">
        <v>274</v>
      </c>
      <c r="G12" s="3500" t="str">
        <f t="shared" si="5"/>
        <v>NA</v>
      </c>
      <c r="H12" s="3057">
        <f t="shared" si="6"/>
        <v>-1.0816637309105492E-4</v>
      </c>
      <c r="I12" s="3057">
        <f t="shared" si="7"/>
        <v>-1.0816637309105492E-4</v>
      </c>
      <c r="J12" s="3057" t="str">
        <f t="shared" si="8"/>
        <v>NA</v>
      </c>
      <c r="K12" s="3514">
        <f t="shared" si="9"/>
        <v>3.0947233586008625E-2</v>
      </c>
      <c r="L12" s="3106" t="str">
        <f t="shared" si="10"/>
        <v>NA</v>
      </c>
      <c r="M12" s="2917" t="s">
        <v>274</v>
      </c>
      <c r="N12" s="2917">
        <v>-4.0781190068731403</v>
      </c>
      <c r="O12" s="3087">
        <f>IF(SUM(M12:N12)=0,M12,SUM(M12:N12))</f>
        <v>-4.0781190068731403</v>
      </c>
      <c r="P12" s="2917" t="s">
        <v>205</v>
      </c>
      <c r="Q12" s="2918">
        <v>1166.7813007930238</v>
      </c>
      <c r="R12" s="2918" t="s">
        <v>274</v>
      </c>
      <c r="S12" s="3534">
        <f>IF(SUM(O12:R12)=0,Q12,SUM(O12:R12)*-44/12)</f>
        <v>-4263.2449998825532</v>
      </c>
      <c r="U12" s="2424"/>
    </row>
    <row r="13" spans="2:21" ht="18" customHeight="1" x14ac:dyDescent="0.2">
      <c r="B13" s="475" t="s">
        <v>1375</v>
      </c>
      <c r="C13" s="494"/>
      <c r="D13" s="3529">
        <f>IF(SUM(D14,D16,D18,D20,D22)=0,"IE",SUM(D14,D16,D18,D20,D22))</f>
        <v>2288.6015312039335</v>
      </c>
      <c r="E13" s="3531">
        <f t="shared" ref="E13:F13" si="18">IF(SUM(E14,E16,E18,E20,E22)=0,"IE",SUM(E14,E16,E18,E20,E22))</f>
        <v>2285.6015312039335</v>
      </c>
      <c r="F13" s="3535">
        <f t="shared" si="18"/>
        <v>3</v>
      </c>
      <c r="G13" s="3500" t="str">
        <f t="shared" si="5"/>
        <v>NA</v>
      </c>
      <c r="H13" s="3057">
        <f t="shared" si="6"/>
        <v>-0.21471077217985543</v>
      </c>
      <c r="I13" s="3057">
        <f t="shared" si="7"/>
        <v>-0.21471077217985543</v>
      </c>
      <c r="J13" s="3057">
        <f t="shared" si="8"/>
        <v>-5.0292931798268423E-2</v>
      </c>
      <c r="K13" s="3514">
        <f t="shared" si="9"/>
        <v>-0.17943841697984492</v>
      </c>
      <c r="L13" s="3106">
        <f t="shared" si="10"/>
        <v>-12.475</v>
      </c>
      <c r="M13" s="3530" t="str">
        <f>IF(SUM(M14,M16,M18,M20,M22)=0,"IE",SUM(M14,M16,M18,M20,M22))</f>
        <v>IE</v>
      </c>
      <c r="N13" s="3531">
        <f t="shared" ref="N13" si="19">IF(SUM(N14,N16,N18,N20,N22)=0,"IE",SUM(N14,N16,N18,N20,N22))</f>
        <v>-491.38740197679607</v>
      </c>
      <c r="O13" s="3532">
        <f t="shared" ref="O13" si="20">IF(SUM(O14,O16,O18,O20,O22)=0,"IE",SUM(O14,O16,O18,O20,O22))</f>
        <v>-491.38740197679607</v>
      </c>
      <c r="P13" s="3532">
        <f t="shared" ref="P13" si="21">IF(SUM(P14,P16,P18,P20,P22)=0,"IE",SUM(P14,P16,P18,P20,P22))</f>
        <v>-115.10048072225212</v>
      </c>
      <c r="Q13" s="3532">
        <f t="shared" ref="Q13" si="22">IF(SUM(Q14,Q16,Q18,Q20,Q22)=0,"IE",SUM(Q14,Q16,Q18,Q20,Q22))</f>
        <v>-410.12472060594342</v>
      </c>
      <c r="R13" s="3532">
        <f t="shared" ref="R13" si="23">IF(SUM(R14,R16,R18,R20,R22)=0,"IE",SUM(R14,R16,R18,R20,R22))</f>
        <v>-37.424999999999997</v>
      </c>
      <c r="S13" s="3534">
        <f t="shared" ref="S13" si="24">IF(SUM(S14,S16,S18,S20,S22)=0,"IE",SUM(S14,S16,S18,S20,S22))</f>
        <v>3864.8045454516359</v>
      </c>
      <c r="U13" s="493"/>
    </row>
    <row r="14" spans="2:21" ht="18" customHeight="1" x14ac:dyDescent="0.2">
      <c r="B14" s="477" t="s">
        <v>1376</v>
      </c>
      <c r="C14" s="494"/>
      <c r="D14" s="3529">
        <f>D15</f>
        <v>2275.9405901761215</v>
      </c>
      <c r="E14" s="3057">
        <f t="shared" ref="E14" si="25">E15</f>
        <v>2275.9405901761215</v>
      </c>
      <c r="F14" s="3057" t="str">
        <f t="shared" ref="F14" si="26">F15</f>
        <v>IE</v>
      </c>
      <c r="G14" s="3500" t="str">
        <f t="shared" si="5"/>
        <v>NA</v>
      </c>
      <c r="H14" s="3057">
        <f t="shared" si="6"/>
        <v>-0.21590519721728349</v>
      </c>
      <c r="I14" s="3057">
        <f t="shared" si="7"/>
        <v>-0.21590519721728349</v>
      </c>
      <c r="J14" s="3057">
        <f t="shared" si="8"/>
        <v>-5.0572708804031294E-2</v>
      </c>
      <c r="K14" s="3514">
        <f t="shared" si="9"/>
        <v>-0.16779917176673184</v>
      </c>
      <c r="L14" s="3106" t="str">
        <f t="shared" si="10"/>
        <v>NA</v>
      </c>
      <c r="M14" s="3530" t="str">
        <f t="shared" ref="M14" si="27">M15</f>
        <v>IE</v>
      </c>
      <c r="N14" s="3531">
        <f t="shared" ref="N14" si="28">N15</f>
        <v>-491.38740197679607</v>
      </c>
      <c r="O14" s="3532">
        <f t="shared" ref="O14" si="29">O15</f>
        <v>-491.38740197679607</v>
      </c>
      <c r="P14" s="3531">
        <f t="shared" ref="P14" si="30">P15</f>
        <v>-115.10048072225212</v>
      </c>
      <c r="Q14" s="3533">
        <f t="shared" ref="Q14" si="31">Q15</f>
        <v>-381.90094602184007</v>
      </c>
      <c r="R14" s="3533" t="str">
        <f t="shared" ref="R14" si="32">R15</f>
        <v>IE</v>
      </c>
      <c r="S14" s="3534">
        <f t="shared" ref="S14" si="33">S15</f>
        <v>3624.0923719765906</v>
      </c>
      <c r="U14" s="493"/>
    </row>
    <row r="15" spans="2:21" ht="18" customHeight="1" x14ac:dyDescent="0.2">
      <c r="B15" s="491"/>
      <c r="C15" s="498" t="s">
        <v>409</v>
      </c>
      <c r="D15" s="3509">
        <f>IF(SUM(E15:F15)=0,E15,SUM(E15:F15))</f>
        <v>2275.9405901761215</v>
      </c>
      <c r="E15" s="3510">
        <v>2275.9405901761215</v>
      </c>
      <c r="F15" s="3496" t="s">
        <v>274</v>
      </c>
      <c r="G15" s="3500" t="str">
        <f t="shared" si="5"/>
        <v>NA</v>
      </c>
      <c r="H15" s="3057">
        <f t="shared" si="6"/>
        <v>-0.21590519721728349</v>
      </c>
      <c r="I15" s="3057">
        <f t="shared" si="7"/>
        <v>-0.21590519721728349</v>
      </c>
      <c r="J15" s="3057">
        <f t="shared" si="8"/>
        <v>-5.0572708804031294E-2</v>
      </c>
      <c r="K15" s="3514">
        <f t="shared" si="9"/>
        <v>-0.16779917176673184</v>
      </c>
      <c r="L15" s="3106" t="str">
        <f t="shared" si="10"/>
        <v>NA</v>
      </c>
      <c r="M15" s="2917" t="s">
        <v>274</v>
      </c>
      <c r="N15" s="2917">
        <v>-491.38740197679607</v>
      </c>
      <c r="O15" s="3087">
        <f>IF(SUM(M15:N15)=0,M15,SUM(M15:N15))</f>
        <v>-491.38740197679607</v>
      </c>
      <c r="P15" s="2917">
        <v>-115.10048072225212</v>
      </c>
      <c r="Q15" s="2918">
        <v>-381.90094602184007</v>
      </c>
      <c r="R15" s="2918" t="s">
        <v>274</v>
      </c>
      <c r="S15" s="3534">
        <f>IF(SUM(O15:R15)=0,Q15,SUM(O15:R15)*-44/12)</f>
        <v>3624.0923719765906</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517244.88004803506</v>
      </c>
      <c r="E10" s="3523">
        <f t="shared" ref="E10:F10" si="0">IF(SUM(E11,E15)=0,"IE",SUM(E11,E15))</f>
        <v>517243.88004803506</v>
      </c>
      <c r="F10" s="3524">
        <f t="shared" si="0"/>
        <v>1</v>
      </c>
      <c r="G10" s="3500">
        <f>IFERROR(IF(SUM($D10)=0,"NA",M10/$D10),"NA")</f>
        <v>2.2177763386245402E-3</v>
      </c>
      <c r="H10" s="3523">
        <f t="shared" ref="H10:J10" si="1">IFERROR(IF(SUM($D10)=0,"NA",N10/$D10),"NA")</f>
        <v>-1.6964626242465173E-2</v>
      </c>
      <c r="I10" s="3523">
        <f t="shared" si="1"/>
        <v>-1.474684990384063E-2</v>
      </c>
      <c r="J10" s="3523">
        <f t="shared" si="1"/>
        <v>-2.0495487188486507E-3</v>
      </c>
      <c r="K10" s="3525">
        <f>IFERROR(IF(SUM(E10)=0,"NA",Q10/E10),"NA")</f>
        <v>-3.0252921597596571E-3</v>
      </c>
      <c r="L10" s="3524">
        <f>IFERROR(IF(SUM(F10)=0,"NA",R10/F10),"NA")</f>
        <v>-8.7249999999999996</v>
      </c>
      <c r="M10" s="3526">
        <f>IF(SUM(M11,M15)=0,"IE",SUM(M11,M15))</f>
        <v>1147.1334562452207</v>
      </c>
      <c r="N10" s="3523">
        <f t="shared" ref="N10:S10" si="2">IF(SUM(N11,N15)=0,"IE",SUM(N11,N15))</f>
        <v>-8774.8660658436456</v>
      </c>
      <c r="O10" s="3527">
        <f t="shared" si="2"/>
        <v>-7627.7326095984245</v>
      </c>
      <c r="P10" s="3523">
        <f t="shared" si="2"/>
        <v>-1060.1185812334743</v>
      </c>
      <c r="Q10" s="3525">
        <f t="shared" si="2"/>
        <v>-1564.8138549929849</v>
      </c>
      <c r="R10" s="3525">
        <f t="shared" si="2"/>
        <v>-8.7249999999999996</v>
      </c>
      <c r="S10" s="3528">
        <f t="shared" si="2"/>
        <v>37625.096834691241</v>
      </c>
      <c r="U10" s="2287"/>
    </row>
    <row r="11" spans="2:21" ht="18" customHeight="1" x14ac:dyDescent="0.2">
      <c r="B11" s="483" t="s">
        <v>1259</v>
      </c>
      <c r="C11" s="473"/>
      <c r="D11" s="3539">
        <f>IF(SUM(D12:D14)=0,"IE",SUM(D12:D14))</f>
        <v>503862.54169466603</v>
      </c>
      <c r="E11" s="3505">
        <f t="shared" ref="E11:F11" si="3">IF(SUM(E12:E14)=0,"IE",SUM(E12:E14))</f>
        <v>503862.54169466603</v>
      </c>
      <c r="F11" s="3506" t="str">
        <f t="shared" si="3"/>
        <v>IE</v>
      </c>
      <c r="G11" s="3539">
        <f t="shared" ref="G11:G26" si="4">IFERROR(IF(SUM($D11)=0,"NA",M11/$D11),"NA")</f>
        <v>2.2766793744718739E-3</v>
      </c>
      <c r="H11" s="3087" t="str">
        <f t="shared" ref="H11:H26" si="5">IFERROR(IF(SUM($D11)=0,"NA",N11/$D11),"NA")</f>
        <v>NA</v>
      </c>
      <c r="I11" s="3087">
        <f t="shared" ref="I11:I26" si="6">IFERROR(IF(SUM($D11)=0,"NA",O11/$D11),"NA")</f>
        <v>2.2766793744718739E-3</v>
      </c>
      <c r="J11" s="3087">
        <f t="shared" ref="J11:J26" si="7">IFERROR(IF(SUM($D11)=0,"NA",P11/$D11),"NA")</f>
        <v>6.123975094919793E-4</v>
      </c>
      <c r="K11" s="3507">
        <f t="shared" ref="K11:K26" si="8">IFERROR(IF(SUM(E11)=0,"NA",Q11/E11),"NA")</f>
        <v>1.9427064761921107E-3</v>
      </c>
      <c r="L11" s="3216" t="str">
        <f t="shared" ref="L11:L26" si="9">IFERROR(IF(SUM(F11)=0,"NA",R11/F11),"NA")</f>
        <v>NA</v>
      </c>
      <c r="M11" s="3087">
        <f>IF(SUM(M12:M14)=0,"IE",SUM(M12:M14))</f>
        <v>1147.1334562452207</v>
      </c>
      <c r="N11" s="3087" t="str">
        <f t="shared" ref="N11:O11" si="10">IF(SUM(N12:N14)=0,"IE",SUM(N12:N14))</f>
        <v>IE</v>
      </c>
      <c r="O11" s="3087">
        <f t="shared" si="10"/>
        <v>1147.1334562452207</v>
      </c>
      <c r="P11" s="3087">
        <f t="shared" ref="P11" si="11">IF(SUM(P12:P14)=0,"IE",SUM(P12:P14))</f>
        <v>308.56416566011205</v>
      </c>
      <c r="Q11" s="3507">
        <f t="shared" ref="Q11" si="12">IF(SUM(Q12:Q14)=0,"IE",SUM(Q12:Q14))</f>
        <v>978.85702286084506</v>
      </c>
      <c r="R11" s="3507" t="str">
        <f t="shared" ref="R11" si="13">IF(SUM(R12:R14)=0,"IE",SUM(R12:R14))</f>
        <v>IE</v>
      </c>
      <c r="S11" s="3508">
        <f t="shared" ref="S11" si="14">IF(SUM(S12:S14)=0,"IE",SUM(S12:S14))</f>
        <v>-8926.7003641426527</v>
      </c>
      <c r="U11" s="2423"/>
    </row>
    <row r="12" spans="2:21" ht="18" customHeight="1" x14ac:dyDescent="0.2">
      <c r="B12" s="489"/>
      <c r="C12" s="474" t="s">
        <v>1391</v>
      </c>
      <c r="D12" s="3500">
        <f>IF(SUM(E12:F12)=0,E12,SUM(E12:F12))</f>
        <v>69820.727480068104</v>
      </c>
      <c r="E12" s="3510">
        <v>69820.727480068104</v>
      </c>
      <c r="F12" s="3496" t="s">
        <v>274</v>
      </c>
      <c r="G12" s="3500">
        <f t="shared" si="4"/>
        <v>1.00151892100782E-2</v>
      </c>
      <c r="H12" s="3057" t="str">
        <f t="shared" si="5"/>
        <v>NA</v>
      </c>
      <c r="I12" s="3057">
        <f t="shared" si="6"/>
        <v>1.00151892100782E-2</v>
      </c>
      <c r="J12" s="3057">
        <f t="shared" si="7"/>
        <v>2.0030378420156396E-3</v>
      </c>
      <c r="K12" s="3514">
        <f t="shared" si="8"/>
        <v>8.0121513680625582E-3</v>
      </c>
      <c r="L12" s="3106" t="str">
        <f t="shared" si="9"/>
        <v>NA</v>
      </c>
      <c r="M12" s="2917">
        <v>699.26779649818855</v>
      </c>
      <c r="N12" s="2917" t="s">
        <v>274</v>
      </c>
      <c r="O12" s="3087">
        <f>IF(SUM(M12:N12)=0,M12,SUM(M12:N12))</f>
        <v>699.26779649818855</v>
      </c>
      <c r="P12" s="2917">
        <v>139.85355929963768</v>
      </c>
      <c r="Q12" s="2918">
        <v>559.41423719855072</v>
      </c>
      <c r="R12" s="2918" t="s">
        <v>274</v>
      </c>
      <c r="S12" s="3511">
        <f>IF(SUM(O12:R12)=0,Q12,SUM(O12:R12)*-44/12)</f>
        <v>-5127.9638409867157</v>
      </c>
      <c r="U12" s="2424"/>
    </row>
    <row r="13" spans="2:21" ht="18" customHeight="1" x14ac:dyDescent="0.2">
      <c r="B13" s="489"/>
      <c r="C13" s="474" t="s">
        <v>1392</v>
      </c>
      <c r="D13" s="3500">
        <f>IF(SUM(E13:F13)=0,E13,SUM(E13:F13))</f>
        <v>434041.81421459792</v>
      </c>
      <c r="E13" s="3510">
        <v>434041.81421459792</v>
      </c>
      <c r="F13" s="3496" t="s">
        <v>274</v>
      </c>
      <c r="G13" s="3500" t="str">
        <f t="shared" si="4"/>
        <v>NA</v>
      </c>
      <c r="H13" s="3057" t="str">
        <f t="shared" si="5"/>
        <v>NA</v>
      </c>
      <c r="I13" s="3057" t="str">
        <f t="shared" si="6"/>
        <v>NA</v>
      </c>
      <c r="J13" s="3057" t="str">
        <f t="shared" si="7"/>
        <v>NA</v>
      </c>
      <c r="K13" s="3514">
        <f t="shared" si="8"/>
        <v>9.6636492597211956E-4</v>
      </c>
      <c r="L13" s="3106" t="str">
        <f t="shared" si="9"/>
        <v>NA</v>
      </c>
      <c r="M13" s="2917" t="s">
        <v>205</v>
      </c>
      <c r="N13" s="2917" t="s">
        <v>205</v>
      </c>
      <c r="O13" s="3087" t="str">
        <f>IF(SUM(M13:N13)=0,M13,SUM(M13:N13))</f>
        <v>NA</v>
      </c>
      <c r="P13" s="2917" t="s">
        <v>205</v>
      </c>
      <c r="Q13" s="2918">
        <v>419.4427856622944</v>
      </c>
      <c r="R13" s="2918" t="s">
        <v>274</v>
      </c>
      <c r="S13" s="3511">
        <f>IF(SUM(O13:R13)=0,Q13,SUM(O13:R13)*-44/12)</f>
        <v>-1537.9568807617461</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447.86565974703217</v>
      </c>
      <c r="N14" s="2917" t="s">
        <v>274</v>
      </c>
      <c r="O14" s="3087">
        <f>IF(SUM(M14:N14)=0,M14,SUM(M14:N14))</f>
        <v>447.86565974703217</v>
      </c>
      <c r="P14" s="2917">
        <v>168.7106063604744</v>
      </c>
      <c r="Q14" s="2918" t="s">
        <v>205</v>
      </c>
      <c r="R14" s="2918" t="s">
        <v>205</v>
      </c>
      <c r="S14" s="3511">
        <f>IF(SUM(O14:R14)=0,Q14,SUM(O14:R14)*-44/12)</f>
        <v>-2260.7796423941909</v>
      </c>
      <c r="U14" s="2424"/>
    </row>
    <row r="15" spans="2:21" ht="18" customHeight="1" x14ac:dyDescent="0.2">
      <c r="B15" s="475" t="s">
        <v>1394</v>
      </c>
      <c r="C15" s="476"/>
      <c r="D15" s="3529">
        <f>IF(SUM(D16,D19,D21,D23,D25)=0,"IE",SUM(D16,D19,D21,D23,D25))</f>
        <v>13382.338353369061</v>
      </c>
      <c r="E15" s="3531">
        <f t="shared" ref="E15:F15" si="15">IF(SUM(E16,E19,E21,E23,E25)=0,"IE",SUM(E16,E19,E21,E23,E25))</f>
        <v>13381.338353369061</v>
      </c>
      <c r="F15" s="3535">
        <f t="shared" si="15"/>
        <v>1</v>
      </c>
      <c r="G15" s="3500" t="str">
        <f t="shared" si="4"/>
        <v>NA</v>
      </c>
      <c r="H15" s="3057">
        <f t="shared" si="5"/>
        <v>-0.6557049922171887</v>
      </c>
      <c r="I15" s="3057">
        <f t="shared" si="6"/>
        <v>-0.6557049922171887</v>
      </c>
      <c r="J15" s="3057">
        <f t="shared" si="7"/>
        <v>-0.10227530576141908</v>
      </c>
      <c r="K15" s="3514">
        <f t="shared" si="8"/>
        <v>-0.19009091696821209</v>
      </c>
      <c r="L15" s="3106">
        <f t="shared" si="9"/>
        <v>-8.7249999999999996</v>
      </c>
      <c r="M15" s="3530" t="str">
        <f>IF(SUM(M16,M19,M21,M23,M25)=0,"IE",SUM(M16,M19,M21,M23,M25))</f>
        <v>IE</v>
      </c>
      <c r="N15" s="3531">
        <f t="shared" ref="N15:S15" si="16">IF(SUM(N16,N19,N21,N23,N25)=0,"IE",SUM(N16,N19,N21,N23,N25))</f>
        <v>-8774.8660658436456</v>
      </c>
      <c r="O15" s="3532">
        <f t="shared" si="16"/>
        <v>-8774.8660658436456</v>
      </c>
      <c r="P15" s="3532">
        <f t="shared" si="16"/>
        <v>-1368.6827468935862</v>
      </c>
      <c r="Q15" s="3532">
        <f t="shared" si="16"/>
        <v>-2543.67087785383</v>
      </c>
      <c r="R15" s="3532">
        <f t="shared" si="16"/>
        <v>-8.7249999999999996</v>
      </c>
      <c r="S15" s="3534">
        <f t="shared" si="16"/>
        <v>46551.797198833898</v>
      </c>
      <c r="U15" s="2048"/>
    </row>
    <row r="16" spans="2:21" ht="18" customHeight="1" x14ac:dyDescent="0.2">
      <c r="B16" s="490" t="s">
        <v>1395</v>
      </c>
      <c r="C16" s="476"/>
      <c r="D16" s="3539">
        <f>IF(SUM(D17:D18)=0,"IE",SUM(D17:D18))</f>
        <v>13333.460920832515</v>
      </c>
      <c r="E16" s="3505">
        <f t="shared" ref="E16:F16" si="17">IF(SUM(E17:E18)=0,"IE",SUM(E17:E18))</f>
        <v>13333.460920832515</v>
      </c>
      <c r="F16" s="3506" t="str">
        <f t="shared" si="17"/>
        <v>IE</v>
      </c>
      <c r="G16" s="3500" t="str">
        <f t="shared" si="4"/>
        <v>NA</v>
      </c>
      <c r="H16" s="3057">
        <f t="shared" si="5"/>
        <v>-0.65810865745543889</v>
      </c>
      <c r="I16" s="3057">
        <f t="shared" si="6"/>
        <v>-0.65810865745543889</v>
      </c>
      <c r="J16" s="3057">
        <f t="shared" si="7"/>
        <v>-0.10265022375061857</v>
      </c>
      <c r="K16" s="3514">
        <f t="shared" si="8"/>
        <v>-0.18189404050710695</v>
      </c>
      <c r="L16" s="3106" t="str">
        <f t="shared" si="9"/>
        <v>NA</v>
      </c>
      <c r="M16" s="3057" t="str">
        <f>IF(SUM(M17:M18)=0,"IE",SUM(M17:M18))</f>
        <v>IE</v>
      </c>
      <c r="N16" s="3057">
        <f t="shared" ref="N16:O16" si="18">IF(SUM(N17:N18)=0,"IE",SUM(N17:N18))</f>
        <v>-8774.8660658436456</v>
      </c>
      <c r="O16" s="3057">
        <f t="shared" si="18"/>
        <v>-8774.8660658436456</v>
      </c>
      <c r="P16" s="3057">
        <f t="shared" ref="P16" si="19">IF(SUM(P17:P18)=0,"IE",SUM(P17:P18))</f>
        <v>-1368.6827468935862</v>
      </c>
      <c r="Q16" s="3514">
        <f t="shared" ref="Q16" si="20">IF(SUM(Q17:Q18)=0,"IE",SUM(Q17:Q18))</f>
        <v>-2425.2770808338369</v>
      </c>
      <c r="R16" s="3514" t="str">
        <f t="shared" ref="R16" si="21">IF(SUM(R17:R18)=0,"IE",SUM(R17:R18))</f>
        <v>IE</v>
      </c>
      <c r="S16" s="3511">
        <f t="shared" ref="S16" si="22">IF(SUM(S17:S18)=0,"IE",SUM(S17:S18))</f>
        <v>46085.69494309392</v>
      </c>
      <c r="U16" s="2048"/>
    </row>
    <row r="17" spans="2:21" ht="18" customHeight="1" x14ac:dyDescent="0.2">
      <c r="B17" s="490"/>
      <c r="C17" s="474" t="s">
        <v>1396</v>
      </c>
      <c r="D17" s="3500">
        <f>IF(SUM(E17:F17)=0,E17,SUM(E17:F17))</f>
        <v>13333.460920832515</v>
      </c>
      <c r="E17" s="3510">
        <v>13333.460920832515</v>
      </c>
      <c r="F17" s="3496" t="s">
        <v>274</v>
      </c>
      <c r="G17" s="3500" t="str">
        <f t="shared" si="4"/>
        <v>NA</v>
      </c>
      <c r="H17" s="3057">
        <f t="shared" si="5"/>
        <v>-0.65758937983153287</v>
      </c>
      <c r="I17" s="3057">
        <f t="shared" si="6"/>
        <v>-0.65758937983153287</v>
      </c>
      <c r="J17" s="3057">
        <f t="shared" si="7"/>
        <v>-0.1026780220495291</v>
      </c>
      <c r="K17" s="3514">
        <f t="shared" si="8"/>
        <v>-0.18189404050710695</v>
      </c>
      <c r="L17" s="3106" t="str">
        <f t="shared" si="9"/>
        <v>NA</v>
      </c>
      <c r="M17" s="2917" t="s">
        <v>274</v>
      </c>
      <c r="N17" s="2917">
        <v>-8767.9422979382325</v>
      </c>
      <c r="O17" s="3087">
        <f>IF(SUM(M17:N17)=0,M17,SUM(M17:N17))</f>
        <v>-8767.9422979382325</v>
      </c>
      <c r="P17" s="2917">
        <v>-1369.0533944257754</v>
      </c>
      <c r="Q17" s="2918">
        <v>-2425.2770808338369</v>
      </c>
      <c r="R17" s="2918" t="s">
        <v>274</v>
      </c>
      <c r="S17" s="3511">
        <f>IF(SUM(O17:R17)=0,Q17,SUM(O17:R17)*-44/12)</f>
        <v>46061.666835058764</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-6.9237679054138423</v>
      </c>
      <c r="O18" s="3087">
        <f>IF(SUM(M18:N18)=0,M18,SUM(M18:N18))</f>
        <v>-6.9237679054138423</v>
      </c>
      <c r="P18" s="2917">
        <v>0.3706475321890873</v>
      </c>
      <c r="Q18" s="2918" t="s">
        <v>205</v>
      </c>
      <c r="R18" s="2918" t="s">
        <v>205</v>
      </c>
      <c r="S18" s="3511">
        <f>IF(SUM(O18:R18)=0,Q18,SUM(O18:R18)*-44/12)</f>
        <v>24.028108035157434</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13240.278841710107</v>
      </c>
      <c r="E10" s="3523">
        <f>IF(SUM(E11,E23)=0,"IE",SUM(E11,E23))</f>
        <v>13199.365377223359</v>
      </c>
      <c r="F10" s="3524">
        <f>IF(SUM(F11,F23)=0,"IE",SUM(F11,F23))</f>
        <v>40.913464486747415</v>
      </c>
      <c r="G10" s="4317" t="str">
        <f>IFERROR(IF(SUM($D10)=0,"NA",M10/$D10),"NA")</f>
        <v>NA</v>
      </c>
      <c r="H10" s="4318">
        <f t="shared" ref="H10:J10" si="0">IFERROR(IF(SUM($D10)=0,"NA",N10/$D10),"NA")</f>
        <v>-4.9651246573999023E-3</v>
      </c>
      <c r="I10" s="4319">
        <f t="shared" si="0"/>
        <v>-4.9651246573999023E-3</v>
      </c>
      <c r="J10" s="4318">
        <f t="shared" si="0"/>
        <v>-9.5347890662338781E-4</v>
      </c>
      <c r="K10" s="4318">
        <f>IFERROR(IF(SUM(E10)=0,"NA",Q10/E10),"NA")</f>
        <v>-7.3977971985056791E-4</v>
      </c>
      <c r="L10" s="4320" t="str">
        <f>IFERROR(IF(SUM(F10)=0,"NA",R10/F10),"NA")</f>
        <v>NA</v>
      </c>
      <c r="M10" s="4319" t="str">
        <f t="shared" ref="M10:S10" si="1">IF(SUM(M11,M23)=0,"IE",SUM(M11,M23))</f>
        <v>IE</v>
      </c>
      <c r="N10" s="4318">
        <f t="shared" si="1"/>
        <v>-65.739634947825067</v>
      </c>
      <c r="O10" s="4319">
        <f t="shared" si="1"/>
        <v>-65.739634947825067</v>
      </c>
      <c r="P10" s="4318">
        <f t="shared" si="1"/>
        <v>-12.624326593382529</v>
      </c>
      <c r="Q10" s="4321">
        <f t="shared" si="1"/>
        <v>-9.7646228209675829</v>
      </c>
      <c r="R10" s="4321" t="str">
        <f t="shared" si="1"/>
        <v>IE</v>
      </c>
      <c r="S10" s="3528">
        <f t="shared" si="1"/>
        <v>323.13814266130902</v>
      </c>
      <c r="U10" s="4322"/>
    </row>
    <row r="11" spans="1:23" ht="18" customHeight="1" x14ac:dyDescent="0.2">
      <c r="B11" s="491" t="s">
        <v>1262</v>
      </c>
      <c r="C11" s="473"/>
      <c r="D11" s="4323">
        <f>IF(SUM(D12,D14,D17)=0,"IE",SUM(D12,D14,D17))</f>
        <v>13192.736055616</v>
      </c>
      <c r="E11" s="3542">
        <f t="shared" ref="E11:S11" si="2">IF(SUM(E12,E14,E17)=0,"IE",SUM(E12,E14,E17))</f>
        <v>13151.822591129252</v>
      </c>
      <c r="F11" s="3543">
        <f t="shared" si="2"/>
        <v>40.913464486747415</v>
      </c>
      <c r="G11" s="4324" t="str">
        <f t="shared" ref="G11:G56" si="3">IFERROR(IF(SUM($D11)=0,"NA",M11/$D11),"NA")</f>
        <v>NA</v>
      </c>
      <c r="H11" s="4325">
        <f t="shared" ref="H11:H56" si="4">IFERROR(IF(SUM($D11)=0,"NA",N11/$D11),"NA")</f>
        <v>-4.854232060512261E-3</v>
      </c>
      <c r="I11" s="4326">
        <f t="shared" ref="I11:I56" si="5">IFERROR(IF(SUM($D11)=0,"NA",O11/$D11),"NA")</f>
        <v>-4.854232060512261E-3</v>
      </c>
      <c r="J11" s="4325">
        <f t="shared" ref="J11:J56" si="6">IFERROR(IF(SUM($D11)=0,"NA",P11/$D11),"NA")</f>
        <v>-9.5691496746108965E-4</v>
      </c>
      <c r="K11" s="4325">
        <f t="shared" ref="K11:K56" si="7">IFERROR(IF(SUM(E11)=0,"NA",Q11/E11),"NA")</f>
        <v>-7.424539643314308E-4</v>
      </c>
      <c r="L11" s="4327" t="str">
        <f t="shared" ref="L11:L56" si="8">IFERROR(IF(SUM(F11)=0,"NA",R11/F11),"NA")</f>
        <v>NA</v>
      </c>
      <c r="M11" s="4326" t="str">
        <f t="shared" si="2"/>
        <v>IE</v>
      </c>
      <c r="N11" s="4325">
        <f t="shared" si="2"/>
        <v>-64.040602327047253</v>
      </c>
      <c r="O11" s="4326">
        <f t="shared" si="2"/>
        <v>-64.040602327047253</v>
      </c>
      <c r="P11" s="4325">
        <f t="shared" si="2"/>
        <v>-12.624326593382529</v>
      </c>
      <c r="Q11" s="4328">
        <f t="shared" si="2"/>
        <v>-9.7646228209675829</v>
      </c>
      <c r="R11" s="4328" t="str">
        <f t="shared" si="2"/>
        <v>IE</v>
      </c>
      <c r="S11" s="3544">
        <f t="shared" si="2"/>
        <v>316.90835638512368</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774.15189083423195</v>
      </c>
      <c r="E14" s="3505">
        <f>IF(SUM(E15:E16)=0,"IE",SUM(E15:E16))</f>
        <v>774.15189083423195</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546.98170000000016</v>
      </c>
      <c r="E15" s="3510">
        <v>546.98170000000016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12418.584164781769</v>
      </c>
      <c r="E17" s="3505">
        <f>IF(SUM(E18:E21)=0,"IE",SUM(E18:E21))</f>
        <v>12377.670700295021</v>
      </c>
      <c r="F17" s="3506">
        <f>IF(SUM(F18:F21)=0,"IE",SUM(F18:F21))</f>
        <v>40.913464486747415</v>
      </c>
      <c r="G17" s="3545" t="str">
        <f t="shared" si="3"/>
        <v>NA</v>
      </c>
      <c r="H17" s="3531">
        <f t="shared" si="4"/>
        <v>-5.1568360351948892E-3</v>
      </c>
      <c r="I17" s="3546">
        <f t="shared" si="5"/>
        <v>-5.1568360351948892E-3</v>
      </c>
      <c r="J17" s="3531">
        <f t="shared" si="6"/>
        <v>-1.0165673015434587E-3</v>
      </c>
      <c r="K17" s="3531">
        <f t="shared" si="7"/>
        <v>-7.888901763023025E-4</v>
      </c>
      <c r="L17" s="3535" t="str">
        <f t="shared" si="8"/>
        <v>NA</v>
      </c>
      <c r="M17" s="3505" t="str">
        <f t="shared" ref="M17:S17" si="16">IF(SUM(M18:M21)=0,"IE",SUM(M18:M21))</f>
        <v>IE</v>
      </c>
      <c r="N17" s="4325">
        <f t="shared" si="16"/>
        <v>-64.040602327047253</v>
      </c>
      <c r="O17" s="4326">
        <f t="shared" si="16"/>
        <v>-64.040602327047253</v>
      </c>
      <c r="P17" s="4325">
        <f t="shared" si="16"/>
        <v>-12.624326593382529</v>
      </c>
      <c r="Q17" s="4328">
        <f t="shared" si="16"/>
        <v>-9.7646228209675829</v>
      </c>
      <c r="R17" s="4328" t="str">
        <f t="shared" si="16"/>
        <v>IE</v>
      </c>
      <c r="S17" s="4332">
        <f t="shared" si="16"/>
        <v>316.90835638512368</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-7.1084236521282559E-3</v>
      </c>
      <c r="I18" s="3554">
        <f t="shared" si="5"/>
        <v>-7.1084236521282559E-3</v>
      </c>
      <c r="J18" s="3553">
        <f t="shared" si="6"/>
        <v>-1.4216847304256506E-3</v>
      </c>
      <c r="K18" s="3553">
        <f t="shared" si="7"/>
        <v>-5.6867389217026025E-3</v>
      </c>
      <c r="L18" s="3555" t="str">
        <f t="shared" si="8"/>
        <v>NA</v>
      </c>
      <c r="M18" s="3547" t="s">
        <v>274</v>
      </c>
      <c r="N18" s="3548">
        <v>-12.205778526209484</v>
      </c>
      <c r="O18" s="3087">
        <f>IF(SUM(M18:N18)=0,M18,SUM(M18:N18))</f>
        <v>-12.205778526209484</v>
      </c>
      <c r="P18" s="3548">
        <v>-2.4411557052418957</v>
      </c>
      <c r="Q18" s="3549">
        <v>-9.7646228209675829</v>
      </c>
      <c r="R18" s="3556" t="s">
        <v>274</v>
      </c>
      <c r="S18" s="3511">
        <f>IF(SUM(O18:R18)=0,Q18,SUM(O18:R18)*-44/12)</f>
        <v>89.509042525536202</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-51.834823800837775</v>
      </c>
      <c r="O19" s="3087">
        <f t="shared" ref="O19:O22" si="18">IF(SUM(M19:N19)=0,M19,SUM(M19:N19))</f>
        <v>-51.834823800837775</v>
      </c>
      <c r="P19" s="3548">
        <v>-10.183170888140634</v>
      </c>
      <c r="Q19" s="3551" t="s">
        <v>205</v>
      </c>
      <c r="R19" s="3550" t="s">
        <v>205</v>
      </c>
      <c r="S19" s="3511">
        <f t="shared" ref="S19:S22" si="19">IF(SUM(O19:R19)=0,Q19,SUM(O19:R19)*-44/12)</f>
        <v>227.39931385958747</v>
      </c>
      <c r="T19" s="2519"/>
      <c r="U19" s="2699"/>
      <c r="V19" s="2519"/>
      <c r="W19" s="2519"/>
    </row>
    <row r="20" spans="1:23" ht="18" customHeight="1" x14ac:dyDescent="0.2">
      <c r="A20" s="2519"/>
      <c r="B20" s="2698"/>
      <c r="C20" s="4316" t="s">
        <v>1414</v>
      </c>
      <c r="D20" s="3500">
        <f t="shared" si="17"/>
        <v>10660.58416697408</v>
      </c>
      <c r="E20" s="4335">
        <v>10660.58416697408</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40.913464486747415</v>
      </c>
      <c r="E21" s="3505" t="str">
        <f t="shared" ref="E21:F21" si="20">E22</f>
        <v>IE</v>
      </c>
      <c r="F21" s="3506">
        <f t="shared" si="20"/>
        <v>40.913464486747415</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40.913464486747415</v>
      </c>
      <c r="E22" s="3510" t="s">
        <v>274</v>
      </c>
      <c r="F22" s="3496">
        <v>40.913464486747415</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47.542786094106773</v>
      </c>
      <c r="E23" s="3531">
        <f t="shared" ref="E23:F23" si="22">IF(SUM(E24,E35,E46)=0,"IE",SUM(E24,E35,E46))</f>
        <v>47.542786094106773</v>
      </c>
      <c r="F23" s="3535" t="str">
        <f t="shared" si="22"/>
        <v>IE</v>
      </c>
      <c r="G23" s="3545" t="str">
        <f t="shared" si="3"/>
        <v>NA</v>
      </c>
      <c r="H23" s="3531">
        <f t="shared" si="4"/>
        <v>-3.5736917424543185E-2</v>
      </c>
      <c r="I23" s="3546">
        <f t="shared" si="5"/>
        <v>-3.5736917424543185E-2</v>
      </c>
      <c r="J23" s="3531" t="str">
        <f t="shared" si="6"/>
        <v>NA</v>
      </c>
      <c r="K23" s="3531" t="str">
        <f t="shared" si="7"/>
        <v>NA</v>
      </c>
      <c r="L23" s="3535" t="str">
        <f t="shared" si="8"/>
        <v>NA</v>
      </c>
      <c r="M23" s="3531" t="str">
        <f t="shared" ref="M23" si="23">IF(SUM(M24,M35,M46)=0,"IE",SUM(M24,M35,M46))</f>
        <v>IE</v>
      </c>
      <c r="N23" s="3531">
        <f t="shared" ref="N23" si="24">IF(SUM(N24,N35,N46)=0,"IE",SUM(N24,N35,N46))</f>
        <v>-1.6990326207778137</v>
      </c>
      <c r="O23" s="3546">
        <f t="shared" ref="O23" si="25">IF(SUM(O24,O35,O46)=0,"IE",SUM(O24,O35,O46))</f>
        <v>-1.6990326207778137</v>
      </c>
      <c r="P23" s="3531" t="str">
        <f>IF(SUM(P24,P35,P46)=0,"NO",SUM(P24,P35,P46))</f>
        <v>NO</v>
      </c>
      <c r="Q23" s="3530" t="str">
        <f>IF(SUM(Q24,Q35,Q46)=0,"NO",SUM(Q24,Q35,Q46))</f>
        <v>NO</v>
      </c>
      <c r="R23" s="3530" t="str">
        <f>IF(SUM(R24,R35,R46)=0,"NO",SUM(R24,R35,R46))</f>
        <v>NO</v>
      </c>
      <c r="S23" s="3534">
        <f t="shared" ref="S23" si="26">IF(SUM(S24,S35,S46)=0,"IE",SUM(S24,S35,S46))</f>
        <v>6.2297862761853162</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47.542786094106773</v>
      </c>
      <c r="E35" s="3531">
        <f>IF(SUM(E36,E38,E40,E42,E44)=0,"IE",SUM(E36,E38,E40,E42,E44))</f>
        <v>47.542786094106773</v>
      </c>
      <c r="F35" s="3535" t="str">
        <f>IF(SUM(F36,F38,F40,F42,F44)=0,"IE",SUM(F36,F38,F40,F42,F44))</f>
        <v>IE</v>
      </c>
      <c r="G35" s="3545" t="str">
        <f t="shared" si="3"/>
        <v>NA</v>
      </c>
      <c r="H35" s="3531">
        <f t="shared" si="4"/>
        <v>-3.5736917424543185E-2</v>
      </c>
      <c r="I35" s="3546">
        <f t="shared" si="5"/>
        <v>-3.5736917424543185E-2</v>
      </c>
      <c r="J35" s="3531" t="str">
        <f t="shared" si="6"/>
        <v>NA</v>
      </c>
      <c r="K35" s="3531" t="str">
        <f t="shared" si="7"/>
        <v>NA</v>
      </c>
      <c r="L35" s="3535" t="str">
        <f t="shared" si="8"/>
        <v>NA</v>
      </c>
      <c r="M35" s="3531" t="str">
        <f t="shared" ref="M35:S35" si="48">IF(SUM(M36,M38,M40,M42,M44)=0,"IE",SUM(M36,M38,M40,M42,M44))</f>
        <v>IE</v>
      </c>
      <c r="N35" s="3531">
        <f t="shared" si="48"/>
        <v>-1.6990326207778137</v>
      </c>
      <c r="O35" s="3546">
        <f t="shared" si="48"/>
        <v>-1.6990326207778137</v>
      </c>
      <c r="P35" s="3531" t="str">
        <f>IF(SUM(P36,P38,P40,P42,P44)=0,"NO",SUM(P36,P38,P40,P42,P44))</f>
        <v>NO</v>
      </c>
      <c r="Q35" s="3530" t="str">
        <f>IF(SUM(Q36,Q38,Q40,Q42,Q44)=0,"NO",SUM(Q36,Q38,Q40,Q42,Q44))</f>
        <v>NO</v>
      </c>
      <c r="R35" s="3530" t="str">
        <f>IF(SUM(R36,R38,R40,R42,R44)=0,"NO",SUM(R36,R38,R40,R42,R44))</f>
        <v>NO</v>
      </c>
      <c r="S35" s="3534">
        <f t="shared" si="48"/>
        <v>6.2297862761853162</v>
      </c>
      <c r="U35" s="493"/>
    </row>
    <row r="36" spans="2:21" ht="18" customHeight="1" x14ac:dyDescent="0.2">
      <c r="B36" s="495" t="s">
        <v>1424</v>
      </c>
      <c r="C36" s="476"/>
      <c r="D36" s="3500">
        <f>D37</f>
        <v>47.542786094106773</v>
      </c>
      <c r="E36" s="3505">
        <f t="shared" ref="E36:F36" si="49">E37</f>
        <v>47.542786094106773</v>
      </c>
      <c r="F36" s="3506" t="str">
        <f t="shared" si="49"/>
        <v>IE</v>
      </c>
      <c r="G36" s="3500" t="str">
        <f t="shared" si="3"/>
        <v>NA</v>
      </c>
      <c r="H36" s="3057">
        <f t="shared" si="4"/>
        <v>-3.5736917424543185E-2</v>
      </c>
      <c r="I36" s="3057">
        <f t="shared" si="5"/>
        <v>-3.5736917424543185E-2</v>
      </c>
      <c r="J36" s="3057" t="str">
        <f t="shared" si="6"/>
        <v>NA</v>
      </c>
      <c r="K36" s="3514" t="str">
        <f t="shared" si="7"/>
        <v>NA</v>
      </c>
      <c r="L36" s="3106" t="str">
        <f t="shared" si="8"/>
        <v>NA</v>
      </c>
      <c r="M36" s="4170" t="str">
        <f t="shared" ref="M36:S36" si="50">M37</f>
        <v>IE</v>
      </c>
      <c r="N36" s="3057">
        <f t="shared" si="50"/>
        <v>-1.6990326207778137</v>
      </c>
      <c r="O36" s="3057">
        <f t="shared" si="50"/>
        <v>-1.6990326207778137</v>
      </c>
      <c r="P36" s="3057" t="str">
        <f t="shared" si="50"/>
        <v>NA</v>
      </c>
      <c r="Q36" s="3514" t="str">
        <f t="shared" si="50"/>
        <v>NA</v>
      </c>
      <c r="R36" s="3514" t="str">
        <f t="shared" si="50"/>
        <v>NA</v>
      </c>
      <c r="S36" s="3511">
        <f t="shared" si="50"/>
        <v>6.2297862761853162</v>
      </c>
      <c r="U36" s="4329"/>
    </row>
    <row r="37" spans="2:21" ht="18" customHeight="1" x14ac:dyDescent="0.2">
      <c r="B37" s="1478"/>
      <c r="C37" s="4330" t="s">
        <v>409</v>
      </c>
      <c r="D37" s="3500">
        <f>IF(SUM(E37:F37)=0,E37,SUM(E37:F37))</f>
        <v>47.542786094106773</v>
      </c>
      <c r="E37" s="3510">
        <v>47.542786094106773</v>
      </c>
      <c r="F37" s="3496" t="s">
        <v>274</v>
      </c>
      <c r="G37" s="3545" t="str">
        <f t="shared" si="3"/>
        <v>NA</v>
      </c>
      <c r="H37" s="3531">
        <f t="shared" si="4"/>
        <v>-3.5736917424543185E-2</v>
      </c>
      <c r="I37" s="3546">
        <f t="shared" si="5"/>
        <v>-3.5736917424543185E-2</v>
      </c>
      <c r="J37" s="3531" t="str">
        <f t="shared" si="6"/>
        <v>NA</v>
      </c>
      <c r="K37" s="3531" t="str">
        <f t="shared" si="7"/>
        <v>NA</v>
      </c>
      <c r="L37" s="3535" t="str">
        <f t="shared" si="8"/>
        <v>NA</v>
      </c>
      <c r="M37" s="3547" t="s">
        <v>274</v>
      </c>
      <c r="N37" s="3548">
        <v>-1.6990326207778137</v>
      </c>
      <c r="O37" s="3087">
        <f t="shared" ref="O37" si="51">IF(SUM(M37:N37)=0,M37,SUM(M37:N37))</f>
        <v>-1.6990326207778137</v>
      </c>
      <c r="P37" s="3548" t="s">
        <v>205</v>
      </c>
      <c r="Q37" s="3549" t="s">
        <v>205</v>
      </c>
      <c r="R37" s="3549" t="s">
        <v>205</v>
      </c>
      <c r="S37" s="3511">
        <f t="shared" ref="S37" si="52">IF(SUM(O37:R37)=0,Q37,SUM(O37:R37)*-44/12)</f>
        <v>6.2297862761853162</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1615.4003395945624</v>
      </c>
      <c r="E10" s="3523">
        <f t="shared" ref="E10:F10" si="0">IF(SUM(E11,E13)=0,"IE",SUM(E11,E13))</f>
        <v>1525.1156293374972</v>
      </c>
      <c r="F10" s="3524">
        <f t="shared" si="0"/>
        <v>90.284710257065214</v>
      </c>
      <c r="G10" s="3522">
        <f>IFERROR(IF(SUM($D10)=0,"NA",M10/$D10),"NA")</f>
        <v>1.8146809007375127E-3</v>
      </c>
      <c r="H10" s="3523">
        <f t="shared" ref="H10:J10" si="1">IFERROR(IF(SUM($D10)=0,"NA",N10/$D10),"NA")</f>
        <v>-0.8843748207056038</v>
      </c>
      <c r="I10" s="3523">
        <f t="shared" si="1"/>
        <v>-0.88256013980486636</v>
      </c>
      <c r="J10" s="3523">
        <f t="shared" si="1"/>
        <v>0.15622716026649222</v>
      </c>
      <c r="K10" s="3525">
        <f>IFERROR(IF(SUM(E10)=0,"NA",Q10/E10),"NA")</f>
        <v>-5.300756613626529E-2</v>
      </c>
      <c r="L10" s="3524">
        <f>IFERROR(IF(SUM(F10)=0,"NA",R10/F10),"NA")</f>
        <v>0.22643801159747073</v>
      </c>
      <c r="M10" s="3526">
        <f>IF(SUM(M11,M13)=0,"IE",SUM(M11,M13))</f>
        <v>2.9314361433071445</v>
      </c>
      <c r="N10" s="3523">
        <f t="shared" ref="N10:S10" si="2">IF(SUM(N11,N13)=0,"IE",SUM(N11,N13))</f>
        <v>-1428.6193856967127</v>
      </c>
      <c r="O10" s="3527">
        <f t="shared" si="2"/>
        <v>-1425.6879495534056</v>
      </c>
      <c r="P10" s="3523">
        <f t="shared" si="2"/>
        <v>252.36940774838564</v>
      </c>
      <c r="Q10" s="3525">
        <f t="shared" si="2"/>
        <v>-80.842667587559248</v>
      </c>
      <c r="R10" s="3525">
        <f t="shared" si="2"/>
        <v>20.443890268263619</v>
      </c>
      <c r="S10" s="3528">
        <f t="shared" si="2"/>
        <v>4523.6301701224902</v>
      </c>
      <c r="U10" s="2287"/>
    </row>
    <row r="11" spans="2:21" ht="18" customHeight="1" x14ac:dyDescent="0.2">
      <c r="B11" s="483" t="s">
        <v>1265</v>
      </c>
      <c r="C11" s="2282"/>
      <c r="D11" s="3529">
        <f>D12</f>
        <v>1105.692077664</v>
      </c>
      <c r="E11" s="3057">
        <f t="shared" ref="E11:F11" si="3">E12</f>
        <v>1105.692077664</v>
      </c>
      <c r="F11" s="3057" t="str">
        <f t="shared" si="3"/>
        <v>IE</v>
      </c>
      <c r="G11" s="3500">
        <f t="shared" ref="G11:G24" si="4">IFERROR(IF(SUM($D11)=0,"NA",M11/$D11),"NA")</f>
        <v>2.6512228879313321E-3</v>
      </c>
      <c r="H11" s="3057" t="str">
        <f t="shared" ref="H11:H24" si="5">IFERROR(IF(SUM($D11)=0,"NA",N11/$D11),"NA")</f>
        <v>NA</v>
      </c>
      <c r="I11" s="3057">
        <f t="shared" ref="I11:I24" si="6">IFERROR(IF(SUM($D11)=0,"NA",O11/$D11),"NA")</f>
        <v>2.6512228879313321E-3</v>
      </c>
      <c r="J11" s="3057">
        <f t="shared" ref="J11:J24" si="7">IFERROR(IF(SUM($D11)=0,"NA",P11/$D11),"NA")</f>
        <v>5.3024457758626649E-4</v>
      </c>
      <c r="K11" s="3514">
        <f t="shared" ref="K11:K24" si="8">IFERROR(IF(SUM(E11)=0,"NA",Q11/E11),"NA")</f>
        <v>2.120978310345066E-3</v>
      </c>
      <c r="L11" s="3106" t="str">
        <f t="shared" ref="L11:L24" si="9">IFERROR(IF(SUM(F11)=0,"NA",R11/F11),"NA")</f>
        <v>NA</v>
      </c>
      <c r="M11" s="3530">
        <f t="shared" ref="M11:S11" si="10">M12</f>
        <v>2.9314361433071445</v>
      </c>
      <c r="N11" s="3531" t="str">
        <f t="shared" si="10"/>
        <v>IE</v>
      </c>
      <c r="O11" s="3532">
        <f t="shared" si="10"/>
        <v>2.9314361433071445</v>
      </c>
      <c r="P11" s="3531">
        <f t="shared" si="10"/>
        <v>0.58628722866142902</v>
      </c>
      <c r="Q11" s="3533">
        <f t="shared" si="10"/>
        <v>2.3451489146457161</v>
      </c>
      <c r="R11" s="3533" t="str">
        <f t="shared" si="10"/>
        <v>IE</v>
      </c>
      <c r="S11" s="3534">
        <f t="shared" si="10"/>
        <v>-21.497198384252396</v>
      </c>
      <c r="U11" s="2423"/>
    </row>
    <row r="12" spans="2:21" ht="18" customHeight="1" x14ac:dyDescent="0.2">
      <c r="B12" s="491"/>
      <c r="C12" s="4330" t="s">
        <v>409</v>
      </c>
      <c r="D12" s="3500">
        <f>IF(SUM(E12:F12)=0,E12,SUM(E12:F12))</f>
        <v>1105.692077664</v>
      </c>
      <c r="E12" s="3510">
        <v>1105.692077664</v>
      </c>
      <c r="F12" s="3496" t="s">
        <v>274</v>
      </c>
      <c r="G12" s="3500">
        <f t="shared" si="4"/>
        <v>2.6512228879313321E-3</v>
      </c>
      <c r="H12" s="3057" t="str">
        <f t="shared" si="5"/>
        <v>NA</v>
      </c>
      <c r="I12" s="3057">
        <f t="shared" si="6"/>
        <v>2.6512228879313321E-3</v>
      </c>
      <c r="J12" s="3057">
        <f t="shared" si="7"/>
        <v>5.3024457758626649E-4</v>
      </c>
      <c r="K12" s="3514">
        <f t="shared" si="8"/>
        <v>2.120978310345066E-3</v>
      </c>
      <c r="L12" s="3106" t="str">
        <f t="shared" si="9"/>
        <v>NA</v>
      </c>
      <c r="M12" s="2917">
        <v>2.9314361433071445</v>
      </c>
      <c r="N12" s="2917" t="s">
        <v>274</v>
      </c>
      <c r="O12" s="3087">
        <f>IF(SUM(M12:N12)=0,M12,SUM(M12:N12))</f>
        <v>2.9314361433071445</v>
      </c>
      <c r="P12" s="2917">
        <v>0.58628722866142902</v>
      </c>
      <c r="Q12" s="2918">
        <v>2.3451489146457161</v>
      </c>
      <c r="R12" s="2918" t="s">
        <v>274</v>
      </c>
      <c r="S12" s="3511">
        <f>IF(SUM(O12:R12)=0,Q12,SUM(O12:R12)*-44/12)</f>
        <v>-21.497198384252396</v>
      </c>
      <c r="U12" s="2424"/>
    </row>
    <row r="13" spans="2:21" ht="18" customHeight="1" x14ac:dyDescent="0.2">
      <c r="B13" s="483" t="s">
        <v>1266</v>
      </c>
      <c r="C13" s="494"/>
      <c r="D13" s="3529">
        <f>IF(SUM(D14,D17,D19,D21,D23)=0,"IE",SUM(D14,D17,D19,D21,D23))</f>
        <v>509.70826193056251</v>
      </c>
      <c r="E13" s="3531">
        <f t="shared" ref="E13:S13" si="11">IF(SUM(E14,E17,E19,E21,E23)=0,"IE",SUM(E14,E17,E19,E21,E23))</f>
        <v>419.42355167349729</v>
      </c>
      <c r="F13" s="3535">
        <f t="shared" si="11"/>
        <v>90.284710257065214</v>
      </c>
      <c r="G13" s="3500" t="str">
        <f t="shared" si="4"/>
        <v>NA</v>
      </c>
      <c r="H13" s="3057">
        <f t="shared" si="5"/>
        <v>-2.8028177928403548</v>
      </c>
      <c r="I13" s="3057">
        <f t="shared" si="6"/>
        <v>-2.8028177928403548</v>
      </c>
      <c r="J13" s="3057">
        <f t="shared" si="7"/>
        <v>0.49397496435720828</v>
      </c>
      <c r="K13" s="3514">
        <f t="shared" si="8"/>
        <v>-0.19833844849743443</v>
      </c>
      <c r="L13" s="3106">
        <f t="shared" si="9"/>
        <v>0.22643801159747073</v>
      </c>
      <c r="M13" s="3057" t="str">
        <f t="shared" si="11"/>
        <v>IE</v>
      </c>
      <c r="N13" s="3057">
        <f t="shared" si="11"/>
        <v>-1428.6193856967127</v>
      </c>
      <c r="O13" s="3057">
        <f t="shared" si="11"/>
        <v>-1428.6193856967127</v>
      </c>
      <c r="P13" s="3057">
        <f t="shared" si="11"/>
        <v>251.78312051972421</v>
      </c>
      <c r="Q13" s="3514">
        <f t="shared" si="11"/>
        <v>-83.187816502204967</v>
      </c>
      <c r="R13" s="3514">
        <f t="shared" si="11"/>
        <v>20.443890268263619</v>
      </c>
      <c r="S13" s="3511">
        <f t="shared" si="11"/>
        <v>4545.1273685067426</v>
      </c>
      <c r="U13" s="2048"/>
    </row>
    <row r="14" spans="2:21" ht="18" customHeight="1" x14ac:dyDescent="0.2">
      <c r="B14" s="485" t="s">
        <v>1440</v>
      </c>
      <c r="C14" s="494"/>
      <c r="D14" s="3539">
        <f>IF(SUM(D15:D16)=0,"IE",SUM(D15:D16))</f>
        <v>509.70826193056251</v>
      </c>
      <c r="E14" s="3505">
        <f t="shared" ref="E14:F14" si="12">IF(SUM(E15:E16)=0,"IE",SUM(E15:E16))</f>
        <v>419.42355167349729</v>
      </c>
      <c r="F14" s="3506">
        <f t="shared" si="12"/>
        <v>90.284710257065214</v>
      </c>
      <c r="G14" s="3500" t="str">
        <f t="shared" si="4"/>
        <v>NA</v>
      </c>
      <c r="H14" s="3057">
        <f t="shared" si="5"/>
        <v>-2.8028177928403548</v>
      </c>
      <c r="I14" s="3057">
        <f t="shared" si="6"/>
        <v>-2.8028177928403548</v>
      </c>
      <c r="J14" s="3057">
        <f t="shared" si="7"/>
        <v>0.49397496435720828</v>
      </c>
      <c r="K14" s="3514">
        <f t="shared" si="8"/>
        <v>-0.19833844849743443</v>
      </c>
      <c r="L14" s="3106">
        <f t="shared" si="9"/>
        <v>0.22643801159747073</v>
      </c>
      <c r="M14" s="3057" t="str">
        <f>IF(SUM(M15:M16)=0,"IE",SUM(M15:M16))</f>
        <v>IE</v>
      </c>
      <c r="N14" s="3057">
        <f t="shared" ref="N14:S14" si="13">IF(SUM(N15:N16)=0,"IE",SUM(N15:N16))</f>
        <v>-1428.6193856967127</v>
      </c>
      <c r="O14" s="3057">
        <f t="shared" si="13"/>
        <v>-1428.6193856967127</v>
      </c>
      <c r="P14" s="3057">
        <f t="shared" si="13"/>
        <v>251.78312051972421</v>
      </c>
      <c r="Q14" s="3514">
        <f t="shared" si="13"/>
        <v>-83.187816502204967</v>
      </c>
      <c r="R14" s="3514">
        <f t="shared" si="13"/>
        <v>20.443890268263619</v>
      </c>
      <c r="S14" s="3511">
        <f t="shared" si="13"/>
        <v>4545.1273685067426</v>
      </c>
      <c r="U14" s="2048"/>
    </row>
    <row r="15" spans="2:21" ht="18" customHeight="1" x14ac:dyDescent="0.2">
      <c r="B15" s="486"/>
      <c r="C15" s="498" t="s">
        <v>1441</v>
      </c>
      <c r="D15" s="3500">
        <f>IF(SUM(E15:F15)=0,E15,SUM(E15:F15))</f>
        <v>90.284710257065214</v>
      </c>
      <c r="E15" s="3510" t="s">
        <v>199</v>
      </c>
      <c r="F15" s="3496">
        <v>90.284710257065214</v>
      </c>
      <c r="G15" s="3500" t="str">
        <f t="shared" si="4"/>
        <v>NA</v>
      </c>
      <c r="H15" s="3057">
        <f t="shared" si="5"/>
        <v>-11.870656660253474</v>
      </c>
      <c r="I15" s="3057">
        <f t="shared" si="6"/>
        <v>-11.870656660253474</v>
      </c>
      <c r="J15" s="3057">
        <f t="shared" si="7"/>
        <v>3.662277943217108</v>
      </c>
      <c r="K15" s="3514" t="str">
        <f t="shared" si="8"/>
        <v>NA</v>
      </c>
      <c r="L15" s="3106">
        <f t="shared" si="9"/>
        <v>0.22643801159747073</v>
      </c>
      <c r="M15" s="2917" t="s">
        <v>274</v>
      </c>
      <c r="N15" s="2917">
        <v>-1071.7387971320863</v>
      </c>
      <c r="O15" s="3087">
        <f>IF(SUM(M15:N15)=0,M15,SUM(M15:N15))</f>
        <v>-1071.7387971320863</v>
      </c>
      <c r="P15" s="2917">
        <v>330.64770298419734</v>
      </c>
      <c r="Q15" s="2918" t="s">
        <v>199</v>
      </c>
      <c r="R15" s="2918">
        <v>20.443890268263619</v>
      </c>
      <c r="S15" s="3511">
        <f>IF(SUM(O15:R15)=0,Q15,SUM(O15:R15)*-44/12)</f>
        <v>2642.3730808919595</v>
      </c>
      <c r="U15" s="2048"/>
    </row>
    <row r="16" spans="2:21" ht="18" customHeight="1" x14ac:dyDescent="0.2">
      <c r="B16" s="484"/>
      <c r="C16" s="498" t="s">
        <v>1442</v>
      </c>
      <c r="D16" s="3500">
        <f>IF(SUM(E16:F16)=0,E16,SUM(E16:F16))</f>
        <v>419.42355167349729</v>
      </c>
      <c r="E16" s="3510">
        <v>419.42355167349729</v>
      </c>
      <c r="F16" s="3496" t="s">
        <v>274</v>
      </c>
      <c r="G16" s="3500" t="str">
        <f t="shared" si="4"/>
        <v>NA</v>
      </c>
      <c r="H16" s="3057">
        <f t="shared" si="5"/>
        <v>-0.85088352130125988</v>
      </c>
      <c r="I16" s="3057">
        <f t="shared" si="6"/>
        <v>-0.85088352130125988</v>
      </c>
      <c r="J16" s="3057">
        <f t="shared" si="7"/>
        <v>-0.18803088703484566</v>
      </c>
      <c r="K16" s="3514">
        <f t="shared" si="8"/>
        <v>-0.19833844849743443</v>
      </c>
      <c r="L16" s="3106" t="str">
        <f t="shared" si="9"/>
        <v>NA</v>
      </c>
      <c r="M16" s="2917" t="s">
        <v>274</v>
      </c>
      <c r="N16" s="2917">
        <v>-356.88058856462629</v>
      </c>
      <c r="O16" s="3087">
        <f>IF(SUM(M16:N16)=0,M16,SUM(M16:N16))</f>
        <v>-356.88058856462629</v>
      </c>
      <c r="P16" s="2917">
        <v>-78.864582464473116</v>
      </c>
      <c r="Q16" s="2918">
        <v>-83.187816502204967</v>
      </c>
      <c r="R16" s="2918" t="s">
        <v>274</v>
      </c>
      <c r="S16" s="3511">
        <f>IF(SUM(O16:R16)=0,Q16,SUM(O16:R16)*-44/12)</f>
        <v>1902.7542876147829</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67.079355238328588</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67.079355238328588</v>
      </c>
    </row>
    <row r="270" spans="2:10" ht="18" customHeight="1" x14ac:dyDescent="0.2">
      <c r="B270" s="2842" t="s">
        <v>1550</v>
      </c>
      <c r="C270" s="2843"/>
      <c r="D270" s="2823"/>
      <c r="E270" s="2824"/>
      <c r="F270" s="2825"/>
      <c r="G270" s="2826"/>
      <c r="H270" s="2834" t="s">
        <v>221</v>
      </c>
      <c r="I270" s="2830" t="s">
        <v>221</v>
      </c>
      <c r="J270" s="3659">
        <f>J277</f>
        <v>66.471321901027295</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609.03516395190877</v>
      </c>
      <c r="E277" s="2770" t="s">
        <v>205</v>
      </c>
      <c r="F277" s="2768" t="s">
        <v>205</v>
      </c>
      <c r="G277" s="3653">
        <f>IF(SUM(D277)=0,"NA",J277*1000/D277)</f>
        <v>109.14200991238013</v>
      </c>
      <c r="H277" s="2793" t="str">
        <f t="shared" ref="H277:J277" si="1">H302</f>
        <v>NE</v>
      </c>
      <c r="I277" s="2792" t="str">
        <f t="shared" si="1"/>
        <v>NE</v>
      </c>
      <c r="J277" s="3652">
        <f t="shared" si="1"/>
        <v>66.471321901027295</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411.17545121190057</v>
      </c>
      <c r="E281" s="2770" t="str">
        <f t="shared" si="2"/>
        <v>NA</v>
      </c>
      <c r="F281" s="2768" t="str">
        <f t="shared" si="2"/>
        <v>NA</v>
      </c>
      <c r="G281" s="3653">
        <f t="shared" si="2"/>
        <v>121.43878916005843</v>
      </c>
      <c r="H281" s="2795" t="str">
        <f t="shared" ref="H281" si="3">H306</f>
        <v>NA</v>
      </c>
      <c r="I281" s="2773" t="str">
        <f t="shared" ref="I281:J281" si="4">I306</f>
        <v>NA</v>
      </c>
      <c r="J281" s="3662">
        <f t="shared" si="4"/>
        <v>49.932648927513888</v>
      </c>
    </row>
    <row r="282" spans="2:10" ht="18" customHeight="1" outlineLevel="1" x14ac:dyDescent="0.2">
      <c r="B282" s="2862" t="str">
        <f>B307</f>
        <v>Other Constructed Water Bodies</v>
      </c>
      <c r="C282" s="2850" t="str">
        <f t="shared" si="2"/>
        <v>Other Constructed Water Bodies</v>
      </c>
      <c r="D282" s="3647">
        <f t="shared" si="2"/>
        <v>197.85971274000818</v>
      </c>
      <c r="E282" s="2770" t="str">
        <f t="shared" si="2"/>
        <v>NA</v>
      </c>
      <c r="F282" s="2768" t="str">
        <f t="shared" si="2"/>
        <v>NA</v>
      </c>
      <c r="G282" s="3653">
        <f t="shared" si="2"/>
        <v>83.587875189354804</v>
      </c>
      <c r="H282" s="2860" t="str">
        <f t="shared" ref="H282" si="5">H307</f>
        <v>NA</v>
      </c>
      <c r="I282" s="2861" t="str">
        <f t="shared" ref="I282:J282" si="6">I307</f>
        <v>NA</v>
      </c>
      <c r="J282" s="3662">
        <f t="shared" si="6"/>
        <v>16.5386729735134</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66.471321901027295</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609.03516395190877</v>
      </c>
      <c r="E302" s="2770" t="s">
        <v>205</v>
      </c>
      <c r="F302" s="2768" t="s">
        <v>205</v>
      </c>
      <c r="G302" s="3653">
        <f>IF(SUM(D302)=0,"NA",J302*1000/D302)</f>
        <v>109.14200991238013</v>
      </c>
      <c r="H302" s="2793" t="s">
        <v>221</v>
      </c>
      <c r="I302" s="2792" t="s">
        <v>221</v>
      </c>
      <c r="J302" s="3652">
        <f t="shared" ref="J302" si="7">IF(SUM(J306:J307)=0,"NO",SUM(J306:J307))</f>
        <v>66.471321901027295</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411.17545121190057</v>
      </c>
      <c r="E306" s="2770" t="s">
        <v>205</v>
      </c>
      <c r="F306" s="2768" t="s">
        <v>205</v>
      </c>
      <c r="G306" s="3653">
        <f>IF(SUM(D306)=0,"NA",J306*1000/D306)</f>
        <v>121.43878916005843</v>
      </c>
      <c r="H306" s="2795" t="s">
        <v>205</v>
      </c>
      <c r="I306" s="2773" t="s">
        <v>205</v>
      </c>
      <c r="J306" s="3662">
        <v>49.932648927513888</v>
      </c>
    </row>
    <row r="307" spans="2:10" ht="18" customHeight="1" outlineLevel="2" x14ac:dyDescent="0.2">
      <c r="B307" s="2862" t="s">
        <v>1554</v>
      </c>
      <c r="C307" s="2850" t="s">
        <v>1554</v>
      </c>
      <c r="D307" s="3650">
        <v>197.85971274000818</v>
      </c>
      <c r="E307" s="2770" t="s">
        <v>205</v>
      </c>
      <c r="F307" s="2768" t="s">
        <v>205</v>
      </c>
      <c r="G307" s="3653">
        <f>IF(SUM(D307)=0,"NA",J307*1000/D307)</f>
        <v>83.587875189354804</v>
      </c>
      <c r="H307" s="2795" t="s">
        <v>205</v>
      </c>
      <c r="I307" s="2773" t="s">
        <v>205</v>
      </c>
      <c r="J307" s="3662">
        <v>16.5386729735134</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0.60803333730129738</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2.8240536536334795</v>
      </c>
      <c r="E327" s="2791" t="str">
        <f t="shared" ref="E327:J327" si="8">E331</f>
        <v>NA</v>
      </c>
      <c r="F327" s="2792" t="str">
        <f t="shared" si="8"/>
        <v>NA</v>
      </c>
      <c r="G327" s="3655">
        <f t="shared" si="8"/>
        <v>215.3051648006016</v>
      </c>
      <c r="H327" s="2793" t="str">
        <f t="shared" si="8"/>
        <v>IE</v>
      </c>
      <c r="I327" s="2792" t="str">
        <f t="shared" si="8"/>
        <v>NA</v>
      </c>
      <c r="J327" s="3652">
        <f t="shared" si="8"/>
        <v>0.60803333730129738</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2.8240536536334795</v>
      </c>
      <c r="E331" s="2770" t="str">
        <f t="shared" si="9"/>
        <v>NA</v>
      </c>
      <c r="F331" s="2768" t="str">
        <f t="shared" si="9"/>
        <v>NA</v>
      </c>
      <c r="G331" s="3653">
        <f t="shared" si="9"/>
        <v>215.3051648006016</v>
      </c>
      <c r="H331" s="2780" t="str">
        <f t="shared" si="9"/>
        <v>IE</v>
      </c>
      <c r="I331" s="2773" t="str">
        <f t="shared" si="9"/>
        <v>NA</v>
      </c>
      <c r="J331" s="3662">
        <f t="shared" si="9"/>
        <v>0.60803333730129738</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0.60803333730129738</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2.8240536536334795</v>
      </c>
      <c r="E411" s="2791" t="str">
        <f t="shared" ref="E411:J411" si="10">E415</f>
        <v>NA</v>
      </c>
      <c r="F411" s="2792" t="str">
        <f t="shared" si="10"/>
        <v>NA</v>
      </c>
      <c r="G411" s="3655">
        <f t="shared" si="10"/>
        <v>215.3051648006016</v>
      </c>
      <c r="H411" s="2793" t="str">
        <f t="shared" si="10"/>
        <v>IE</v>
      </c>
      <c r="I411" s="2792" t="str">
        <f t="shared" si="10"/>
        <v>NA</v>
      </c>
      <c r="J411" s="3652">
        <f t="shared" si="10"/>
        <v>0.60803333730129738</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2.8240536536334795</v>
      </c>
      <c r="E415" s="2770" t="str">
        <f>E427</f>
        <v>NA</v>
      </c>
      <c r="F415" s="2768" t="str">
        <f>F427</f>
        <v>NA</v>
      </c>
      <c r="G415" s="3653">
        <f t="shared" ref="G415:J415" si="11">G427</f>
        <v>215.3051648006016</v>
      </c>
      <c r="H415" s="2795" t="str">
        <f t="shared" si="11"/>
        <v>IE</v>
      </c>
      <c r="I415" s="2773" t="str">
        <f t="shared" si="11"/>
        <v>NA</v>
      </c>
      <c r="J415" s="3662">
        <f t="shared" si="11"/>
        <v>0.60803333730129738</v>
      </c>
    </row>
    <row r="416" spans="2:10" ht="18" customHeight="1" outlineLevel="2" x14ac:dyDescent="0.2">
      <c r="B416" s="2857" t="s">
        <v>1564</v>
      </c>
      <c r="C416" s="2843"/>
      <c r="D416" s="3649"/>
      <c r="E416" s="2824"/>
      <c r="F416" s="2825"/>
      <c r="G416" s="3656"/>
      <c r="H416" s="2834" t="s">
        <v>221</v>
      </c>
      <c r="I416" s="2830" t="s">
        <v>221</v>
      </c>
      <c r="J416" s="3659">
        <f>J423</f>
        <v>0.60803333730129738</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2.8240536536334795</v>
      </c>
      <c r="E423" s="2791" t="str">
        <f t="shared" ref="E423:J423" si="12">E427</f>
        <v>NA</v>
      </c>
      <c r="F423" s="2792" t="str">
        <f t="shared" si="12"/>
        <v>NA</v>
      </c>
      <c r="G423" s="3655">
        <f t="shared" si="12"/>
        <v>215.3051648006016</v>
      </c>
      <c r="H423" s="2793" t="str">
        <f t="shared" si="12"/>
        <v>IE</v>
      </c>
      <c r="I423" s="2792" t="str">
        <f t="shared" si="12"/>
        <v>NA</v>
      </c>
      <c r="J423" s="3652">
        <f t="shared" si="12"/>
        <v>0.60803333730129738</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2.8240536536334795</v>
      </c>
      <c r="E427" s="2770" t="s">
        <v>205</v>
      </c>
      <c r="F427" s="2768" t="s">
        <v>205</v>
      </c>
      <c r="G427" s="3653">
        <f>IF(SUM(D427)=0,"NA",J427*1000/D427)</f>
        <v>215.3051648006016</v>
      </c>
      <c r="H427" s="4306" t="s">
        <v>274</v>
      </c>
      <c r="I427" s="2773" t="s">
        <v>205</v>
      </c>
      <c r="J427" s="3662">
        <v>0.60803333730129738</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657132.27281092247</v>
      </c>
      <c r="D10" s="3577">
        <f>IF(SUM(D11,D20,D28,D37,D46,D55)=0,"NO",SUM(D11,D20,D28,D37,D46,D55))</f>
        <v>53089.8254029932</v>
      </c>
      <c r="E10" s="3592">
        <f t="shared" ref="E10:E12" si="0">IF(SUM(C10)=0,"NA",G10/C10*1000/(44/28))</f>
        <v>1.7919917130426383E-3</v>
      </c>
      <c r="F10" s="3593">
        <f t="shared" ref="F10:F11" si="1">IF(SUM(D10)=0,"NA",H10/D10*1000/(44/28))</f>
        <v>7.4999999999999997E-3</v>
      </c>
      <c r="G10" s="4464">
        <f>IF(SUM(G11,G20,G28,G37,G46,G55)=0,"NO",SUM(G11,G20,G28,G37,G46,G55))</f>
        <v>1.8504759228215029</v>
      </c>
      <c r="H10" s="4465">
        <f>IF(SUM(H11,H20,H28,H37,H46,H55)=0,"NO",SUM(H11,H20,H28,H37,H46,H55))</f>
        <v>0.62570151367813409</v>
      </c>
      <c r="I10" s="4466">
        <f t="shared" ref="I10:I11" si="2">IF(SUM(G10:H10)=0,"NO",SUM(G10:H10))</f>
        <v>2.4761774364996372</v>
      </c>
    </row>
    <row r="11" spans="2:10" ht="18" customHeight="1" x14ac:dyDescent="0.2">
      <c r="B11" s="2863" t="s">
        <v>1605</v>
      </c>
      <c r="C11" s="3578">
        <f>IF(SUM(C12:C13)=0,"NO",SUM(C12:C13))</f>
        <v>136135.21397591024</v>
      </c>
      <c r="D11" s="3579">
        <f>IF(SUM(D12:D13)=0,"NO",SUM(D12:D13))</f>
        <v>33134.083741920454</v>
      </c>
      <c r="E11" s="3594">
        <f t="shared" si="0"/>
        <v>3.5779357670606125E-3</v>
      </c>
      <c r="F11" s="3595">
        <f t="shared" si="1"/>
        <v>7.4999999999999997E-3</v>
      </c>
      <c r="G11" s="4467">
        <f>IF(SUM(G12:G13)=0,"NO",SUM(G12:G13))</f>
        <v>0.76541622337849269</v>
      </c>
      <c r="H11" s="4468">
        <f>IF(SUM(H12:H13)=0,"NO",SUM(H12:H13))</f>
        <v>0.39050884410120529</v>
      </c>
      <c r="I11" s="4469">
        <f t="shared" si="2"/>
        <v>1.1559250674796979</v>
      </c>
    </row>
    <row r="12" spans="2:10" ht="18" customHeight="1" x14ac:dyDescent="0.2">
      <c r="B12" s="917" t="s">
        <v>1606</v>
      </c>
      <c r="C12" s="3580">
        <f>Table4.A!E11</f>
        <v>123842.62431671099</v>
      </c>
      <c r="D12" s="3581">
        <f>H12/F12*1000/(44/28)</f>
        <v>10451.236829111594</v>
      </c>
      <c r="E12" s="3596">
        <f t="shared" si="0"/>
        <v>8.3676318929219631E-4</v>
      </c>
      <c r="F12" s="3597">
        <v>7.4999999999999997E-3</v>
      </c>
      <c r="G12" s="4470">
        <v>0.16284234888989005</v>
      </c>
      <c r="H12" s="4471">
        <v>0.12317529120024377</v>
      </c>
      <c r="I12" s="4472">
        <f>IF(SUM(G12:H12)=0,"NO",SUM(G12:H12))</f>
        <v>0.28601764009013381</v>
      </c>
    </row>
    <row r="13" spans="2:10" ht="18" customHeight="1" x14ac:dyDescent="0.2">
      <c r="B13" s="917" t="s">
        <v>1607</v>
      </c>
      <c r="C13" s="3582">
        <f>IF(SUM(C15:C19)=0,"NO",SUM(C15:C19))</f>
        <v>12292.58965919926</v>
      </c>
      <c r="D13" s="3583">
        <f>IF(SUM(D15:D19)=0,"NO",SUM(D15:D19))</f>
        <v>22682.846912808862</v>
      </c>
      <c r="E13" s="3599">
        <f>IF(SUM(C13)=0,"NA",G13/C13*1000/(44/28))</f>
        <v>3.1194086240431046E-2</v>
      </c>
      <c r="F13" s="3598">
        <f>IF(SUM(D13)=0,"NA",H13/D13*1000/(44/28))</f>
        <v>7.4999999999999989E-3</v>
      </c>
      <c r="G13" s="4473">
        <f>IF(SUM(G15:G19)=0,"NO",SUM(G15:G19))</f>
        <v>0.60257387448860267</v>
      </c>
      <c r="H13" s="4474">
        <f>IF(SUM(H15:H19)=0,"NO",SUM(H15:H19))</f>
        <v>0.2673335529009615</v>
      </c>
      <c r="I13" s="4472">
        <f>IF(SUM(G13:H13)=0,"NO",SUM(G13:H13))</f>
        <v>0.86990742738956417</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79.865462657393621</v>
      </c>
      <c r="D15" s="3581">
        <f>H15/F15*1000/(44/28)</f>
        <v>201.25855010263234</v>
      </c>
      <c r="E15" s="3599">
        <f>IF(SUM(C15)=0,"NA",G15/C15*1000/(44/28))</f>
        <v>4.8603380245924303E-2</v>
      </c>
      <c r="F15" s="3597">
        <v>7.4999999999999997E-3</v>
      </c>
      <c r="G15" s="4477">
        <v>6.0998637072276676E-3</v>
      </c>
      <c r="H15" s="4478">
        <v>2.3719757690667384E-3</v>
      </c>
      <c r="I15" s="4472">
        <f>IF(SUM(G15:H15)=0,"NO",SUM(G15:H15))</f>
        <v>8.4718394762944051E-3</v>
      </c>
    </row>
    <row r="16" spans="2:10" ht="18" customHeight="1" x14ac:dyDescent="0.2">
      <c r="B16" s="518" t="s">
        <v>1609</v>
      </c>
      <c r="C16" s="3584">
        <f>Table4.A!E19</f>
        <v>12149.646453889769</v>
      </c>
      <c r="D16" s="3581">
        <f>H16/F16*1000/(44/28)</f>
        <v>22213.52792509324</v>
      </c>
      <c r="E16" s="3599">
        <f t="shared" ref="E16:E21" si="3">IF(SUM(C16)=0,"NA",G16/C16*1000/(44/28))</f>
        <v>3.0814623458437902E-2</v>
      </c>
      <c r="F16" s="3597">
        <v>7.4999999999999997E-3</v>
      </c>
      <c r="G16" s="4477">
        <v>0.58832208384676343</v>
      </c>
      <c r="H16" s="4478">
        <v>0.26180229340288458</v>
      </c>
      <c r="I16" s="4472">
        <f t="shared" ref="I16:I21" si="4">IF(SUM(G16:H16)=0,"NO",SUM(G16:H16))</f>
        <v>0.85012437724964807</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63.07774265209833</v>
      </c>
      <c r="D18" s="3581">
        <f>H18/F18*1000/(44/28)</f>
        <v>268.06043761298821</v>
      </c>
      <c r="E18" s="3599">
        <f t="shared" si="3"/>
        <v>8.2241209805048843E-2</v>
      </c>
      <c r="F18" s="3597">
        <v>7.4999999999999997E-3</v>
      </c>
      <c r="G18" s="4477">
        <v>8.1519269346115794E-3</v>
      </c>
      <c r="H18" s="4478">
        <v>3.1592837290102178E-3</v>
      </c>
      <c r="I18" s="4472">
        <f t="shared" si="4"/>
        <v>1.1311210663621797E-2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2275.9405901761215</v>
      </c>
      <c r="D20" s="3589">
        <f>D21</f>
        <v>2128.4594037151041</v>
      </c>
      <c r="E20" s="3602">
        <f t="shared" si="3"/>
        <v>1.9587879767190858E-2</v>
      </c>
      <c r="F20" s="3603">
        <f t="shared" si="5"/>
        <v>7.4999999999999997E-3</v>
      </c>
      <c r="G20" s="4482">
        <f>G21</f>
        <v>7.0055622430576003E-2</v>
      </c>
      <c r="H20" s="4483">
        <f>H21</f>
        <v>2.5085414400928013E-2</v>
      </c>
      <c r="I20" s="4484">
        <f t="shared" si="4"/>
        <v>9.5141036831504017E-2</v>
      </c>
    </row>
    <row r="21" spans="2:9" ht="18" customHeight="1" x14ac:dyDescent="0.2">
      <c r="B21" s="917" t="s">
        <v>1614</v>
      </c>
      <c r="C21" s="3582">
        <f>IF(SUM(C23:C27)=0,"NO",SUM(C23:C27))</f>
        <v>2275.9405901761215</v>
      </c>
      <c r="D21" s="3583">
        <f>IF(SUM(D23:D27)=0,"NO",SUM(D23:D27))</f>
        <v>2128.4594037151041</v>
      </c>
      <c r="E21" s="3599">
        <f t="shared" si="3"/>
        <v>1.9587879767190858E-2</v>
      </c>
      <c r="F21" s="3598">
        <f t="shared" si="5"/>
        <v>7.4999999999999997E-3</v>
      </c>
      <c r="G21" s="4473">
        <f>IF(SUM(G23:G27)=0,"NO",SUM(G23:G27))</f>
        <v>7.0055622430576003E-2</v>
      </c>
      <c r="H21" s="4474">
        <f>IF(SUM(H23:H27)=0,"NO",SUM(H23:H27))</f>
        <v>2.5085414400928013E-2</v>
      </c>
      <c r="I21" s="4472">
        <f t="shared" si="4"/>
        <v>9.5141036831504017E-2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2275.9405901761215</v>
      </c>
      <c r="D23" s="3581">
        <f>H23/F23*1000/(44/28)</f>
        <v>2128.4594037151041</v>
      </c>
      <c r="E23" s="3599">
        <f>IF(SUM(C23)=0,"NA",G23/C23*1000/(44/28))</f>
        <v>1.9587879767190858E-2</v>
      </c>
      <c r="F23" s="3597">
        <v>7.4999999999999997E-3</v>
      </c>
      <c r="G23" s="4477">
        <v>7.0055622430576003E-2</v>
      </c>
      <c r="H23" s="4478">
        <v>2.5085414400928013E-2</v>
      </c>
      <c r="I23" s="4472">
        <f>IF(SUM(G23:H23)=0,"NO",SUM(G23:H23))</f>
        <v>9.5141036831504017E-2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517196.00261549855</v>
      </c>
      <c r="D28" s="3579">
        <f>IF(SUM(D29:D30)=0,"NO",SUM(D29:D30))</f>
        <v>17367.783126719314</v>
      </c>
      <c r="E28" s="3594">
        <f t="shared" si="6"/>
        <v>1.2300006795458772E-3</v>
      </c>
      <c r="F28" s="3595">
        <f t="shared" si="7"/>
        <v>7.4999999999999997E-3</v>
      </c>
      <c r="G28" s="4467">
        <f>IF(SUM(G29:G30)=0,"NO",SUM(G29:G30))</f>
        <v>0.99966654020431722</v>
      </c>
      <c r="H28" s="4468">
        <f>IF(SUM(H29:H30)=0,"NO",SUM(H29:H30))</f>
        <v>0.20469172970776334</v>
      </c>
      <c r="I28" s="4484">
        <f t="shared" si="8"/>
        <v>1.2043582699120805</v>
      </c>
    </row>
    <row r="29" spans="2:9" ht="18" customHeight="1" x14ac:dyDescent="0.2">
      <c r="B29" s="917" t="s">
        <v>1621</v>
      </c>
      <c r="C29" s="3580">
        <f>Table4.C!E11</f>
        <v>503862.54169466603</v>
      </c>
      <c r="D29" s="3581">
        <f>H29/F29*1000/(44/28)</f>
        <v>10156.138831403356</v>
      </c>
      <c r="E29" s="3596">
        <f t="shared" si="6"/>
        <v>6.5032799881606395E-4</v>
      </c>
      <c r="F29" s="3597">
        <v>7.4999999999999997E-3</v>
      </c>
      <c r="G29" s="4470">
        <v>0.51491930037219213</v>
      </c>
      <c r="H29" s="4471">
        <v>0.11969735051296812</v>
      </c>
      <c r="I29" s="4472">
        <f t="shared" si="8"/>
        <v>0.63461665088516028</v>
      </c>
    </row>
    <row r="30" spans="2:9" ht="18" customHeight="1" x14ac:dyDescent="0.2">
      <c r="B30" s="917" t="s">
        <v>1622</v>
      </c>
      <c r="C30" s="3582">
        <f>IF(SUM(C32:C36)=0,"NO",SUM(C32:C36))</f>
        <v>13333.460920832515</v>
      </c>
      <c r="D30" s="3583">
        <f>IF(SUM(D32:D36)=0,"NO",SUM(D32:D36))</f>
        <v>7211.6442953159594</v>
      </c>
      <c r="E30" s="3599">
        <f>IF(SUM(C30)=0,"NA",G30/C30*1000/(44/28))</f>
        <v>2.3135442334768268E-2</v>
      </c>
      <c r="F30" s="3598">
        <f>IF(SUM(D30)=0,"NA",H30/D30*1000/(44/28))</f>
        <v>7.4999999999999997E-3</v>
      </c>
      <c r="G30" s="4473">
        <f>IF(SUM(G32:G36)=0,"NO",SUM(G32:G36))</f>
        <v>0.48474723983212503</v>
      </c>
      <c r="H30" s="4474">
        <f>IF(SUM(H32:H36)=0,"NO",SUM(H32:H36))</f>
        <v>8.499437919479523E-2</v>
      </c>
      <c r="I30" s="4472">
        <f t="shared" si="8"/>
        <v>0.56974161902692022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13333.460920832515</v>
      </c>
      <c r="D32" s="3581">
        <f>H32/F32*1000/(44/28)</f>
        <v>7211.6442953159594</v>
      </c>
      <c r="E32" s="3599">
        <f>IF(SUM(C32)=0,"NA",G32/C32*1000/(44/28))</f>
        <v>2.3135442334768268E-2</v>
      </c>
      <c r="F32" s="3597">
        <v>7.4999999999999997E-3</v>
      </c>
      <c r="G32" s="4477">
        <v>0.48474723983212503</v>
      </c>
      <c r="H32" s="4478">
        <v>8.499437919479523E-2</v>
      </c>
      <c r="I32" s="4472">
        <f t="shared" si="8"/>
        <v>0.56974161902692022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1525.1156293374972</v>
      </c>
      <c r="D46" s="3579">
        <f>IF(SUM(D47:D48)=0,"NO",SUM(D47:D48))</f>
        <v>459.49913063833196</v>
      </c>
      <c r="E46" s="3594">
        <f t="shared" si="11"/>
        <v>6.399679151091177E-3</v>
      </c>
      <c r="F46" s="3595">
        <f t="shared" si="12"/>
        <v>7.4999999999999997E-3</v>
      </c>
      <c r="G46" s="4467">
        <f>IF(SUM(G47:G48)=0,"NO",SUM(G47:G48))</f>
        <v>1.5337536808117041E-2</v>
      </c>
      <c r="H46" s="4468">
        <f>IF(SUM(H47:H48)=0,"NO",SUM(H47:H48))</f>
        <v>5.4155254682374835E-3</v>
      </c>
      <c r="I46" s="4469">
        <f t="shared" si="8"/>
        <v>2.0753062276354525E-2</v>
      </c>
    </row>
    <row r="47" spans="2:9" ht="18" customHeight="1" x14ac:dyDescent="0.2">
      <c r="B47" s="917" t="s">
        <v>1637</v>
      </c>
      <c r="C47" s="3580">
        <f>Table4.E!E11</f>
        <v>1105.692077664</v>
      </c>
      <c r="D47" s="3581">
        <f>H47/F47*1000/(44/28)</f>
        <v>3.1318544558602448</v>
      </c>
      <c r="E47" s="3596">
        <f t="shared" si="11"/>
        <v>4.2095073801412419E-5</v>
      </c>
      <c r="F47" s="3597">
        <v>7.4999999999999997E-3</v>
      </c>
      <c r="G47" s="4470">
        <v>7.3140869388562031E-5</v>
      </c>
      <c r="H47" s="4471">
        <v>3.6911141801210022E-5</v>
      </c>
      <c r="I47" s="4472">
        <f t="shared" si="8"/>
        <v>1.1005201118977206E-4</v>
      </c>
    </row>
    <row r="48" spans="2:9" ht="18" customHeight="1" x14ac:dyDescent="0.2">
      <c r="B48" s="917" t="s">
        <v>1638</v>
      </c>
      <c r="C48" s="3582">
        <f>IF(SUM(C50:C54)=0,"NO",SUM(C50:C54))</f>
        <v>419.42355167349729</v>
      </c>
      <c r="D48" s="3583">
        <f>IF(SUM(D50:D54)=0,"NO",SUM(D50:D54))</f>
        <v>456.3672761824717</v>
      </c>
      <c r="E48" s="3599">
        <f>IF(SUM(C48)=0,"NA",G48/C48*1000/(44/28))</f>
        <v>2.3159659174373855E-2</v>
      </c>
      <c r="F48" s="3598">
        <f>IF(SUM(D48)=0,"NA",H48/D48*1000/(44/28))</f>
        <v>7.4999999999999997E-3</v>
      </c>
      <c r="G48" s="4473">
        <f>IF(SUM(G50:G54)=0,"NO",SUM(G50:G54))</f>
        <v>1.5264395938728479E-2</v>
      </c>
      <c r="H48" s="4474">
        <f>IF(SUM(H50:H54)=0,"NO",SUM(H50:H54))</f>
        <v>5.3786143264362733E-3</v>
      </c>
      <c r="I48" s="4472">
        <f t="shared" si="8"/>
        <v>2.0643010265164751E-2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419.42355167349729</v>
      </c>
      <c r="D50" s="3581">
        <f>H50/F50*1000/(44/28)</f>
        <v>456.3672761824717</v>
      </c>
      <c r="E50" s="3599">
        <f>IF(SUM(C50)=0,"NA",G50/C50*1000/(44/28))</f>
        <v>2.3159659174373855E-2</v>
      </c>
      <c r="F50" s="3597">
        <v>7.4999999999999997E-3</v>
      </c>
      <c r="G50" s="4477">
        <v>1.5264395938728479E-2</v>
      </c>
      <c r="H50" s="4478">
        <v>5.3786143264362733E-3</v>
      </c>
      <c r="I50" s="4472">
        <f t="shared" si="8"/>
        <v>2.0643010265164751E-2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5270076.6087022563</v>
      </c>
      <c r="D10" s="3055" t="s">
        <v>97</v>
      </c>
      <c r="E10" s="615"/>
      <c r="F10" s="615"/>
      <c r="G10" s="615"/>
      <c r="H10" s="1938">
        <f>IF(SUM(H11:H15)=0,"NO",SUM(H11:H15))</f>
        <v>361755.42857504566</v>
      </c>
      <c r="I10" s="1938">
        <f t="shared" ref="I10:K10" si="0">IF(SUM(I11:I16)=0,"NO",SUM(I11:I16))</f>
        <v>82.057317884315296</v>
      </c>
      <c r="J10" s="1938">
        <f t="shared" si="0"/>
        <v>11.634376737381681</v>
      </c>
      <c r="K10" s="3064" t="str">
        <f t="shared" si="0"/>
        <v>NO</v>
      </c>
    </row>
    <row r="11" spans="2:11" ht="18" customHeight="1" x14ac:dyDescent="0.2">
      <c r="B11" s="282" t="s">
        <v>243</v>
      </c>
      <c r="C11" s="3065">
        <f>IF(SUM(C18,'Table1.A(a)s2'!C11,'Table1.A(a)s3'!C11,'Table1.A(a)s4'!C11,'Table1.A(a)s4'!C94)=0,"NO",SUM(C18,'Table1.A(a)s2'!C11,'Table1.A(a)s3'!C11,'Table1.A(a)s4'!C11,'Table1.A(a)s4'!C94))</f>
        <v>1971738.7113785655</v>
      </c>
      <c r="D11" s="3056" t="s">
        <v>244</v>
      </c>
      <c r="E11" s="1938">
        <f>IFERROR(H11*1000/$C11,"NA")</f>
        <v>68.318091184524121</v>
      </c>
      <c r="F11" s="1938">
        <f t="shared" ref="F11:G16" si="1">IFERROR(I11*1000000/$C11,"NA")</f>
        <v>8.9015809767917702</v>
      </c>
      <c r="G11" s="1938">
        <f t="shared" si="1"/>
        <v>3.5104539419105691</v>
      </c>
      <c r="H11" s="1938">
        <f>IF(SUM(H18,'Table1.A(a)s2'!H11,'Table1.A(a)s3'!H11,'Table1.A(a)s4'!H11,'Table1.A(a)s4'!H94)=0,"NO",SUM(H18,'Table1.A(a)s2'!H11,'Table1.A(a)s3'!H11,'Table1.A(a)s4'!H11,'Table1.A(a)s4'!H94))</f>
        <v>134705.42507601692</v>
      </c>
      <c r="I11" s="1938">
        <f>IF(SUM(I18,'Table1.A(a)s2'!I11,'Table1.A(a)s3'!I11,'Table1.A(a)s4'!I11,'Table1.A(a)s4'!I94)=0,"NO",SUM(I18,'Table1.A(a)s2'!I11,'Table1.A(a)s3'!I11,'Table1.A(a)s4'!I11,'Table1.A(a)s4'!I94))</f>
        <v>17.551591804411359</v>
      </c>
      <c r="J11" s="1938">
        <f>IF(SUM(J18,'Table1.A(a)s2'!J11,'Table1.A(a)s3'!J11,'Table1.A(a)s4'!J11,'Table1.A(a)s4'!J94)=0,"NO",SUM(J18,'Table1.A(a)s2'!J11,'Table1.A(a)s3'!J11,'Table1.A(a)s4'!J11,'Table1.A(a)s4'!J94))</f>
        <v>6.9216979317765519</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1786772.9089982773</v>
      </c>
      <c r="D12" s="3056" t="s">
        <v>97</v>
      </c>
      <c r="E12" s="1938">
        <f t="shared" ref="E12:E16" si="2">IFERROR(H12*1000/$C12,"NA")</f>
        <v>89.791747814390618</v>
      </c>
      <c r="F12" s="1938">
        <f t="shared" si="1"/>
        <v>0.68363987874380494</v>
      </c>
      <c r="G12" s="1938">
        <f t="shared" si="1"/>
        <v>1.3780857364770434</v>
      </c>
      <c r="H12" s="1938">
        <f>IF(SUM(H19,'Table1.A(a)s2'!H12,'Table1.A(a)s3'!H12,'Table1.A(a)s4'!H12,'Table1.A(a)s4'!H95)=0,"NO",SUM(H19,'Table1.A(a)s2'!H12,'Table1.A(a)s3'!H12,'Table1.A(a)s4'!H12,'Table1.A(a)s4'!H95))</f>
        <v>160437.46244635843</v>
      </c>
      <c r="I12" s="1938">
        <f>IF(SUM(I19,'Table1.A(a)s2'!I12,'Table1.A(a)s3'!I12,'Table1.A(a)s4'!I12,'Table1.A(a)s4'!I95)=0,"NO",SUM(I19,'Table1.A(a)s2'!I12,'Table1.A(a)s3'!I12,'Table1.A(a)s4'!I12,'Table1.A(a)s4'!I95))</f>
        <v>1.221509214850298</v>
      </c>
      <c r="J12" s="1938">
        <f>IF(SUM(J19,'Table1.A(a)s2'!J12,'Table1.A(a)s3'!J12,'Table1.A(a)s4'!J12,'Table1.A(a)s4'!J95)=0,"NO",SUM(J19,'Table1.A(a)s2'!J12,'Table1.A(a)s3'!J12,'Table1.A(a)s4'!J12,'Table1.A(a)s4'!J95))</f>
        <v>2.46232626021412</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1298181.4454430409</v>
      </c>
      <c r="D13" s="3056" t="s">
        <v>244</v>
      </c>
      <c r="E13" s="1938">
        <f t="shared" si="2"/>
        <v>51.174388235160002</v>
      </c>
      <c r="F13" s="1938">
        <f t="shared" si="1"/>
        <v>16.576289267266027</v>
      </c>
      <c r="G13" s="1938">
        <f t="shared" si="1"/>
        <v>0.99894842942174833</v>
      </c>
      <c r="H13" s="1938">
        <f>IF(SUM(H20,'Table1.A(a)s2'!H13,'Table1.A(a)s3'!H13,'Table1.A(a)s4'!H13,'Table1.A(a)s4'!H96)=0,"NO",SUM(H20,'Table1.A(a)s2'!H13,'Table1.A(a)s3'!H13,'Table1.A(a)s4'!H13,'Table1.A(a)s4'!H96))</f>
        <v>66433.641288783358</v>
      </c>
      <c r="I13" s="1938">
        <f>IF(SUM(I20,'Table1.A(a)s2'!I13,'Table1.A(a)s3'!I13,'Table1.A(a)s4'!I13,'Table1.A(a)s4'!I96)=0,"NO",SUM(I20,'Table1.A(a)s2'!I13,'Table1.A(a)s3'!I13,'Table1.A(a)s4'!I13,'Table1.A(a)s4'!I96))</f>
        <v>21.519031161061378</v>
      </c>
      <c r="J13" s="1938">
        <f>IF(SUM(J20,'Table1.A(a)s2'!J13,'Table1.A(a)s3'!J13,'Table1.A(a)s4'!J13,'Table1.A(a)s4'!J96)=0,"NO",SUM(J20,'Table1.A(a)s2'!J13,'Table1.A(a)s3'!J13,'Table1.A(a)s4'!J13,'Table1.A(a)s4'!J96))</f>
        <v>1.2968163160297808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4211.799634525456</v>
      </c>
      <c r="D14" s="3056" t="s">
        <v>244</v>
      </c>
      <c r="E14" s="1938">
        <f t="shared" si="2"/>
        <v>42.475848665853952</v>
      </c>
      <c r="F14" s="1938">
        <f t="shared" si="1"/>
        <v>1.0238141580442419</v>
      </c>
      <c r="G14" s="1938">
        <f t="shared" si="1"/>
        <v>0.42283253158485024</v>
      </c>
      <c r="H14" s="1938">
        <f>IF(SUM(H21,'Table1.A(a)s2'!H14,'Table1.A(a)s3'!H14,'Table1.A(a)s4'!H14,'Table1.A(a)s4'!H97)=0,"NO",SUM(H21,'Table1.A(a)s2'!H14,'Table1.A(a)s3'!H14,'Table1.A(a)s4'!H14,'Table1.A(a)s4'!H97))</f>
        <v>178.89976388700225</v>
      </c>
      <c r="I14" s="1938">
        <f>IF(SUM(I21,'Table1.A(a)s2'!I14,'Table1.A(a)s3'!I14,'Table1.A(a)s4'!I14,'Table1.A(a)s4'!I97)=0,"NO",SUM(I21,'Table1.A(a)s2'!I14,'Table1.A(a)s3'!I14,'Table1.A(a)s4'!I14,'Table1.A(a)s4'!I97))</f>
        <v>4.3121000966727255E-3</v>
      </c>
      <c r="J14" s="1938">
        <f>IF(SUM(J21,'Table1.A(a)s2'!J14,'Table1.A(a)s3'!J14,'Table1.A(a)s4'!J14,'Table1.A(a)s4'!J97)=0,"NO",SUM(J21,'Table1.A(a)s2'!J14,'Table1.A(a)s3'!J14,'Table1.A(a)s4'!J14,'Table1.A(a)s4'!J97))</f>
        <v>1.7808859019945455E-3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209171.74324784699</v>
      </c>
      <c r="D16" s="3058" t="s">
        <v>244</v>
      </c>
      <c r="E16" s="2891">
        <f t="shared" si="2"/>
        <v>85.568324520129678</v>
      </c>
      <c r="F16" s="1938">
        <f t="shared" si="1"/>
        <v>199.64873340665926</v>
      </c>
      <c r="G16" s="1938">
        <f t="shared" si="1"/>
        <v>4.5501143160216504</v>
      </c>
      <c r="H16" s="2891">
        <f>IF(SUM(H23,'Table1.A(a)s2'!H16,'Table1.A(a)s3'!H15,'Table1.A(a)s4'!H16,'Table1.A(a)s4'!H99)=0,"NO",SUM(H23,'Table1.A(a)s2'!H16,'Table1.A(a)s3'!H15,'Table1.A(a)s4'!H16,'Table1.A(a)s4'!H99))</f>
        <v>17898.475606673015</v>
      </c>
      <c r="I16" s="2891">
        <f>IF(SUM(I23,'Table1.A(a)s2'!I16,'Table1.A(a)s3'!I15,'Table1.A(a)s4'!I16,'Table1.A(a)s4'!I99)=0,"NO",SUM(I23,'Table1.A(a)s2'!I16,'Table1.A(a)s3'!I15,'Table1.A(a)s4'!I16,'Table1.A(a)s4'!I99))</f>
        <v>41.760873603895583</v>
      </c>
      <c r="J16" s="2891">
        <f>IF(SUM(J23,'Table1.A(a)s2'!J16,'Table1.A(a)s3'!J15,'Table1.A(a)s4'!J16,'Table1.A(a)s4'!J99)=0,"NO",SUM(J23,'Table1.A(a)s2'!J16,'Table1.A(a)s3'!J15,'Table1.A(a)s4'!J16,'Table1.A(a)s4'!J99))</f>
        <v>0.95175534345923352</v>
      </c>
      <c r="K16" s="3045" t="str">
        <f>IF(SUM(K23,'Table1.A(a)s2'!K16,'Table1.A(a)s3'!K15,'Table1.A(a)s4'!K16,'Table1.A(a)s4'!K99)=0,"NO",SUM(K23,'Table1.A(a)s2'!K16,'Table1.A(a)s3'!K15,'Table1.A(a)s4'!K16,'Table1.A(a)s4'!K99))</f>
        <v>NO</v>
      </c>
    </row>
    <row r="17" spans="2:12" ht="18" customHeight="1" x14ac:dyDescent="0.2">
      <c r="B17" s="2209" t="s">
        <v>175</v>
      </c>
      <c r="C17" s="3046">
        <f>IF(SUM(C18:C23)=0,"NO",SUM(C18:C23))</f>
        <v>2678832.9804476267</v>
      </c>
      <c r="D17" s="3059" t="s">
        <v>97</v>
      </c>
      <c r="E17" s="3060"/>
      <c r="F17" s="3060"/>
      <c r="G17" s="3060"/>
      <c r="H17" s="3046">
        <f>IF(SUM(H18:H22)=0,"NO",SUM(H18:H22))</f>
        <v>203661.98819126308</v>
      </c>
      <c r="I17" s="3046">
        <f t="shared" ref="I17" si="3">IF(SUM(I18:I23)=0,"NO",SUM(I18:I23))</f>
        <v>25.920302178925134</v>
      </c>
      <c r="J17" s="3046">
        <f t="shared" ref="J17" si="4">IF(SUM(J18:J23)=0,"NO",SUM(J18:J23))</f>
        <v>3.9078887872154984</v>
      </c>
      <c r="K17" s="3047" t="str">
        <f t="shared" ref="K17" si="5">IF(SUM(K18:K23)=0,"NO",SUM(K18:K23))</f>
        <v>NO</v>
      </c>
    </row>
    <row r="18" spans="2:12" ht="18" customHeight="1" x14ac:dyDescent="0.2">
      <c r="B18" s="282" t="s">
        <v>243</v>
      </c>
      <c r="C18" s="3065">
        <f>IF(SUM(C25,C54,C61)=0,"NO",SUM(C25,C54,C61))</f>
        <v>230641.16295544099</v>
      </c>
      <c r="D18" s="3056" t="s">
        <v>97</v>
      </c>
      <c r="E18" s="1938">
        <f>IFERROR(H18*1000/$C18,"NA")</f>
        <v>67.120708563774002</v>
      </c>
      <c r="F18" s="1938">
        <f t="shared" ref="F18:G23" si="6">IFERROR(I18*1000000/$C18,"NA")</f>
        <v>2.7131599840640437</v>
      </c>
      <c r="G18" s="1938">
        <f t="shared" si="6"/>
        <v>1.8083360057993385</v>
      </c>
      <c r="H18" s="3065">
        <f>IF(SUM(H25,H54,H61)=0,"NO",SUM(H25,H54,H61))</f>
        <v>15480.798281542066</v>
      </c>
      <c r="I18" s="3065">
        <f>IF(SUM(I25,I54,I61)=0,"NO",SUM(I25,I54,I61))</f>
        <v>0.62576637400869672</v>
      </c>
      <c r="J18" s="3065">
        <f>IF(SUM(J25,J54,J61)=0,"NO",SUM(J25,J54,J61))</f>
        <v>0.4170767193917565</v>
      </c>
      <c r="K18" s="3048" t="str">
        <f>IF(SUM(K25,K54,K61)=0,"NO",SUM(K25,K54,K61))</f>
        <v>NO</v>
      </c>
      <c r="L18" s="19"/>
    </row>
    <row r="19" spans="2:12" ht="18" customHeight="1" x14ac:dyDescent="0.2">
      <c r="B19" s="282" t="s">
        <v>245</v>
      </c>
      <c r="C19" s="3065">
        <f t="shared" ref="C19:C23" si="7">IF(SUM(C26,C55,C62)=0,"NO",SUM(C26,C55,C62))</f>
        <v>1666027.4913290411</v>
      </c>
      <c r="D19" s="3056" t="s">
        <v>97</v>
      </c>
      <c r="E19" s="1938">
        <f t="shared" ref="E19:E23" si="8">IFERROR(H19*1000/$C19,"NA")</f>
        <v>90.320397946112749</v>
      </c>
      <c r="F19" s="1938">
        <f t="shared" si="6"/>
        <v>0.6644186601961154</v>
      </c>
      <c r="G19" s="1938">
        <f t="shared" si="6"/>
        <v>1.4271326113762155</v>
      </c>
      <c r="H19" s="3065">
        <f t="shared" ref="H19:K23" si="9">IF(SUM(H26,H55,H62)=0,"NO",SUM(H26,H55,H62))</f>
        <v>150476.2660060029</v>
      </c>
      <c r="I19" s="3065">
        <f t="shared" si="9"/>
        <v>1.1069397536387366</v>
      </c>
      <c r="J19" s="3065">
        <f t="shared" si="9"/>
        <v>2.3776421643249797</v>
      </c>
      <c r="K19" s="3048" t="str">
        <f t="shared" si="9"/>
        <v>NO</v>
      </c>
      <c r="L19" s="19"/>
    </row>
    <row r="20" spans="2:12" ht="18" customHeight="1" x14ac:dyDescent="0.2">
      <c r="B20" s="282" t="s">
        <v>246</v>
      </c>
      <c r="C20" s="3065">
        <f t="shared" si="7"/>
        <v>735953.16934438958</v>
      </c>
      <c r="D20" s="3056" t="s">
        <v>97</v>
      </c>
      <c r="E20" s="1938">
        <f t="shared" si="8"/>
        <v>50.991472215291061</v>
      </c>
      <c r="F20" s="1938">
        <f t="shared" si="6"/>
        <v>27.935152320755197</v>
      </c>
      <c r="G20" s="1938">
        <f t="shared" si="6"/>
        <v>1.2522358702851846</v>
      </c>
      <c r="H20" s="3065">
        <f t="shared" si="9"/>
        <v>37527.335586379842</v>
      </c>
      <c r="I20" s="3065">
        <f t="shared" si="9"/>
        <v>20.55896388657807</v>
      </c>
      <c r="J20" s="3065">
        <f t="shared" si="9"/>
        <v>0.92158695750311148</v>
      </c>
      <c r="K20" s="3048" t="str">
        <f t="shared" si="9"/>
        <v>NO</v>
      </c>
      <c r="L20" s="19"/>
    </row>
    <row r="21" spans="2:12" ht="18" customHeight="1" x14ac:dyDescent="0.2">
      <c r="B21" s="282" t="s">
        <v>247</v>
      </c>
      <c r="C21" s="3065">
        <f t="shared" si="7"/>
        <v>4193.9081399999995</v>
      </c>
      <c r="D21" s="3056" t="s">
        <v>97</v>
      </c>
      <c r="E21" s="1938">
        <f t="shared" si="8"/>
        <v>42.344350760693182</v>
      </c>
      <c r="F21" s="1938">
        <f t="shared" si="6"/>
        <v>1.0281818181818179</v>
      </c>
      <c r="G21" s="1938">
        <f t="shared" si="6"/>
        <v>0.4246363636363637</v>
      </c>
      <c r="H21" s="3065">
        <f t="shared" si="9"/>
        <v>177.58831733828632</v>
      </c>
      <c r="I21" s="3065">
        <f t="shared" si="9"/>
        <v>4.3121000966727255E-3</v>
      </c>
      <c r="J21" s="3065">
        <f t="shared" si="9"/>
        <v>1.7808859019945455E-3</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42017.248678755015</v>
      </c>
      <c r="D23" s="3056" t="s">
        <v>97</v>
      </c>
      <c r="E23" s="1938">
        <f t="shared" si="8"/>
        <v>77.584811237748156</v>
      </c>
      <c r="F23" s="1938">
        <f t="shared" si="6"/>
        <v>86.25791022903185</v>
      </c>
      <c r="G23" s="1938">
        <f t="shared" si="6"/>
        <v>4.5172415153785339</v>
      </c>
      <c r="H23" s="3065">
        <f t="shared" si="9"/>
        <v>3259.9003074707311</v>
      </c>
      <c r="I23" s="3065">
        <f t="shared" si="9"/>
        <v>3.6243200646029572</v>
      </c>
      <c r="J23" s="3065">
        <f t="shared" si="9"/>
        <v>0.18980206009365599</v>
      </c>
      <c r="K23" s="3048" t="str">
        <f t="shared" si="9"/>
        <v>NO</v>
      </c>
      <c r="L23" s="19"/>
    </row>
    <row r="24" spans="2:12" ht="18" customHeight="1" x14ac:dyDescent="0.2">
      <c r="B24" s="1236" t="s">
        <v>250</v>
      </c>
      <c r="C24" s="3065">
        <f>IF(SUM(C25:C30)=0,"NO",SUM(C25:C30))</f>
        <v>2267876.4620229006</v>
      </c>
      <c r="D24" s="3056" t="s">
        <v>97</v>
      </c>
      <c r="E24" s="615"/>
      <c r="F24" s="615"/>
      <c r="G24" s="615"/>
      <c r="H24" s="3065">
        <f>IF(SUM(H25:H29)=0,"NO",SUM(H25:H29))</f>
        <v>179408.66453085624</v>
      </c>
      <c r="I24" s="3065">
        <f t="shared" ref="I24" si="10">IF(SUM(I25:I30)=0,"NO",SUM(I25:I30))</f>
        <v>15.792793180031296</v>
      </c>
      <c r="J24" s="3065">
        <f t="shared" ref="J24" si="11">IF(SUM(J25:J30)=0,"NO",SUM(J25:J30))</f>
        <v>3.3067117238036525</v>
      </c>
      <c r="K24" s="3048" t="str">
        <f t="shared" ref="K24" si="12">IF(SUM(K25:K30)=0,"NO",SUM(K25:K30))</f>
        <v>NO</v>
      </c>
      <c r="L24" s="19"/>
    </row>
    <row r="25" spans="2:12" ht="18" customHeight="1" x14ac:dyDescent="0.2">
      <c r="B25" s="160" t="s">
        <v>243</v>
      </c>
      <c r="C25" s="3053">
        <f>IF(SUM(C33,C40,C47)=0,"NO",SUM(C33,C40,C47))</f>
        <v>49792.019935724929</v>
      </c>
      <c r="D25" s="3061" t="s">
        <v>97</v>
      </c>
      <c r="E25" s="3065">
        <f>IFERROR(H25*1000/$C25,"NA")</f>
        <v>69.349383998095121</v>
      </c>
      <c r="F25" s="1938">
        <f t="shared" ref="F25:G30" si="13">IFERROR(I25*1000000/$C25,"NA")</f>
        <v>3.1190433773295956</v>
      </c>
      <c r="G25" s="1938">
        <f t="shared" si="13"/>
        <v>0.36412009750575741</v>
      </c>
      <c r="H25" s="3065">
        <f>IF(SUM(H33,H40,H47)=0,"NO",SUM(H33,H40,H47))</f>
        <v>3453.0459105633954</v>
      </c>
      <c r="I25" s="3065">
        <f>IF(SUM(I33,I40,I47)=0,"NO",SUM(I33,I40,I47))</f>
        <v>0.15530347002438605</v>
      </c>
      <c r="J25" s="3065">
        <f>IF(SUM(J33,J40,J47)=0,"NO",SUM(J33,J40,J47))</f>
        <v>1.8130275154004779E-2</v>
      </c>
      <c r="K25" s="3048" t="str">
        <f>IF(SUM(K33,K40,K47)=0,"NO",SUM(K33,K40,K47))</f>
        <v>NO</v>
      </c>
      <c r="L25" s="19"/>
    </row>
    <row r="26" spans="2:12" ht="18" customHeight="1" x14ac:dyDescent="0.2">
      <c r="B26" s="160" t="s">
        <v>245</v>
      </c>
      <c r="C26" s="3065">
        <f t="shared" ref="C26:C30" si="14">IF(SUM(C34,C41,C48)=0,"NO",SUM(C34,C41,C48))</f>
        <v>1647850.1882303439</v>
      </c>
      <c r="D26" s="3061" t="s">
        <v>97</v>
      </c>
      <c r="E26" s="3065">
        <f t="shared" ref="E26:E30" si="15">IFERROR(H26*1000/$C26,"NA")</f>
        <v>90.392469055778719</v>
      </c>
      <c r="F26" s="1938">
        <f t="shared" si="13"/>
        <v>0.66115669651657549</v>
      </c>
      <c r="G26" s="1938">
        <f t="shared" si="13"/>
        <v>1.4342654148028557</v>
      </c>
      <c r="H26" s="3065">
        <f t="shared" ref="H26:K30" si="16">IF(SUM(H34,H41,H48)=0,"NO",SUM(H34,H41,H48))</f>
        <v>148953.24714817051</v>
      </c>
      <c r="I26" s="3065">
        <f t="shared" si="16"/>
        <v>1.0894871868045912</v>
      </c>
      <c r="J26" s="3065">
        <f t="shared" si="16"/>
        <v>2.3634545337551582</v>
      </c>
      <c r="K26" s="3048" t="str">
        <f t="shared" si="16"/>
        <v>NO</v>
      </c>
      <c r="L26" s="19"/>
    </row>
    <row r="27" spans="2:12" ht="18" customHeight="1" x14ac:dyDescent="0.2">
      <c r="B27" s="160" t="s">
        <v>246</v>
      </c>
      <c r="C27" s="3065">
        <f t="shared" si="14"/>
        <v>530826.60617807659</v>
      </c>
      <c r="D27" s="3061" t="s">
        <v>97</v>
      </c>
      <c r="E27" s="3065">
        <f t="shared" si="15"/>
        <v>50.86853439117899</v>
      </c>
      <c r="F27" s="1938">
        <f t="shared" si="13"/>
        <v>20.596312585800817</v>
      </c>
      <c r="G27" s="1938">
        <f t="shared" si="13"/>
        <v>1.402884878328865</v>
      </c>
      <c r="H27" s="3065">
        <f t="shared" si="16"/>
        <v>27002.371472122315</v>
      </c>
      <c r="I27" s="3065">
        <f t="shared" si="16"/>
        <v>10.933070709703452</v>
      </c>
      <c r="J27" s="3065">
        <f t="shared" si="16"/>
        <v>0.74468861882185533</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39407.647678755013</v>
      </c>
      <c r="D30" s="3061" t="s">
        <v>97</v>
      </c>
      <c r="E30" s="3065">
        <f t="shared" si="15"/>
        <v>78.212261604330465</v>
      </c>
      <c r="F30" s="1938">
        <f t="shared" si="13"/>
        <v>91.73173296125735</v>
      </c>
      <c r="G30" s="1938">
        <f t="shared" si="13"/>
        <v>4.5787634304777391</v>
      </c>
      <c r="H30" s="3065">
        <f t="shared" si="16"/>
        <v>3082.1612494620731</v>
      </c>
      <c r="I30" s="3065">
        <f t="shared" si="16"/>
        <v>3.6149318134988677</v>
      </c>
      <c r="J30" s="3065">
        <f t="shared" si="16"/>
        <v>0.1804382960726344</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2267876.4620229006</v>
      </c>
      <c r="D32" s="3056" t="s">
        <v>97</v>
      </c>
      <c r="E32" s="1939"/>
      <c r="F32" s="1939"/>
      <c r="G32" s="1939"/>
      <c r="H32" s="3065">
        <f>IF(SUM(H33:H37)=0,"NO",SUM(H33:H37))</f>
        <v>179408.66453085624</v>
      </c>
      <c r="I32" s="3065">
        <f t="shared" ref="I32" si="17">IF(SUM(I33:I38)=0,"NO",SUM(I33:I38))</f>
        <v>15.792793180031296</v>
      </c>
      <c r="J32" s="3065">
        <f t="shared" ref="J32" si="18">IF(SUM(J33:J38)=0,"NO",SUM(J33:J38))</f>
        <v>3.3067117238036525</v>
      </c>
      <c r="K32" s="3048" t="str">
        <f t="shared" ref="K32" si="19">IF(SUM(K33:K38)=0,"NO",SUM(K33:K38))</f>
        <v>NO</v>
      </c>
      <c r="L32" s="19"/>
    </row>
    <row r="33" spans="2:12" ht="18" customHeight="1" x14ac:dyDescent="0.2">
      <c r="B33" s="160" t="s">
        <v>243</v>
      </c>
      <c r="C33" s="3014">
        <v>49792.019935724929</v>
      </c>
      <c r="D33" s="3056" t="s">
        <v>97</v>
      </c>
      <c r="E33" s="1938">
        <f>IFERROR(H33*1000/$C33,"NA")</f>
        <v>69.349383998095121</v>
      </c>
      <c r="F33" s="1938">
        <f t="shared" ref="F33:G38" si="20">IFERROR(I33*1000000/$C33,"NA")</f>
        <v>3.1190433773295956</v>
      </c>
      <c r="G33" s="1938">
        <f t="shared" si="20"/>
        <v>0.36412009750575741</v>
      </c>
      <c r="H33" s="3014">
        <v>3453.0459105633954</v>
      </c>
      <c r="I33" s="3014">
        <v>0.15530347002438605</v>
      </c>
      <c r="J33" s="3014">
        <v>1.8130275154004779E-2</v>
      </c>
      <c r="K33" s="3051" t="s">
        <v>199</v>
      </c>
      <c r="L33" s="19"/>
    </row>
    <row r="34" spans="2:12" ht="18" customHeight="1" x14ac:dyDescent="0.2">
      <c r="B34" s="160" t="s">
        <v>245</v>
      </c>
      <c r="C34" s="3014">
        <v>1647850.1882303439</v>
      </c>
      <c r="D34" s="3056" t="s">
        <v>97</v>
      </c>
      <c r="E34" s="1938">
        <f t="shared" ref="E34:E38" si="21">IFERROR(H34*1000/$C34,"NA")</f>
        <v>90.392469055778719</v>
      </c>
      <c r="F34" s="1938">
        <f t="shared" si="20"/>
        <v>0.66115669651657549</v>
      </c>
      <c r="G34" s="1938">
        <f t="shared" si="20"/>
        <v>1.4342654148028557</v>
      </c>
      <c r="H34" s="3014">
        <v>148953.24714817051</v>
      </c>
      <c r="I34" s="3014">
        <v>1.0894871868045912</v>
      </c>
      <c r="J34" s="3014">
        <v>2.3634545337551582</v>
      </c>
      <c r="K34" s="3051" t="s">
        <v>199</v>
      </c>
      <c r="L34" s="19"/>
    </row>
    <row r="35" spans="2:12" ht="18" customHeight="1" x14ac:dyDescent="0.2">
      <c r="B35" s="160" t="s">
        <v>246</v>
      </c>
      <c r="C35" s="3014">
        <v>530826.60617807659</v>
      </c>
      <c r="D35" s="3056" t="s">
        <v>97</v>
      </c>
      <c r="E35" s="1938">
        <f t="shared" si="21"/>
        <v>50.86853439117899</v>
      </c>
      <c r="F35" s="1938">
        <f t="shared" si="20"/>
        <v>20.596312585800817</v>
      </c>
      <c r="G35" s="1938">
        <f t="shared" si="20"/>
        <v>1.402884878328865</v>
      </c>
      <c r="H35" s="3014">
        <v>27002.371472122315</v>
      </c>
      <c r="I35" s="3014">
        <v>10.933070709703452</v>
      </c>
      <c r="J35" s="3014">
        <v>0.74468861882185533</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39407.647678755013</v>
      </c>
      <c r="D38" s="3056" t="s">
        <v>97</v>
      </c>
      <c r="E38" s="1938">
        <f t="shared" si="21"/>
        <v>78.212261604330465</v>
      </c>
      <c r="F38" s="1938">
        <f t="shared" si="20"/>
        <v>91.73173296125735</v>
      </c>
      <c r="G38" s="1938">
        <f t="shared" si="20"/>
        <v>4.5787634304777391</v>
      </c>
      <c r="H38" s="3014">
        <v>3082.1612494620731</v>
      </c>
      <c r="I38" s="3014">
        <v>3.6149318134988677</v>
      </c>
      <c r="J38" s="3014">
        <v>0.1804382960726344</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80835.596934029061</v>
      </c>
      <c r="D53" s="3056" t="s">
        <v>97</v>
      </c>
      <c r="E53" s="615"/>
      <c r="F53" s="615"/>
      <c r="G53" s="615"/>
      <c r="H53" s="3065">
        <f>IF(SUM(H54:H58)=0,"NO",SUM(H54:H58))</f>
        <v>4759.1721027006279</v>
      </c>
      <c r="I53" s="3065">
        <f t="shared" ref="I53:K53" si="28">IF(SUM(I54:I59)=0,"NO",SUM(I54:I59))</f>
        <v>7.8218990518246281E-2</v>
      </c>
      <c r="J53" s="3065">
        <f t="shared" si="28"/>
        <v>1.27176874265638E-2</v>
      </c>
      <c r="K53" s="3048" t="str">
        <f t="shared" si="28"/>
        <v>NO</v>
      </c>
      <c r="L53" s="19"/>
    </row>
    <row r="54" spans="2:12" ht="18" customHeight="1" x14ac:dyDescent="0.2">
      <c r="B54" s="160" t="s">
        <v>243</v>
      </c>
      <c r="C54" s="3014">
        <v>66077.210019716062</v>
      </c>
      <c r="D54" s="3056" t="s">
        <v>97</v>
      </c>
      <c r="E54" s="1938">
        <f>IFERROR(H54*1000/$C54,"NA")</f>
        <v>61.434640847763681</v>
      </c>
      <c r="F54" s="1938">
        <f t="shared" ref="F54:G59" si="29">IFERROR(I54*1000000/$C54,"NA")</f>
        <v>0.95410634632494284</v>
      </c>
      <c r="G54" s="1938">
        <f t="shared" si="29"/>
        <v>9.7624274272576986E-2</v>
      </c>
      <c r="H54" s="3014">
        <v>4059.4296657835075</v>
      </c>
      <c r="I54" s="3014">
        <v>6.3044685427257191E-2</v>
      </c>
      <c r="J54" s="3014">
        <v>6.4507396741314334E-3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10564.478774313</v>
      </c>
      <c r="D56" s="3056" t="s">
        <v>97</v>
      </c>
      <c r="E56" s="1938">
        <f t="shared" si="30"/>
        <v>49.425450202846278</v>
      </c>
      <c r="F56" s="1938">
        <f t="shared" si="29"/>
        <v>1.0281818181818181</v>
      </c>
      <c r="G56" s="1938">
        <f t="shared" si="29"/>
        <v>0.4246363636363637</v>
      </c>
      <c r="H56" s="3014">
        <v>522.15411957883362</v>
      </c>
      <c r="I56" s="3014">
        <v>1.0862204994316366E-2</v>
      </c>
      <c r="J56" s="3014">
        <v>4.4860618504378204E-3</v>
      </c>
      <c r="K56" s="3051" t="s">
        <v>199</v>
      </c>
    </row>
    <row r="57" spans="2:12" ht="18" customHeight="1" x14ac:dyDescent="0.2">
      <c r="B57" s="282" t="s">
        <v>247</v>
      </c>
      <c r="C57" s="3014">
        <v>4193.9081399999995</v>
      </c>
      <c r="D57" s="3056" t="s">
        <v>97</v>
      </c>
      <c r="E57" s="1938">
        <f t="shared" si="30"/>
        <v>42.344350760693182</v>
      </c>
      <c r="F57" s="1938">
        <f t="shared" si="29"/>
        <v>1.0281818181818179</v>
      </c>
      <c r="G57" s="1938">
        <f t="shared" si="29"/>
        <v>0.4246363636363637</v>
      </c>
      <c r="H57" s="3014">
        <v>177.58831733828632</v>
      </c>
      <c r="I57" s="3014">
        <v>4.3121000966727255E-3</v>
      </c>
      <c r="J57" s="3014">
        <v>1.7808859019945455E-3</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330120.92149069719</v>
      </c>
      <c r="D60" s="3056" t="s">
        <v>97</v>
      </c>
      <c r="E60" s="615"/>
      <c r="F60" s="615"/>
      <c r="G60" s="615"/>
      <c r="H60" s="3065">
        <f>IF(SUM(H61:H65)=0,"NO",SUM(H61:H65))</f>
        <v>19494.151557706242</v>
      </c>
      <c r="I60" s="3065">
        <f t="shared" ref="I60:K60" si="31">IF(SUM(I61:I66)=0,"NO",SUM(I61:I66))</f>
        <v>10.049290008375593</v>
      </c>
      <c r="J60" s="3065">
        <f t="shared" si="31"/>
        <v>0.58845937598528164</v>
      </c>
      <c r="K60" s="3048" t="str">
        <f t="shared" si="31"/>
        <v>NO</v>
      </c>
      <c r="L60" s="19"/>
    </row>
    <row r="61" spans="2:12" ht="18" customHeight="1" x14ac:dyDescent="0.2">
      <c r="B61" s="160" t="s">
        <v>243</v>
      </c>
      <c r="C61" s="3053">
        <f>IF(SUM(C69,C76,C83)=0,"NO",SUM(C69,C76,C83))</f>
        <v>114771.93299999999</v>
      </c>
      <c r="D61" s="3056" t="s">
        <v>97</v>
      </c>
      <c r="E61" s="1938">
        <f>IFERROR(H61*1000/$C61,"NA")</f>
        <v>69.427450570124705</v>
      </c>
      <c r="F61" s="1938">
        <f t="shared" ref="F61:G66" si="32">IFERROR(I61*1000000/$C61,"NA")</f>
        <v>3.5498070643896318</v>
      </c>
      <c r="G61" s="1938">
        <f t="shared" si="32"/>
        <v>3.4197882209025821</v>
      </c>
      <c r="H61" s="3053">
        <f>IF(SUM(H69,H76,H83)=0,"NO",SUM(H69,H76,H83))</f>
        <v>7968.3227051951635</v>
      </c>
      <c r="I61" s="3053">
        <f>IF(SUM(I69,I76,I83)=0,"NO",SUM(I69,I76,I83))</f>
        <v>0.40741821855705346</v>
      </c>
      <c r="J61" s="3053">
        <f>IF(SUM(J69,J76,J83)=0,"NO",SUM(J69,J76,J83))</f>
        <v>0.39249570456362032</v>
      </c>
      <c r="K61" s="3067" t="str">
        <f>IF(SUM(K69,K76,K83)=0,"NO",SUM(K69,K76,K83))</f>
        <v>NO</v>
      </c>
    </row>
    <row r="62" spans="2:12" ht="18" customHeight="1" x14ac:dyDescent="0.2">
      <c r="B62" s="160" t="s">
        <v>245</v>
      </c>
      <c r="C62" s="3053">
        <f t="shared" ref="C62:C66" si="33">IF(SUM(C70,C77,C84)=0,"NO",SUM(C70,C77,C84))</f>
        <v>18177.30309869711</v>
      </c>
      <c r="D62" s="3056" t="s">
        <v>97</v>
      </c>
      <c r="E62" s="1938">
        <f t="shared" ref="E62:E66" si="34">IFERROR(H62*1000/$C62,"NA")</f>
        <v>83.786843931845453</v>
      </c>
      <c r="F62" s="1938">
        <f t="shared" si="32"/>
        <v>0.96012960445140849</v>
      </c>
      <c r="G62" s="1938">
        <f t="shared" si="32"/>
        <v>0.78051350592478219</v>
      </c>
      <c r="H62" s="3053">
        <f t="shared" ref="H62:K66" si="35">IF(SUM(H70,H77,H84)=0,"NO",SUM(H70,H77,H84))</f>
        <v>1523.0188578323855</v>
      </c>
      <c r="I62" s="3053">
        <f t="shared" si="35"/>
        <v>1.7452566834145419E-2</v>
      </c>
      <c r="J62" s="3053">
        <f t="shared" si="35"/>
        <v>1.418763056982149E-2</v>
      </c>
      <c r="K62" s="3067" t="str">
        <f t="shared" si="35"/>
        <v>NO</v>
      </c>
    </row>
    <row r="63" spans="2:12" ht="18" customHeight="1" x14ac:dyDescent="0.2">
      <c r="B63" s="160" t="s">
        <v>246</v>
      </c>
      <c r="C63" s="3053">
        <f t="shared" si="33"/>
        <v>194562.08439200005</v>
      </c>
      <c r="D63" s="3056" t="s">
        <v>97</v>
      </c>
      <c r="E63" s="1938">
        <f t="shared" si="34"/>
        <v>51.411918339265007</v>
      </c>
      <c r="F63" s="1938">
        <f t="shared" si="32"/>
        <v>49.418832050072609</v>
      </c>
      <c r="G63" s="1938">
        <f t="shared" si="32"/>
        <v>0.88615558046471776</v>
      </c>
      <c r="H63" s="3053">
        <f t="shared" si="35"/>
        <v>10002.809994678693</v>
      </c>
      <c r="I63" s="3053">
        <f t="shared" si="35"/>
        <v>9.6150309718803033</v>
      </c>
      <c r="J63" s="3053">
        <f t="shared" si="35"/>
        <v>0.17241227683081822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2609.6010000000001</v>
      </c>
      <c r="D66" s="3056" t="s">
        <v>97</v>
      </c>
      <c r="E66" s="1938">
        <f t="shared" si="34"/>
        <v>68.109668109668092</v>
      </c>
      <c r="F66" s="1938">
        <f t="shared" si="32"/>
        <v>3.5975810493976876</v>
      </c>
      <c r="G66" s="1938">
        <f t="shared" si="32"/>
        <v>3.5881975907510708</v>
      </c>
      <c r="H66" s="3053">
        <f t="shared" si="35"/>
        <v>177.73905800865796</v>
      </c>
      <c r="I66" s="3053">
        <f t="shared" si="35"/>
        <v>9.3882511040892548E-3</v>
      </c>
      <c r="J66" s="3053">
        <f t="shared" si="35"/>
        <v>9.3637640210215856E-3</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18181.39509869711</v>
      </c>
      <c r="D68" s="3056" t="s">
        <v>97</v>
      </c>
      <c r="E68" s="615"/>
      <c r="F68" s="615"/>
      <c r="G68" s="615"/>
      <c r="H68" s="3065">
        <f>IF(SUM(H69:H73)=0,"NO",SUM(H69:H73))</f>
        <v>1523.3052688002608</v>
      </c>
      <c r="I68" s="3065">
        <f t="shared" ref="I68:K68" si="36">IF(SUM(I69:I74)=0,"NO",SUM(I69:I74))</f>
        <v>1.746692147148628E-2</v>
      </c>
      <c r="J68" s="3065">
        <f t="shared" si="36"/>
        <v>1.4201834167233437E-2</v>
      </c>
      <c r="K68" s="3048" t="str">
        <f t="shared" si="36"/>
        <v>NO</v>
      </c>
    </row>
    <row r="69" spans="2:11" ht="18" customHeight="1" x14ac:dyDescent="0.2">
      <c r="B69" s="282" t="s">
        <v>243</v>
      </c>
      <c r="C69" s="3014">
        <v>4.0880000000000001</v>
      </c>
      <c r="D69" s="3055" t="s">
        <v>97</v>
      </c>
      <c r="E69" s="1938">
        <f>IFERROR(H69*1000/$C69,"NA")</f>
        <v>70.011086155093011</v>
      </c>
      <c r="F69" s="1938">
        <f t="shared" ref="F69:G74" si="37">IFERROR(I69*1000000/$C69,"NA")</f>
        <v>3.5094754213986445</v>
      </c>
      <c r="G69" s="1938">
        <f t="shared" si="37"/>
        <v>3.4735954352297003</v>
      </c>
      <c r="H69" s="3014">
        <v>0.28620532020202022</v>
      </c>
      <c r="I69" s="3014">
        <v>1.434673552267766E-5</v>
      </c>
      <c r="J69" s="3014">
        <v>1.4200058139219014E-5</v>
      </c>
      <c r="K69" s="3051" t="s">
        <v>199</v>
      </c>
    </row>
    <row r="70" spans="2:11" ht="18" customHeight="1" x14ac:dyDescent="0.2">
      <c r="B70" s="282" t="s">
        <v>245</v>
      </c>
      <c r="C70" s="3014">
        <v>18177.30309869711</v>
      </c>
      <c r="D70" s="3055" t="s">
        <v>97</v>
      </c>
      <c r="E70" s="1938">
        <f t="shared" ref="E70:E74" si="38">IFERROR(H70*1000/$C70,"NA")</f>
        <v>83.786843931845453</v>
      </c>
      <c r="F70" s="1938">
        <f t="shared" si="37"/>
        <v>0.96012960445140849</v>
      </c>
      <c r="G70" s="1938">
        <f t="shared" si="37"/>
        <v>0.78051350592478219</v>
      </c>
      <c r="H70" s="3014">
        <v>1523.0188578323855</v>
      </c>
      <c r="I70" s="3014">
        <v>1.7452566834145419E-2</v>
      </c>
      <c r="J70" s="3014">
        <v>1.418763056982149E-2</v>
      </c>
      <c r="K70" s="3051" t="s">
        <v>199</v>
      </c>
    </row>
    <row r="71" spans="2:11" ht="18" customHeight="1" x14ac:dyDescent="0.2">
      <c r="B71" s="160" t="s">
        <v>246</v>
      </c>
      <c r="C71" s="3014">
        <v>4.0000000000000001E-3</v>
      </c>
      <c r="D71" s="3055" t="s">
        <v>97</v>
      </c>
      <c r="E71" s="1938">
        <f t="shared" si="38"/>
        <v>51.411918339265</v>
      </c>
      <c r="F71" s="1938">
        <f t="shared" si="37"/>
        <v>1.9754545454545454</v>
      </c>
      <c r="G71" s="1938">
        <f t="shared" si="37"/>
        <v>0.88481818181818184</v>
      </c>
      <c r="H71" s="3014">
        <v>2.0564767335705999E-4</v>
      </c>
      <c r="I71" s="3014">
        <v>7.9018181818181815E-9</v>
      </c>
      <c r="J71" s="3014">
        <v>3.5392727272727271E-9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195254.03200000006</v>
      </c>
      <c r="D75" s="3056" t="s">
        <v>97</v>
      </c>
      <c r="E75" s="615"/>
      <c r="F75" s="615"/>
      <c r="G75" s="615"/>
      <c r="H75" s="3065">
        <f>IF(SUM(H76:H80)=0,"NO",SUM(H76:H80))</f>
        <v>10208.335274517853</v>
      </c>
      <c r="I75" s="3065">
        <f t="shared" ref="I75:K75" si="39">IF(SUM(I76:I81)=0,"NO",SUM(I76:I81))</f>
        <v>9.6147223266566453</v>
      </c>
      <c r="J75" s="3065">
        <f t="shared" si="39"/>
        <v>0.18520489651357405</v>
      </c>
      <c r="K75" s="3048" t="str">
        <f t="shared" si="39"/>
        <v>NO</v>
      </c>
    </row>
    <row r="76" spans="2:11" ht="18" customHeight="1" x14ac:dyDescent="0.2">
      <c r="B76" s="282" t="s">
        <v>243</v>
      </c>
      <c r="C76" s="3014">
        <v>11417.878000000001</v>
      </c>
      <c r="D76" s="3055" t="s">
        <v>97</v>
      </c>
      <c r="E76" s="1938">
        <f>IFERROR(H76*1000/$C76,"NA")</f>
        <v>66.296551536573006</v>
      </c>
      <c r="F76" s="1938">
        <f t="shared" ref="F76:G81" si="40">IFERROR(I76*1000000/$C76,"NA")</f>
        <v>3.1832695249658034</v>
      </c>
      <c r="G76" s="1938">
        <f t="shared" si="40"/>
        <v>1.9743883214417564</v>
      </c>
      <c r="H76" s="3014">
        <v>756.96593726530318</v>
      </c>
      <c r="I76" s="3014">
        <v>3.6346183077177498E-2</v>
      </c>
      <c r="J76" s="3014">
        <v>2.2543324978846757E-2</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183836.15400000007</v>
      </c>
      <c r="D78" s="3055" t="s">
        <v>97</v>
      </c>
      <c r="E78" s="1938">
        <f t="shared" si="41"/>
        <v>51.411918339265</v>
      </c>
      <c r="F78" s="1938">
        <f t="shared" si="40"/>
        <v>52.102787918308294</v>
      </c>
      <c r="G78" s="1938">
        <f t="shared" si="40"/>
        <v>0.88481818181818161</v>
      </c>
      <c r="H78" s="3014">
        <v>9451.3693372525486</v>
      </c>
      <c r="I78" s="3014">
        <v>9.578376143579467</v>
      </c>
      <c r="J78" s="3014">
        <v>0.1626615715347273</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116685.49439199998</v>
      </c>
      <c r="D82" s="3056" t="s">
        <v>97</v>
      </c>
      <c r="E82" s="615"/>
      <c r="F82" s="615"/>
      <c r="G82" s="615"/>
      <c r="H82" s="3065">
        <f>IF(SUM(H83:H87)=0,"NO",SUM(H83:H87))</f>
        <v>7762.5110143881302</v>
      </c>
      <c r="I82" s="3065">
        <f t="shared" ref="I82:K82" si="42">IF(SUM(I83:I88)=0,"NO",SUM(I83:I88))</f>
        <v>0.41710076024746073</v>
      </c>
      <c r="J82" s="3065">
        <f t="shared" si="42"/>
        <v>0.38905264530447409</v>
      </c>
      <c r="K82" s="3048" t="str">
        <f t="shared" si="42"/>
        <v>NO</v>
      </c>
    </row>
    <row r="83" spans="2:11" ht="18" customHeight="1" x14ac:dyDescent="0.2">
      <c r="B83" s="282" t="s">
        <v>243</v>
      </c>
      <c r="C83" s="3014">
        <v>103349.96699999999</v>
      </c>
      <c r="D83" s="3055" t="s">
        <v>97</v>
      </c>
      <c r="E83" s="1938">
        <f>IFERROR(H83*1000/$C83,"NA")</f>
        <v>69.773322352484726</v>
      </c>
      <c r="F83" s="1938">
        <f t="shared" ref="F83:G88" si="43">IFERROR(I83*1000000/$C83,"NA")</f>
        <v>3.5903029242801145</v>
      </c>
      <c r="G83" s="1938">
        <f t="shared" si="43"/>
        <v>3.5794707077810135</v>
      </c>
      <c r="H83" s="3014">
        <v>7211.0705626096587</v>
      </c>
      <c r="I83" s="3014">
        <v>0.3710576887443533</v>
      </c>
      <c r="J83" s="3014">
        <v>0.36993817952663433</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10725.926391999999</v>
      </c>
      <c r="D85" s="3055" t="s">
        <v>97</v>
      </c>
      <c r="E85" s="1938">
        <f t="shared" si="44"/>
        <v>51.411918339265</v>
      </c>
      <c r="F85" s="1938">
        <f t="shared" si="43"/>
        <v>3.4174036870472482</v>
      </c>
      <c r="G85" s="1938">
        <f t="shared" si="43"/>
        <v>0.90907781765972295</v>
      </c>
      <c r="H85" s="3014">
        <v>551.44045177847124</v>
      </c>
      <c r="I85" s="3014">
        <v>3.6654820399018184E-2</v>
      </c>
      <c r="J85" s="3014">
        <v>9.750701756818185E-3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2609.6010000000001</v>
      </c>
      <c r="D88" s="3063" t="s">
        <v>97</v>
      </c>
      <c r="E88" s="2891">
        <f t="shared" si="44"/>
        <v>68.109668109668092</v>
      </c>
      <c r="F88" s="2891">
        <f t="shared" si="43"/>
        <v>3.5975810493976876</v>
      </c>
      <c r="G88" s="2891">
        <f t="shared" si="43"/>
        <v>3.5881975907510708</v>
      </c>
      <c r="H88" s="3021">
        <v>177.73905800865796</v>
      </c>
      <c r="I88" s="3021">
        <v>9.3882511040892548E-3</v>
      </c>
      <c r="J88" s="3021">
        <v>9.3637640210215856E-3</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33045660.740845121</v>
      </c>
      <c r="G10" s="4346" t="s">
        <v>205</v>
      </c>
      <c r="H10" s="4347">
        <f t="shared" ref="H10:H13" si="0">IF(SUM($F10)=0,"NA",K10*1000/$F10)</f>
        <v>1.9641798638452123E-2</v>
      </c>
      <c r="I10" s="4348">
        <f t="shared" ref="I10:I13" si="1">IF(SUM($F10)=0,"NA",L10*1000/$F10)</f>
        <v>4.559723719284961E-4</v>
      </c>
      <c r="J10" s="4349" t="str">
        <f>IF(SUM(J11,J25,J36,J48,J59,J70,J76)=0,"IE",SUM(J11,J25,J36,J48,J59,J70,J76))</f>
        <v>IE</v>
      </c>
      <c r="K10" s="4350">
        <f>IF(SUM(K11,K25,K36,K48,K59,K70,K76)=0,"NO",SUM(K11,K25,K36,K48,K59,K70,K76))</f>
        <v>649.0762141462825</v>
      </c>
      <c r="L10" s="4351">
        <f>IF(SUM(L11,L25,L36,L48,L59,L70,L76)=0,"NO",SUM(L11,L25,L36,L48,L59,L70,L76))</f>
        <v>15.067908309947533</v>
      </c>
    </row>
    <row r="11" spans="2:13" ht="18" customHeight="1" x14ac:dyDescent="0.2">
      <c r="B11" s="934" t="s">
        <v>1662</v>
      </c>
      <c r="C11" s="4352"/>
      <c r="D11" s="4353"/>
      <c r="E11" s="2866" t="s">
        <v>1661</v>
      </c>
      <c r="F11" s="4354">
        <f>IF(SUM(F12,F19)=0,"NO",SUM(F12,F19))</f>
        <v>6895682.9365436612</v>
      </c>
      <c r="G11" s="4355" t="s">
        <v>205</v>
      </c>
      <c r="H11" s="4356">
        <f t="shared" si="0"/>
        <v>4.5344222782817245E-2</v>
      </c>
      <c r="I11" s="4357">
        <f t="shared" si="1"/>
        <v>7.4713044461691949E-4</v>
      </c>
      <c r="J11" s="4358" t="str">
        <f>IF(SUM(J12,J19)=0,"IE",SUM(J12,J19))</f>
        <v>IE</v>
      </c>
      <c r="K11" s="4359">
        <f>IF(SUM(K12,K19)=0,"NO",SUM(K12,K19))</f>
        <v>312.67938331430719</v>
      </c>
      <c r="L11" s="4360">
        <f>IF(SUM(L12,L19)=0,"NO",SUM(L12,L19))</f>
        <v>5.1519746583171706</v>
      </c>
      <c r="M11" s="472"/>
    </row>
    <row r="12" spans="2:13" ht="18" customHeight="1" x14ac:dyDescent="0.2">
      <c r="B12" s="906" t="s">
        <v>1663</v>
      </c>
      <c r="C12" s="4361"/>
      <c r="D12" s="4362"/>
      <c r="E12" s="4363" t="s">
        <v>1661</v>
      </c>
      <c r="F12" s="4364">
        <f>IF(SUM(F13,F17)=0,"NO",SUM(F13,F17))</f>
        <v>6882277.438771354</v>
      </c>
      <c r="G12" s="4365" t="str">
        <f>IFERROR(IF(SUM($F12)=0,"NA",J12*1000/$F12),"NA")</f>
        <v>NA</v>
      </c>
      <c r="H12" s="4366">
        <f t="shared" si="0"/>
        <v>4.482403885773191E-2</v>
      </c>
      <c r="I12" s="4367">
        <f t="shared" si="1"/>
        <v>7.3995118807784678E-4</v>
      </c>
      <c r="J12" s="4170" t="str">
        <f>IF(SUM(J13,J17)=0,"IE",SUM(J13,J17))</f>
        <v>IE</v>
      </c>
      <c r="K12" s="3057">
        <f>IF(SUM(K13,K17)=0,"NO",SUM(K13,K17))</f>
        <v>308.49147134517887</v>
      </c>
      <c r="L12" s="3106">
        <f>IF(SUM(L13,L17)=0,"NO",SUM(L13,L17))</f>
        <v>5.0925493675002231</v>
      </c>
    </row>
    <row r="13" spans="2:13" ht="18" customHeight="1" x14ac:dyDescent="0.2">
      <c r="B13" s="926" t="s">
        <v>1664</v>
      </c>
      <c r="C13" s="4361"/>
      <c r="D13" s="4362"/>
      <c r="E13" s="4363" t="s">
        <v>1661</v>
      </c>
      <c r="F13" s="4368">
        <f>IF(SUM(F14:F16)=0,"NO",SUM(F14:F16))</f>
        <v>5760910.0143043594</v>
      </c>
      <c r="G13" s="4369" t="str">
        <f t="shared" ref="G13:G76" si="2">IFERROR(IF(SUM($F13)=0,"NA",J13*1000/$F13),"NA")</f>
        <v>NA</v>
      </c>
      <c r="H13" s="4370">
        <f t="shared" si="0"/>
        <v>3.8809844421174355E-2</v>
      </c>
      <c r="I13" s="4371">
        <f t="shared" si="1"/>
        <v>7.4652790967189389E-4</v>
      </c>
      <c r="J13" s="4170" t="str">
        <f>IF(SUM(J14:J16)=0,"IE",SUM(J14:J16))</f>
        <v>IE</v>
      </c>
      <c r="K13" s="4170">
        <f>IF(SUM(K14:K16)=0,"NO",SUM(K14:K16))</f>
        <v>223.58002137953753</v>
      </c>
      <c r="L13" s="4372">
        <f>IF(SUM(L14:L16)=0,"NO",SUM(L14:L16))</f>
        <v>4.300680110786514</v>
      </c>
      <c r="M13" s="472"/>
    </row>
    <row r="14" spans="2:13" ht="18" customHeight="1" x14ac:dyDescent="0.2">
      <c r="B14" s="926"/>
      <c r="C14" s="2864" t="s">
        <v>1665</v>
      </c>
      <c r="D14" s="4373" t="s">
        <v>1219</v>
      </c>
      <c r="E14" s="4374" t="s">
        <v>1661</v>
      </c>
      <c r="F14" s="4375">
        <v>267360.81988238799</v>
      </c>
      <c r="G14" s="4369" t="str">
        <f t="shared" si="2"/>
        <v>NA</v>
      </c>
      <c r="H14" s="4370">
        <f>IF(SUM($F14)=0,"NA",K14*1000/$F14)</f>
        <v>0.14642523889296105</v>
      </c>
      <c r="I14" s="4371">
        <f>IF(SUM($F14)=0,"NA",L14*1000/$F14)</f>
        <v>1.4934870655720295E-3</v>
      </c>
      <c r="J14" s="4376" t="s">
        <v>274</v>
      </c>
      <c r="K14" s="4377">
        <v>39.14837192189659</v>
      </c>
      <c r="L14" s="4378">
        <v>0.3992999263350796</v>
      </c>
      <c r="M14" s="472"/>
    </row>
    <row r="15" spans="2:13" ht="18" customHeight="1" x14ac:dyDescent="0.2">
      <c r="B15" s="926"/>
      <c r="C15" s="2864" t="s">
        <v>1666</v>
      </c>
      <c r="D15" s="4373" t="s">
        <v>1219</v>
      </c>
      <c r="E15" s="4379" t="s">
        <v>1661</v>
      </c>
      <c r="F15" s="4380">
        <v>4727.4594247540863</v>
      </c>
      <c r="G15" s="4369" t="str">
        <f t="shared" si="2"/>
        <v>NA</v>
      </c>
      <c r="H15" s="4370">
        <f t="shared" ref="H15:H77" si="3">IF(SUM($F15)=0,"NA",K15*1000/$F15)</f>
        <v>1.2236388735870012</v>
      </c>
      <c r="I15" s="4371">
        <f t="shared" ref="I15:I77" si="4">IF(SUM($F15)=0,"NA",L15*1000/$F15)</f>
        <v>2.2620324177004155E-2</v>
      </c>
      <c r="J15" s="4376" t="s">
        <v>274</v>
      </c>
      <c r="K15" s="4377">
        <v>5.7847031254343433</v>
      </c>
      <c r="L15" s="4381">
        <v>0.10693666472157101</v>
      </c>
      <c r="M15" s="472"/>
    </row>
    <row r="16" spans="2:13" ht="18" customHeight="1" x14ac:dyDescent="0.2">
      <c r="B16" s="926"/>
      <c r="C16" s="2864" t="s">
        <v>1342</v>
      </c>
      <c r="D16" s="4373" t="s">
        <v>1219</v>
      </c>
      <c r="E16" s="4379" t="s">
        <v>1661</v>
      </c>
      <c r="F16" s="4380">
        <v>5488821.7349972175</v>
      </c>
      <c r="G16" s="4369" t="str">
        <f t="shared" si="2"/>
        <v>NA</v>
      </c>
      <c r="H16" s="4370">
        <f t="shared" si="3"/>
        <v>3.2547412715763335E-2</v>
      </c>
      <c r="I16" s="4371">
        <f t="shared" si="4"/>
        <v>6.9130383585536256E-4</v>
      </c>
      <c r="J16" s="4376" t="s">
        <v>274</v>
      </c>
      <c r="K16" s="4377">
        <v>178.6469463322066</v>
      </c>
      <c r="L16" s="4381">
        <v>3.7944435197298629</v>
      </c>
      <c r="M16" s="472"/>
    </row>
    <row r="17" spans="2:13" ht="18" customHeight="1" x14ac:dyDescent="0.2">
      <c r="B17" s="926" t="s">
        <v>1667</v>
      </c>
      <c r="C17" s="4361"/>
      <c r="D17" s="4362"/>
      <c r="E17" s="4382" t="s">
        <v>1661</v>
      </c>
      <c r="F17" s="4368">
        <f>F18</f>
        <v>1121367.4244669944</v>
      </c>
      <c r="G17" s="4369" t="str">
        <f t="shared" si="2"/>
        <v>NA</v>
      </c>
      <c r="H17" s="4370">
        <f t="shared" si="3"/>
        <v>7.5721345308386562E-2</v>
      </c>
      <c r="I17" s="4371">
        <f t="shared" si="4"/>
        <v>7.0616395610929991E-4</v>
      </c>
      <c r="J17" s="4170" t="str">
        <f>J18</f>
        <v>IE</v>
      </c>
      <c r="K17" s="4170">
        <f>K18</f>
        <v>84.911449965641367</v>
      </c>
      <c r="L17" s="4372">
        <f>L18</f>
        <v>0.79186925671370934</v>
      </c>
      <c r="M17" s="472"/>
    </row>
    <row r="18" spans="2:13" ht="18" customHeight="1" x14ac:dyDescent="0.2">
      <c r="B18" s="926"/>
      <c r="C18" s="2864" t="s">
        <v>1668</v>
      </c>
      <c r="D18" s="4373" t="s">
        <v>1219</v>
      </c>
      <c r="E18" s="4379" t="s">
        <v>1661</v>
      </c>
      <c r="F18" s="4375">
        <v>1121367.4244669944</v>
      </c>
      <c r="G18" s="4369" t="str">
        <f t="shared" si="2"/>
        <v>NA</v>
      </c>
      <c r="H18" s="4370">
        <f t="shared" si="3"/>
        <v>7.5721345308386562E-2</v>
      </c>
      <c r="I18" s="4371">
        <f t="shared" si="4"/>
        <v>7.0616395610929991E-4</v>
      </c>
      <c r="J18" s="4376" t="s">
        <v>274</v>
      </c>
      <c r="K18" s="4377">
        <v>84.911449965641367</v>
      </c>
      <c r="L18" s="4378">
        <v>0.79186925671370934</v>
      </c>
      <c r="M18" s="472"/>
    </row>
    <row r="19" spans="2:13" ht="18" customHeight="1" x14ac:dyDescent="0.2">
      <c r="B19" s="906" t="s">
        <v>1669</v>
      </c>
      <c r="C19" s="4361"/>
      <c r="D19" s="4362"/>
      <c r="E19" s="4382" t="s">
        <v>1661</v>
      </c>
      <c r="F19" s="4383">
        <f>IF(SUM(F20,F23)=0,"NO",SUM(F20,F23))</f>
        <v>13405.497772307026</v>
      </c>
      <c r="G19" s="4365" t="s">
        <v>205</v>
      </c>
      <c r="H19" s="4366">
        <f t="shared" si="3"/>
        <v>0.31240257096455565</v>
      </c>
      <c r="I19" s="4367">
        <f t="shared" si="4"/>
        <v>4.4329044565363388E-3</v>
      </c>
      <c r="J19" s="4170" t="str">
        <f>IF(SUM(J20,J23)=0,"IE",SUM(J20,J23))</f>
        <v>IE</v>
      </c>
      <c r="K19" s="3057">
        <f>IF(SUM(K20,K23)=0,"NO",SUM(K20,K23))</f>
        <v>4.1879119691283382</v>
      </c>
      <c r="L19" s="3106">
        <f>IF(SUM(L20,L23)=0,"NO",SUM(L20,L23))</f>
        <v>5.9425290816947779E-2</v>
      </c>
    </row>
    <row r="20" spans="2:13" ht="18" customHeight="1" x14ac:dyDescent="0.2">
      <c r="B20" s="926" t="s">
        <v>1670</v>
      </c>
      <c r="C20" s="4361"/>
      <c r="D20" s="4362"/>
      <c r="E20" s="4382" t="s">
        <v>1661</v>
      </c>
      <c r="F20" s="4368">
        <f>IF(SUM(F21:F22)=0,"NO",SUM(F21:F22))</f>
        <v>3891.4334333120296</v>
      </c>
      <c r="G20" s="4369" t="str">
        <f t="shared" si="2"/>
        <v>NA</v>
      </c>
      <c r="H20" s="4370">
        <f t="shared" si="3"/>
        <v>0.56277027275803682</v>
      </c>
      <c r="I20" s="4371">
        <f t="shared" si="4"/>
        <v>1.0477149494194855E-2</v>
      </c>
      <c r="J20" s="4170" t="str">
        <f>IF(SUM(J21:J22)=0,"IE",SUM(J21:J22))</f>
        <v>IE</v>
      </c>
      <c r="K20" s="4170">
        <f>IF(SUM(K21:K22)=0,"NO",SUM(K21:K22))</f>
        <v>2.1899830546847547</v>
      </c>
      <c r="L20" s="4372">
        <f>IF(SUM(L21:L22)=0,"NO",SUM(L21:L22))</f>
        <v>4.0771129827518078E-2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2.1146982629997524</v>
      </c>
      <c r="L21" s="4378">
        <v>3.9092547056287091E-2</v>
      </c>
      <c r="M21" s="472"/>
    </row>
    <row r="22" spans="2:13" ht="18" customHeight="1" x14ac:dyDescent="0.2">
      <c r="B22" s="926"/>
      <c r="C22" s="2864" t="s">
        <v>1342</v>
      </c>
      <c r="D22" s="4373" t="s">
        <v>1219</v>
      </c>
      <c r="E22" s="4379" t="s">
        <v>1661</v>
      </c>
      <c r="F22" s="4380">
        <v>3891.4334333120296</v>
      </c>
      <c r="G22" s="4369" t="str">
        <f t="shared" si="2"/>
        <v>NA</v>
      </c>
      <c r="H22" s="4370">
        <f t="shared" si="3"/>
        <v>1.9346287936095323E-2</v>
      </c>
      <c r="I22" s="4371">
        <f t="shared" si="4"/>
        <v>4.3135333033368341E-4</v>
      </c>
      <c r="J22" s="4376" t="s">
        <v>274</v>
      </c>
      <c r="K22" s="4377">
        <v>7.5284791685002517E-2</v>
      </c>
      <c r="L22" s="4381">
        <v>1.6785827712309837E-3</v>
      </c>
      <c r="M22" s="472"/>
    </row>
    <row r="23" spans="2:13" ht="18" customHeight="1" x14ac:dyDescent="0.2">
      <c r="B23" s="926" t="s">
        <v>1671</v>
      </c>
      <c r="C23" s="4361"/>
      <c r="D23" s="4362"/>
      <c r="E23" s="4382" t="s">
        <v>1661</v>
      </c>
      <c r="F23" s="4368">
        <f>F24</f>
        <v>9514.0643389949964</v>
      </c>
      <c r="G23" s="4369" t="str">
        <f t="shared" si="2"/>
        <v>NA</v>
      </c>
      <c r="H23" s="4370">
        <f t="shared" si="3"/>
        <v>0.20999741469633904</v>
      </c>
      <c r="I23" s="4371">
        <f t="shared" si="4"/>
        <v>1.9606931722095343E-3</v>
      </c>
      <c r="J23" s="4170" t="str">
        <f>J24</f>
        <v>IE</v>
      </c>
      <c r="K23" s="4170">
        <f>K24</f>
        <v>1.997928914443583</v>
      </c>
      <c r="L23" s="4372">
        <f>L24</f>
        <v>1.8654160989429704E-2</v>
      </c>
      <c r="M23" s="472"/>
    </row>
    <row r="24" spans="2:13" ht="18" customHeight="1" thickBot="1" x14ac:dyDescent="0.25">
      <c r="B24" s="936"/>
      <c r="C24" s="2865" t="s">
        <v>1672</v>
      </c>
      <c r="D24" s="4384" t="s">
        <v>1219</v>
      </c>
      <c r="E24" s="4385" t="s">
        <v>1661</v>
      </c>
      <c r="F24" s="4386">
        <v>9514.0643389949964</v>
      </c>
      <c r="G24" s="4387" t="str">
        <f t="shared" si="2"/>
        <v>NA</v>
      </c>
      <c r="H24" s="4388">
        <f t="shared" si="3"/>
        <v>0.20999741469633904</v>
      </c>
      <c r="I24" s="4389">
        <f t="shared" si="4"/>
        <v>1.9606931722095343E-3</v>
      </c>
      <c r="J24" s="4390" t="s">
        <v>274</v>
      </c>
      <c r="K24" s="4391">
        <v>1.997928914443583</v>
      </c>
      <c r="L24" s="4392">
        <v>1.8654160989429704E-2</v>
      </c>
      <c r="M24" s="472"/>
    </row>
    <row r="25" spans="2:13" ht="18" customHeight="1" x14ac:dyDescent="0.2">
      <c r="B25" s="934" t="s">
        <v>1673</v>
      </c>
      <c r="C25" s="4352"/>
      <c r="D25" s="4353"/>
      <c r="E25" s="4393" t="s">
        <v>1661</v>
      </c>
      <c r="F25" s="4394">
        <f>IF(SUM(F26,F31)=0,"IE",SUM(F26,F31))</f>
        <v>19838.832689177849</v>
      </c>
      <c r="G25" s="4355" t="str">
        <f t="shared" si="2"/>
        <v>NA</v>
      </c>
      <c r="H25" s="4356">
        <f t="shared" si="3"/>
        <v>0.10439613402324061</v>
      </c>
      <c r="I25" s="4357">
        <f t="shared" si="4"/>
        <v>1.929878533124073E-3</v>
      </c>
      <c r="J25" s="4358" t="str">
        <f>IF(SUM(J26,J31)=0,"IE",SUM(J26,J31))</f>
        <v>IE</v>
      </c>
      <c r="K25" s="4359">
        <f>IF(SUM(K26,K31)=0,"IE",SUM(K26,K31))</f>
        <v>2.0710974362840573</v>
      </c>
      <c r="L25" s="4360">
        <f>IF(SUM(L26,L31)=0,"IE",SUM(L26,L31))</f>
        <v>3.828653732908445E-2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19838.832689177849</v>
      </c>
      <c r="G31" s="4365" t="str">
        <f t="shared" si="2"/>
        <v>NA</v>
      </c>
      <c r="H31" s="4366">
        <f t="shared" si="3"/>
        <v>0.10439613402324061</v>
      </c>
      <c r="I31" s="4367">
        <f t="shared" si="4"/>
        <v>1.929878533124073E-3</v>
      </c>
      <c r="J31" s="4170" t="str">
        <f>IF(SUM(J32,J34)=0,"IE",SUM(J32,J34))</f>
        <v>IE</v>
      </c>
      <c r="K31" s="4170">
        <f t="shared" ref="K31:L31" si="6">IF(SUM(K32,K34)=0,"IE",SUM(K32,K34))</f>
        <v>2.0710974362840573</v>
      </c>
      <c r="L31" s="4372">
        <f t="shared" si="6"/>
        <v>3.828653732908445E-2</v>
      </c>
    </row>
    <row r="32" spans="2:13" ht="18" customHeight="1" x14ac:dyDescent="0.2">
      <c r="B32" s="926" t="s">
        <v>1678</v>
      </c>
      <c r="C32" s="4361"/>
      <c r="D32" s="4362"/>
      <c r="E32" s="4382" t="s">
        <v>1661</v>
      </c>
      <c r="F32" s="4368">
        <f>F33</f>
        <v>19838.832689177849</v>
      </c>
      <c r="G32" s="4365" t="str">
        <f t="shared" si="2"/>
        <v>NA</v>
      </c>
      <c r="H32" s="4366">
        <f t="shared" si="3"/>
        <v>0.10439613402324061</v>
      </c>
      <c r="I32" s="4367">
        <f t="shared" si="4"/>
        <v>1.929878533124073E-3</v>
      </c>
      <c r="J32" s="4170" t="str">
        <f>J33</f>
        <v>IE</v>
      </c>
      <c r="K32" s="4170">
        <f>K33</f>
        <v>2.0710974362840573</v>
      </c>
      <c r="L32" s="4372">
        <f>L33</f>
        <v>3.828653732908445E-2</v>
      </c>
      <c r="M32" s="472"/>
    </row>
    <row r="33" spans="2:13" ht="18" customHeight="1" x14ac:dyDescent="0.2">
      <c r="B33" s="926"/>
      <c r="C33" s="2864" t="s">
        <v>1679</v>
      </c>
      <c r="D33" s="4373" t="s">
        <v>1219</v>
      </c>
      <c r="E33" s="4379" t="s">
        <v>1661</v>
      </c>
      <c r="F33" s="4375">
        <v>19838.832689177849</v>
      </c>
      <c r="G33" s="4369" t="str">
        <f t="shared" si="2"/>
        <v>NA</v>
      </c>
      <c r="H33" s="4370">
        <f t="shared" si="3"/>
        <v>0.10439613402324061</v>
      </c>
      <c r="I33" s="4371">
        <f t="shared" si="4"/>
        <v>1.929878533124073E-3</v>
      </c>
      <c r="J33" s="4376" t="s">
        <v>274</v>
      </c>
      <c r="K33" s="4377">
        <v>2.0710974362840573</v>
      </c>
      <c r="L33" s="4378">
        <v>3.828653732908445E-2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25512479.802710783</v>
      </c>
      <c r="G36" s="4355" t="str">
        <f t="shared" si="2"/>
        <v>NA</v>
      </c>
      <c r="H36" s="4356">
        <f t="shared" ref="H36" si="7">IF(SUM($F36)=0,"NA",K36*1000/$F36)</f>
        <v>1.2260921360636532E-2</v>
      </c>
      <c r="I36" s="4357">
        <f t="shared" ref="I36" si="8">IF(SUM($F36)=0,"NA",L36*1000/$F36)</f>
        <v>3.6981014331772952E-4</v>
      </c>
      <c r="J36" s="4358" t="str">
        <f>IF(SUM(J37,J42)=0,"IE",SUM(J37,J42))</f>
        <v>IE</v>
      </c>
      <c r="K36" s="4359">
        <f>IF(SUM(K37,K42)=0,"NO",SUM(K37,K42))</f>
        <v>312.80650857586471</v>
      </c>
      <c r="L36" s="4360">
        <f>IF(SUM(L37,L42)=0,"NO",SUM(L37,L42))</f>
        <v>9.4347738122311551</v>
      </c>
      <c r="M36" s="472"/>
    </row>
    <row r="37" spans="2:13" ht="18" customHeight="1" x14ac:dyDescent="0.2">
      <c r="B37" s="906" t="s">
        <v>1682</v>
      </c>
      <c r="C37" s="4361"/>
      <c r="D37" s="4362"/>
      <c r="E37" s="4382" t="s">
        <v>1661</v>
      </c>
      <c r="F37" s="4364">
        <f>IF(SUM(F38,F40)=0,"NO",SUM(F38,F40))</f>
        <v>25057836.120235845</v>
      </c>
      <c r="G37" s="4369" t="str">
        <f t="shared" si="2"/>
        <v>NA</v>
      </c>
      <c r="H37" s="4366">
        <f t="shared" si="3"/>
        <v>1.062055220440458E-2</v>
      </c>
      <c r="I37" s="4367">
        <f t="shared" si="4"/>
        <v>3.4179316104613548E-4</v>
      </c>
      <c r="J37" s="4170" t="str">
        <f>IF(SUM(J38,J40)=0,"IE",SUM(J38,J40))</f>
        <v>IE</v>
      </c>
      <c r="K37" s="3057">
        <f>IF(SUM(K38,K40)=0,"NO",SUM(K38,K40))</f>
        <v>266.12805664437951</v>
      </c>
      <c r="L37" s="3106">
        <f>IF(SUM(L38,L40)=0,"NO",SUM(L38,L40))</f>
        <v>8.564597016511442</v>
      </c>
    </row>
    <row r="38" spans="2:13" ht="18" customHeight="1" x14ac:dyDescent="0.2">
      <c r="B38" s="926" t="s">
        <v>1683</v>
      </c>
      <c r="C38" s="4361"/>
      <c r="D38" s="4362"/>
      <c r="E38" s="4382" t="s">
        <v>1661</v>
      </c>
      <c r="F38" s="4368">
        <f>F39</f>
        <v>25057836.120235845</v>
      </c>
      <c r="G38" s="4369" t="str">
        <f t="shared" si="2"/>
        <v>NA</v>
      </c>
      <c r="H38" s="4370">
        <f t="shared" si="3"/>
        <v>1.062055220440458E-2</v>
      </c>
      <c r="I38" s="4371">
        <f t="shared" si="4"/>
        <v>3.4179316104613548E-4</v>
      </c>
      <c r="J38" s="4170" t="str">
        <f>J39</f>
        <v>IE</v>
      </c>
      <c r="K38" s="4170">
        <f>K39</f>
        <v>266.12805664437951</v>
      </c>
      <c r="L38" s="4372">
        <f>L39</f>
        <v>8.564597016511442</v>
      </c>
      <c r="M38" s="472"/>
    </row>
    <row r="39" spans="2:13" ht="18" customHeight="1" x14ac:dyDescent="0.2">
      <c r="B39" s="926"/>
      <c r="C39" s="2864" t="s">
        <v>1342</v>
      </c>
      <c r="D39" s="4373" t="s">
        <v>1219</v>
      </c>
      <c r="E39" s="4379" t="s">
        <v>1661</v>
      </c>
      <c r="F39" s="4380">
        <v>25057836.120235845</v>
      </c>
      <c r="G39" s="4369" t="str">
        <f t="shared" si="2"/>
        <v>NA</v>
      </c>
      <c r="H39" s="4370">
        <f t="shared" ref="H39:H40" si="9">IF(SUM($F39)=0,"NA",K39*1000/$F39)</f>
        <v>1.062055220440458E-2</v>
      </c>
      <c r="I39" s="4371">
        <f t="shared" ref="I39:I40" si="10">IF(SUM($F39)=0,"NA",L39*1000/$F39)</f>
        <v>3.4179316104613548E-4</v>
      </c>
      <c r="J39" s="4376" t="s">
        <v>274</v>
      </c>
      <c r="K39" s="4377">
        <v>266.12805664437951</v>
      </c>
      <c r="L39" s="4381">
        <v>8.564597016511442</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454643.68247493904</v>
      </c>
      <c r="G42" s="4365" t="str">
        <f t="shared" si="2"/>
        <v>NA</v>
      </c>
      <c r="H42" s="4366">
        <f t="shared" si="11"/>
        <v>0.10267040702596419</v>
      </c>
      <c r="I42" s="4367">
        <f t="shared" si="12"/>
        <v>1.9139753377474442E-3</v>
      </c>
      <c r="J42" s="4170" t="str">
        <f>IF(SUM(J43,J46)=0,"IE",SUM(J43,J46))</f>
        <v>IE</v>
      </c>
      <c r="K42" s="3057">
        <f>IF(SUM(K43,K46)=0,"NO",SUM(K43,K46))</f>
        <v>46.678451931485213</v>
      </c>
      <c r="L42" s="3106">
        <f>IF(SUM(L43,L46)=0,"NO",SUM(L43,L46))</f>
        <v>0.87017679571971329</v>
      </c>
    </row>
    <row r="43" spans="2:13" ht="18" customHeight="1" x14ac:dyDescent="0.2">
      <c r="B43" s="926" t="s">
        <v>1686</v>
      </c>
      <c r="C43" s="4361"/>
      <c r="D43" s="4362"/>
      <c r="E43" s="4382" t="s">
        <v>1661</v>
      </c>
      <c r="F43" s="4368">
        <f>IF(SUM(F44:F45)=0,"NO",SUM(F44:F45))</f>
        <v>454643.68247493904</v>
      </c>
      <c r="G43" s="4369" t="str">
        <f t="shared" si="2"/>
        <v>NA</v>
      </c>
      <c r="H43" s="4370">
        <f t="shared" ref="H43" si="13">IF(SUM($F43)=0,"NA",K43*1000/$F43)</f>
        <v>0.10267040702596419</v>
      </c>
      <c r="I43" s="4371">
        <f t="shared" ref="I43" si="14">IF(SUM($F43)=0,"NA",L43*1000/$F43)</f>
        <v>1.9139753377474442E-3</v>
      </c>
      <c r="J43" s="4170" t="str">
        <f>IF(SUM(J44:J45)=0,"IE",SUM(J44:J45))</f>
        <v>IE</v>
      </c>
      <c r="K43" s="4170">
        <f>IF(SUM(K44:K45)=0,"NO",SUM(K44:K45))</f>
        <v>46.678451931485213</v>
      </c>
      <c r="L43" s="4372">
        <f>IF(SUM(L44:L45)=0,"NO",SUM(L44:L45))</f>
        <v>0.87017679571971329</v>
      </c>
      <c r="M43" s="472"/>
    </row>
    <row r="44" spans="2:13" ht="18" customHeight="1" x14ac:dyDescent="0.2">
      <c r="B44" s="926"/>
      <c r="C44" s="2864" t="s">
        <v>1679</v>
      </c>
      <c r="D44" s="4373" t="s">
        <v>1219</v>
      </c>
      <c r="E44" s="4379" t="s">
        <v>1661</v>
      </c>
      <c r="F44" s="4380">
        <v>420861.38522295974</v>
      </c>
      <c r="G44" s="4369" t="str">
        <f t="shared" si="2"/>
        <v>NA</v>
      </c>
      <c r="H44" s="4370">
        <f t="shared" ref="H44:H46" si="15">IF(SUM($F44)=0,"NA",K44*1000/$F44)</f>
        <v>0.10767389623082893</v>
      </c>
      <c r="I44" s="4371">
        <f t="shared" ref="I44:I46" si="16">IF(SUM($F44)=0,"NA",L44*1000/$F44)</f>
        <v>1.9904716094893511E-3</v>
      </c>
      <c r="J44" s="4376" t="s">
        <v>274</v>
      </c>
      <c r="K44" s="4377">
        <v>45.315785120059886</v>
      </c>
      <c r="L44" s="4381">
        <v>0.83771263881666258</v>
      </c>
      <c r="M44" s="472"/>
    </row>
    <row r="45" spans="2:13" ht="18" customHeight="1" x14ac:dyDescent="0.2">
      <c r="B45" s="926"/>
      <c r="C45" s="2864" t="s">
        <v>1342</v>
      </c>
      <c r="D45" s="4373" t="s">
        <v>1219</v>
      </c>
      <c r="E45" s="4379" t="s">
        <v>1661</v>
      </c>
      <c r="F45" s="4380">
        <v>33782.297251979304</v>
      </c>
      <c r="G45" s="4369" t="str">
        <f t="shared" si="2"/>
        <v>NA</v>
      </c>
      <c r="H45" s="4370">
        <f t="shared" si="15"/>
        <v>4.0336712487647308E-2</v>
      </c>
      <c r="I45" s="4371">
        <f t="shared" si="16"/>
        <v>9.6098132879784005E-4</v>
      </c>
      <c r="J45" s="4376" t="s">
        <v>274</v>
      </c>
      <c r="K45" s="4377">
        <v>1.3626668114253269</v>
      </c>
      <c r="L45" s="4381">
        <v>3.2464156903050691E-2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607843.15457774221</v>
      </c>
      <c r="G48" s="4355" t="str">
        <f t="shared" si="2"/>
        <v>NA</v>
      </c>
      <c r="H48" s="4356">
        <f t="shared" si="17"/>
        <v>3.3151694098490052E-2</v>
      </c>
      <c r="I48" s="4357">
        <f t="shared" si="18"/>
        <v>6.8698759439450206E-4</v>
      </c>
      <c r="J48" s="4358" t="str">
        <f>IF(SUM(J49,J54)=0,"IE",SUM(J49,J54))</f>
        <v>IE</v>
      </c>
      <c r="K48" s="4359">
        <f>IF(SUM(K49,K54)=0,"NO",SUM(K49,K54))</f>
        <v>20.151030320422514</v>
      </c>
      <c r="L48" s="4360">
        <f>IF(SUM(L49,L54)=0,"NO",SUM(L49,L54))</f>
        <v>0.41758070653252854</v>
      </c>
      <c r="M48" s="472"/>
    </row>
    <row r="49" spans="2:13" ht="18" customHeight="1" x14ac:dyDescent="0.2">
      <c r="B49" s="906" t="s">
        <v>1689</v>
      </c>
      <c r="C49" s="4361"/>
      <c r="D49" s="4362"/>
      <c r="E49" s="4382" t="s">
        <v>1661</v>
      </c>
      <c r="F49" s="4364">
        <f>IF(SUM(F50,F52)=0,"NO",SUM(F50,F52))</f>
        <v>607843.15457774221</v>
      </c>
      <c r="G49" s="4365" t="str">
        <f t="shared" si="2"/>
        <v>NA</v>
      </c>
      <c r="H49" s="4366">
        <f t="shared" si="17"/>
        <v>3.3151694098490052E-2</v>
      </c>
      <c r="I49" s="4367">
        <f t="shared" si="18"/>
        <v>6.8698759439450206E-4</v>
      </c>
      <c r="J49" s="4170" t="str">
        <f>IF(SUM(J50,J52)=0,"IE",SUM(J50,J52))</f>
        <v>IE</v>
      </c>
      <c r="K49" s="3057">
        <f>IF(SUM(K50,K52)=0,"NO",SUM(K50,K52))</f>
        <v>20.151030320422514</v>
      </c>
      <c r="L49" s="3106">
        <f>IF(SUM(L50,L52)=0,"NO",SUM(L50,L52))</f>
        <v>0.41758070653252854</v>
      </c>
    </row>
    <row r="50" spans="2:13" ht="18" customHeight="1" x14ac:dyDescent="0.2">
      <c r="B50" s="926" t="s">
        <v>1690</v>
      </c>
      <c r="C50" s="4361"/>
      <c r="D50" s="4362"/>
      <c r="E50" s="4382" t="s">
        <v>1661</v>
      </c>
      <c r="F50" s="4368">
        <f>F51</f>
        <v>607843.15457774221</v>
      </c>
      <c r="G50" s="4369" t="str">
        <f t="shared" si="2"/>
        <v>NA</v>
      </c>
      <c r="H50" s="4370">
        <f t="shared" si="17"/>
        <v>3.3151694098490052E-2</v>
      </c>
      <c r="I50" s="4371">
        <f t="shared" si="18"/>
        <v>6.8698759439450206E-4</v>
      </c>
      <c r="J50" s="4170" t="str">
        <f>J51</f>
        <v>IE</v>
      </c>
      <c r="K50" s="4170">
        <f>K51</f>
        <v>20.151030320422514</v>
      </c>
      <c r="L50" s="4372">
        <f>L51</f>
        <v>0.41758070653252854</v>
      </c>
      <c r="M50" s="472"/>
    </row>
    <row r="51" spans="2:13" ht="18" customHeight="1" x14ac:dyDescent="0.2">
      <c r="B51" s="926"/>
      <c r="C51" s="2864" t="s">
        <v>1342</v>
      </c>
      <c r="D51" s="4373" t="s">
        <v>1219</v>
      </c>
      <c r="E51" s="4379" t="s">
        <v>1661</v>
      </c>
      <c r="F51" s="4380">
        <v>607843.15457774221</v>
      </c>
      <c r="G51" s="4369" t="str">
        <f t="shared" si="2"/>
        <v>NA</v>
      </c>
      <c r="H51" s="4370">
        <f t="shared" si="17"/>
        <v>3.3151694098490052E-2</v>
      </c>
      <c r="I51" s="4371">
        <f t="shared" si="18"/>
        <v>6.8698759439450206E-4</v>
      </c>
      <c r="J51" s="4376" t="s">
        <v>274</v>
      </c>
      <c r="K51" s="4377">
        <v>20.151030320422514</v>
      </c>
      <c r="L51" s="4381">
        <v>0.41758070653252854</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9816.0143237550783</v>
      </c>
      <c r="G59" s="4355" t="str">
        <f t="shared" si="2"/>
        <v>NA</v>
      </c>
      <c r="H59" s="4356">
        <f t="shared" si="3"/>
        <v>0.13938391431366318</v>
      </c>
      <c r="I59" s="4357">
        <f t="shared" si="4"/>
        <v>2.5766665271039673E-3</v>
      </c>
      <c r="J59" s="4358" t="str">
        <f>IF(SUM(J60,J65)=0,"IE",SUM(J60,J65))</f>
        <v>IE</v>
      </c>
      <c r="K59" s="4359">
        <f>IF(SUM(K60,K65)=0,"NO",SUM(K60,K65))</f>
        <v>1.3681944994039681</v>
      </c>
      <c r="L59" s="4360">
        <f>IF(SUM(L60,L65)=0,"NO",SUM(L60,L65))</f>
        <v>2.5292595537592794E-2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9816.0143237550783</v>
      </c>
      <c r="G65" s="4365" t="str">
        <f t="shared" si="2"/>
        <v>NA</v>
      </c>
      <c r="H65" s="4366">
        <f t="shared" si="3"/>
        <v>0.13938391431366318</v>
      </c>
      <c r="I65" s="4367">
        <f t="shared" si="4"/>
        <v>2.5766665271039673E-3</v>
      </c>
      <c r="J65" s="4170" t="str">
        <f>IF(SUM(J66,J68)=0,"IE",SUM(J66,J68))</f>
        <v>IE</v>
      </c>
      <c r="K65" s="3057">
        <f>IF(SUM(K66,K68)=0,"NO",SUM(K66,K68))</f>
        <v>1.3681944994039681</v>
      </c>
      <c r="L65" s="3106">
        <f>IF(SUM(L66,L68)=0,"NO",SUM(L66,L68))</f>
        <v>2.5292595537592794E-2</v>
      </c>
    </row>
    <row r="66" spans="2:13" ht="18" customHeight="1" x14ac:dyDescent="0.2">
      <c r="B66" s="926" t="s">
        <v>1700</v>
      </c>
      <c r="C66" s="4361"/>
      <c r="D66" s="4362"/>
      <c r="E66" s="4382" t="s">
        <v>1661</v>
      </c>
      <c r="F66" s="4368">
        <f>F67</f>
        <v>9816.0143237550783</v>
      </c>
      <c r="G66" s="4369" t="str">
        <f t="shared" si="2"/>
        <v>NA</v>
      </c>
      <c r="H66" s="4370">
        <f t="shared" si="3"/>
        <v>0.13938391431366318</v>
      </c>
      <c r="I66" s="4371">
        <f t="shared" si="4"/>
        <v>2.5766665271039673E-3</v>
      </c>
      <c r="J66" s="4170" t="str">
        <f>J67</f>
        <v>IE</v>
      </c>
      <c r="K66" s="4170">
        <f>K67</f>
        <v>1.3681944994039681</v>
      </c>
      <c r="L66" s="4372">
        <f>L67</f>
        <v>2.5292595537592794E-2</v>
      </c>
      <c r="M66" s="472"/>
    </row>
    <row r="67" spans="2:13" ht="18" customHeight="1" x14ac:dyDescent="0.2">
      <c r="B67" s="926"/>
      <c r="C67" s="2864" t="s">
        <v>1679</v>
      </c>
      <c r="D67" s="4373" t="s">
        <v>1219</v>
      </c>
      <c r="E67" s="4379" t="s">
        <v>1661</v>
      </c>
      <c r="F67" s="4380">
        <v>9816.0143237550783</v>
      </c>
      <c r="G67" s="4369" t="str">
        <f t="shared" si="2"/>
        <v>NA</v>
      </c>
      <c r="H67" s="4370">
        <f t="shared" ref="H67:H68" si="23">IF(SUM($F67)=0,"NA",K67*1000/$F67)</f>
        <v>0.13938391431366318</v>
      </c>
      <c r="I67" s="4371">
        <f t="shared" ref="I67:I68" si="24">IF(SUM($F67)=0,"NA",L67*1000/$F67)</f>
        <v>2.5766665271039673E-3</v>
      </c>
      <c r="J67" s="4376" t="s">
        <v>274</v>
      </c>
      <c r="K67" s="4377">
        <v>1.3681944994039681</v>
      </c>
      <c r="L67" s="4381">
        <v>2.5292595537592794E-2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4096.9857781775336</v>
      </c>
      <c r="D10" s="3463">
        <f>IF(SUM(D11,D16:D17)=0,"NO",SUM(D11,D16:D17))</f>
        <v>-3043.5028764116423</v>
      </c>
      <c r="E10" s="3464"/>
      <c r="F10" s="3465">
        <f>IF(SUM(F11,F16:F17)=0,"NO",SUM(F11,F16:F17))</f>
        <v>1053.4829017658919</v>
      </c>
      <c r="G10" s="3466">
        <f>IF(SUM(G11,G16:G17)=0,"NO",SUM(G11,G16:G17))</f>
        <v>-3862.7706398082705</v>
      </c>
      <c r="H10" s="226"/>
      <c r="I10" s="2"/>
      <c r="J10" s="2"/>
    </row>
    <row r="11" spans="1:10" ht="18" customHeight="1" x14ac:dyDescent="0.2">
      <c r="B11" s="592" t="s">
        <v>1722</v>
      </c>
      <c r="C11" s="3467">
        <f>IF(SUM(C13:C15)=0,"NO",SUM(C13:C15))</f>
        <v>1491.2162040678256</v>
      </c>
      <c r="D11" s="3468">
        <f>IF(SUM(D13:D15)=0,"NO",SUM(D13:D15))</f>
        <v>-724.7643474383392</v>
      </c>
      <c r="E11" s="3469"/>
      <c r="F11" s="3470">
        <f>IF(SUM(F13:F15)=0,"NO",SUM(F13:F15))</f>
        <v>766.45185662948631</v>
      </c>
      <c r="G11" s="3471">
        <f>IF(SUM(G13:G15)=0,"NO",SUM(G13:G15))</f>
        <v>-2810.3234743081166</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1026.4762336993851</v>
      </c>
      <c r="D13" s="3476">
        <f>F13-C13</f>
        <v>-444.56576153596404</v>
      </c>
      <c r="E13" s="3477" t="s">
        <v>205</v>
      </c>
      <c r="F13" s="3478">
        <f>G13/(-44/12)</f>
        <v>581.9104721634211</v>
      </c>
      <c r="G13" s="3479">
        <v>-2133.6717312658775</v>
      </c>
      <c r="H13" s="226"/>
      <c r="I13" s="2"/>
      <c r="J13" s="2"/>
    </row>
    <row r="14" spans="1:10" ht="18" customHeight="1" x14ac:dyDescent="0.2">
      <c r="B14" s="1192" t="s">
        <v>1724</v>
      </c>
      <c r="C14" s="3480">
        <v>464.73997036844042</v>
      </c>
      <c r="D14" s="3481">
        <f>F14-C14</f>
        <v>-280.19858590237521</v>
      </c>
      <c r="E14" s="3202" t="s">
        <v>205</v>
      </c>
      <c r="F14" s="3482">
        <f>G14/(-44/12)</f>
        <v>184.54138446606521</v>
      </c>
      <c r="G14" s="3479">
        <v>-676.6517430422391</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1781.1014657163637</v>
      </c>
      <c r="D16" s="3481">
        <f>F16-C16</f>
        <v>-1814.8075534281638</v>
      </c>
      <c r="E16" s="3202" t="s">
        <v>205</v>
      </c>
      <c r="F16" s="3482">
        <f>G16/(-44/12)</f>
        <v>-33.706087711800023</v>
      </c>
      <c r="G16" s="3479">
        <v>123.58898827660008</v>
      </c>
      <c r="H16" s="226"/>
      <c r="I16" s="2"/>
      <c r="J16" s="2"/>
    </row>
    <row r="17" spans="2:10" ht="18" customHeight="1" x14ac:dyDescent="0.2">
      <c r="B17" s="1196" t="s">
        <v>1727</v>
      </c>
      <c r="C17" s="3484">
        <f>C18</f>
        <v>824.66810839334494</v>
      </c>
      <c r="D17" s="3485">
        <f t="shared" ref="D17:F17" si="0">D18</f>
        <v>-503.93097554513929</v>
      </c>
      <c r="E17" s="3486"/>
      <c r="F17" s="3193">
        <f t="shared" si="0"/>
        <v>320.73713284820565</v>
      </c>
      <c r="G17" s="3479">
        <f>-F17*44/12</f>
        <v>-1176.036153776754</v>
      </c>
      <c r="H17" s="226"/>
      <c r="I17" s="2"/>
      <c r="J17" s="2"/>
    </row>
    <row r="18" spans="2:10" ht="18" customHeight="1" thickBot="1" x14ac:dyDescent="0.25">
      <c r="B18" s="547" t="s">
        <v>1728</v>
      </c>
      <c r="C18" s="3487">
        <v>824.66810839334494</v>
      </c>
      <c r="D18" s="3488">
        <f>F18-C18</f>
        <v>-503.93097554513929</v>
      </c>
      <c r="E18" s="3205" t="s">
        <v>205</v>
      </c>
      <c r="F18" s="3489">
        <f>G18/(-44/12)</f>
        <v>320.73713284820565</v>
      </c>
      <c r="G18" s="3490">
        <v>-1176.036153776754</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31.499220380900699</v>
      </c>
      <c r="D10" s="1882">
        <f t="shared" ref="D10:I10" si="0">IF(SUM(D11,D15,D18,D21)=0,"NO",SUM(D11,D15,D18,D21))</f>
        <v>459.4032865104287</v>
      </c>
      <c r="E10" s="1882">
        <f t="shared" si="0"/>
        <v>1.240403827217694</v>
      </c>
      <c r="F10" s="1882" t="str">
        <f t="shared" si="0"/>
        <v>NO</v>
      </c>
      <c r="G10" s="1882" t="str">
        <f t="shared" si="0"/>
        <v>NO</v>
      </c>
      <c r="H10" s="1882">
        <f t="shared" si="0"/>
        <v>253.50143998690862</v>
      </c>
      <c r="I10" s="1883" t="str">
        <f t="shared" si="0"/>
        <v>NO</v>
      </c>
      <c r="J10" s="4487">
        <f>IF(SUM(C10:E10)=0,"NO",SUM(C10,IFERROR(28*D10,0),IFERROR(265*E10,0)))</f>
        <v>13223.498256885594</v>
      </c>
    </row>
    <row r="11" spans="1:10" ht="18" customHeight="1" x14ac:dyDescent="0.2">
      <c r="B11" s="1503" t="s">
        <v>1800</v>
      </c>
      <c r="C11" s="2893"/>
      <c r="D11" s="2894">
        <f>IF(SUM(D12:D14)=0,"NO",SUM(D12:D14))</f>
        <v>365.92950257254506</v>
      </c>
      <c r="E11" s="2893"/>
      <c r="F11" s="1886" t="str">
        <f>IF(SUM(F12:F14)=0,"NO",SUM(F12:F14))</f>
        <v>NO</v>
      </c>
      <c r="G11" s="1886" t="str">
        <f t="shared" ref="G11:H11" si="1">IF(SUM(G12:G14)=0,"NO",SUM(G12:G14))</f>
        <v>NO</v>
      </c>
      <c r="H11" s="1886">
        <f t="shared" si="1"/>
        <v>2.9868929076341875</v>
      </c>
      <c r="I11" s="2994"/>
      <c r="J11" s="1886">
        <f t="shared" ref="J11:J18" si="2">IF(SUM(C11:E11)=0,"NO",SUM(C11,IFERROR(28*D11,0),IFERROR(265*E11,0)))</f>
        <v>10246.026072031262</v>
      </c>
    </row>
    <row r="12" spans="1:10" ht="18" customHeight="1" x14ac:dyDescent="0.2">
      <c r="B12" s="1269" t="s">
        <v>1801</v>
      </c>
      <c r="C12" s="1885"/>
      <c r="D12" s="1884">
        <f>IF(SUM(Table5.A!F10:H10)=0,"NO",SUM(Table5.A!F10))</f>
        <v>365.92950257254506</v>
      </c>
      <c r="E12" s="1885"/>
      <c r="F12" s="2916" t="s">
        <v>205</v>
      </c>
      <c r="G12" s="2916" t="s">
        <v>205</v>
      </c>
      <c r="H12" s="2916">
        <v>2.9868929076341875</v>
      </c>
      <c r="I12" s="2940"/>
      <c r="J12" s="1887">
        <f t="shared" si="2"/>
        <v>10246.026072031262</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4.1509899224999991</v>
      </c>
      <c r="E15" s="2892">
        <f t="shared" ref="E15" si="3">IF(SUM(E16:E17)=0,"NO",SUM(E16:E17))</f>
        <v>0.5313267100800001</v>
      </c>
      <c r="F15" s="2892" t="s">
        <v>1805</v>
      </c>
      <c r="G15" s="2892" t="s">
        <v>1805</v>
      </c>
      <c r="H15" s="2892" t="s">
        <v>1805</v>
      </c>
      <c r="I15" s="2997"/>
      <c r="J15" s="2884">
        <f t="shared" si="2"/>
        <v>257.02929600120001</v>
      </c>
    </row>
    <row r="16" spans="1:10" ht="18" customHeight="1" x14ac:dyDescent="0.2">
      <c r="B16" s="1891" t="s">
        <v>1806</v>
      </c>
      <c r="C16" s="2998"/>
      <c r="D16" s="1884">
        <f>Table5.B!F10</f>
        <v>4.1509899224999991</v>
      </c>
      <c r="E16" s="1884">
        <f>Table5.B!G10</f>
        <v>0.5313267100800001</v>
      </c>
      <c r="F16" s="699" t="s">
        <v>205</v>
      </c>
      <c r="G16" s="699" t="s">
        <v>205</v>
      </c>
      <c r="H16" s="699" t="s">
        <v>205</v>
      </c>
      <c r="I16" s="2940"/>
      <c r="J16" s="1887">
        <f t="shared" si="2"/>
        <v>257.02929600120001</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31.499220380900699</v>
      </c>
      <c r="D18" s="2883" t="str">
        <f>IF(SUM(D19:D20)=0,"NO,NE",SUM(D19:D20))</f>
        <v>NO,NE</v>
      </c>
      <c r="E18" s="2883" t="str">
        <f>IF(SUM(E19:E20)=0,"NO,NE",SUM(E19:E20))</f>
        <v>NO,NE</v>
      </c>
      <c r="F18" s="2883" t="s">
        <v>205</v>
      </c>
      <c r="G18" s="2883" t="s">
        <v>205</v>
      </c>
      <c r="H18" s="2883" t="s">
        <v>205</v>
      </c>
      <c r="I18" s="2883" t="s">
        <v>205</v>
      </c>
      <c r="J18" s="2885">
        <f t="shared" si="2"/>
        <v>31.499220380900699</v>
      </c>
    </row>
    <row r="19" spans="2:12" ht="18" customHeight="1" x14ac:dyDescent="0.2">
      <c r="B19" s="1269" t="s">
        <v>1809</v>
      </c>
      <c r="C19" s="1884">
        <f>Table5.C!G10</f>
        <v>31.499220380900699</v>
      </c>
      <c r="D19" s="1884" t="str">
        <f>Table5.C!H10</f>
        <v>NO,NE</v>
      </c>
      <c r="E19" s="1884" t="str">
        <f>Table5.C!I10</f>
        <v>NO,NE</v>
      </c>
      <c r="F19" s="700" t="s">
        <v>205</v>
      </c>
      <c r="G19" s="700" t="s">
        <v>205</v>
      </c>
      <c r="H19" s="700" t="s">
        <v>205</v>
      </c>
      <c r="I19" s="700" t="s">
        <v>205</v>
      </c>
      <c r="J19" s="1887">
        <f>IF(SUM(C19:E19)=0,"NO",SUM(C19,IFERROR(28*D19,0),IFERROR(265*E19,0)))</f>
        <v>31.499220380900699</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89.322794015383622</v>
      </c>
      <c r="E21" s="2883">
        <f t="shared" ref="E21:H21" si="5">IF(SUM(E22:E24)=0,"NO",SUM(E22:E24))</f>
        <v>0.70907711713769395</v>
      </c>
      <c r="F21" s="2883" t="str">
        <f t="shared" si="5"/>
        <v>NO</v>
      </c>
      <c r="G21" s="2883" t="str">
        <f t="shared" si="5"/>
        <v>NO</v>
      </c>
      <c r="H21" s="2883">
        <f t="shared" si="5"/>
        <v>250.51454707927442</v>
      </c>
      <c r="I21" s="3000"/>
      <c r="J21" s="2885">
        <f t="shared" si="4"/>
        <v>2688.9436684722305</v>
      </c>
    </row>
    <row r="22" spans="2:12" ht="18" customHeight="1" x14ac:dyDescent="0.2">
      <c r="B22" s="1269" t="s">
        <v>1812</v>
      </c>
      <c r="C22" s="1894"/>
      <c r="D22" s="1884">
        <f>IF(SUM(Table5.D!H10)=0,"NO",SUM(Table5.D!H10))</f>
        <v>43.97432357361172</v>
      </c>
      <c r="E22" s="1884">
        <f>IF(SUM(Table5.D!I10:J10)=0,"NO",SUM(Table5.D!I10:J10))</f>
        <v>0.70907711713769395</v>
      </c>
      <c r="F22" s="2916" t="s">
        <v>205</v>
      </c>
      <c r="G22" s="2916" t="s">
        <v>205</v>
      </c>
      <c r="H22" s="2916">
        <v>7.7886572704470707</v>
      </c>
      <c r="I22" s="2940"/>
      <c r="J22" s="1887">
        <f t="shared" si="4"/>
        <v>1419.186496102617</v>
      </c>
    </row>
    <row r="23" spans="2:12" ht="18" customHeight="1" x14ac:dyDescent="0.2">
      <c r="B23" s="1269" t="s">
        <v>1813</v>
      </c>
      <c r="C23" s="1894"/>
      <c r="D23" s="1884">
        <f>IF(SUM(Table5.D!H11)=0,"NO",SUM(Table5.D!H11))</f>
        <v>45.348470441771902</v>
      </c>
      <c r="E23" s="1884" t="str">
        <f>IF(SUM(Table5.D!I11:J11)=0,"IE",SUM(Table5.D!I11:J11))</f>
        <v>IE</v>
      </c>
      <c r="F23" s="2916" t="s">
        <v>205</v>
      </c>
      <c r="G23" s="2916" t="s">
        <v>205</v>
      </c>
      <c r="H23" s="2916">
        <v>242.72588980882736</v>
      </c>
      <c r="I23" s="2940"/>
      <c r="J23" s="1887">
        <f t="shared" si="4"/>
        <v>1269.7571723696133</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295510.11206349486</v>
      </c>
      <c r="D28" s="1903"/>
      <c r="E28" s="1903"/>
      <c r="F28" s="1903"/>
      <c r="G28" s="1903"/>
      <c r="H28" s="1903"/>
      <c r="I28" s="1904"/>
      <c r="J28" s="1907"/>
      <c r="K28"/>
      <c r="L28"/>
    </row>
    <row r="29" spans="2:12" ht="18" customHeight="1" x14ac:dyDescent="0.2">
      <c r="B29" s="4215" t="s">
        <v>1819</v>
      </c>
      <c r="C29" s="1905">
        <v>3823.9811454560354</v>
      </c>
      <c r="D29" s="1906"/>
      <c r="E29" s="1906"/>
      <c r="F29" s="1906"/>
      <c r="G29" s="1906"/>
      <c r="H29" s="1906"/>
      <c r="I29" s="1907"/>
      <c r="J29" s="1907"/>
      <c r="K29"/>
      <c r="L29"/>
    </row>
    <row r="30" spans="2:12" ht="18" customHeight="1" thickBot="1" x14ac:dyDescent="0.25">
      <c r="B30" s="4216" t="s">
        <v>1820</v>
      </c>
      <c r="C30" s="1899">
        <v>1791.2097166746632</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M13" sqref="M13"/>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18588.059511794614</v>
      </c>
      <c r="D10" s="3678"/>
      <c r="E10" s="4121">
        <f>IF(SUM(C10)=0,"NA",(F10-G10-H10)/C10)</f>
        <v>3.6154979156982951E-2</v>
      </c>
      <c r="F10" s="3679">
        <f>F11</f>
        <v>365.92950257254506</v>
      </c>
      <c r="G10" s="3679">
        <f>G11</f>
        <v>-14.5068197612544</v>
      </c>
      <c r="H10" s="3680">
        <f>H11</f>
        <v>-291.61458188389344</v>
      </c>
      <c r="I10" s="44"/>
    </row>
    <row r="11" spans="1:13" ht="18" customHeight="1" x14ac:dyDescent="0.2">
      <c r="B11" s="1753" t="s">
        <v>1834</v>
      </c>
      <c r="C11" s="3681">
        <f>IF(SUM(C13:C16)=0,"NO",SUM(C13:C16))</f>
        <v>18588.059511794614</v>
      </c>
      <c r="D11" s="3681">
        <v>1</v>
      </c>
      <c r="E11" s="4121">
        <f>IF(SUM(C11)=0,"NA",(F11-G11-H11)/C11)</f>
        <v>3.6154979156982951E-2</v>
      </c>
      <c r="F11" s="4227">
        <f>IF(SUM(F13:F16)=0,"NO",SUM(F13:F16))</f>
        <v>365.92950257254506</v>
      </c>
      <c r="G11" s="3682">
        <v>-14.5068197612544</v>
      </c>
      <c r="H11" s="3683">
        <v>-291.61458188389344</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11055.084452708767</v>
      </c>
      <c r="D13" s="3688">
        <v>1</v>
      </c>
      <c r="E13" s="4218" t="s">
        <v>274</v>
      </c>
      <c r="F13" s="3688">
        <v>14.431317791864332</v>
      </c>
      <c r="G13" s="3689"/>
      <c r="H13" s="3690"/>
      <c r="I13" s="44"/>
    </row>
    <row r="14" spans="1:13" ht="18" customHeight="1" x14ac:dyDescent="0.2">
      <c r="B14" s="1754" t="s">
        <v>1837</v>
      </c>
      <c r="C14" s="3688">
        <v>1781.9111210276087</v>
      </c>
      <c r="D14" s="3688">
        <v>1</v>
      </c>
      <c r="E14" s="3681" t="s">
        <v>274</v>
      </c>
      <c r="F14" s="3688">
        <v>145.77508119300504</v>
      </c>
      <c r="G14" s="3689"/>
      <c r="H14" s="3690"/>
      <c r="I14" s="44"/>
    </row>
    <row r="15" spans="1:13" ht="18" customHeight="1" x14ac:dyDescent="0.2">
      <c r="B15" s="1754" t="s">
        <v>1838</v>
      </c>
      <c r="C15" s="3688">
        <v>5751.0639380582388</v>
      </c>
      <c r="D15" s="3688">
        <v>1</v>
      </c>
      <c r="E15" s="4121" t="s">
        <v>274</v>
      </c>
      <c r="F15" s="3688">
        <v>205.72310358767567</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5534.6532130026362</v>
      </c>
      <c r="D10" s="1938">
        <f>IF(SUM($C10)=0,"NA",F10*1000/$C10)</f>
        <v>0.75000000230330999</v>
      </c>
      <c r="E10" s="1938">
        <f>IF(SUM($C10)=0,"NA",G10*1000/$C10)</f>
        <v>9.6000000294823723E-2</v>
      </c>
      <c r="F10" s="1934">
        <f>IF(SUM(F11:F12)=0,"NO",SUM(F11:F12))</f>
        <v>4.1509899224999991</v>
      </c>
      <c r="G10" s="1934">
        <f>IF(SUM(G11:G12)=0,"NO",SUM(G11:G12))</f>
        <v>0.5313267100800001</v>
      </c>
      <c r="H10" s="1935"/>
      <c r="I10" s="1936"/>
    </row>
    <row r="11" spans="1:9" ht="18" customHeight="1" x14ac:dyDescent="0.2">
      <c r="B11" s="1525" t="s">
        <v>1851</v>
      </c>
      <c r="C11" s="1937">
        <v>5534.6532130026362</v>
      </c>
      <c r="D11" s="1938">
        <f>IF(SUM($C11)=0,"NA",F11*1000/$C11)</f>
        <v>0.75000000230330999</v>
      </c>
      <c r="E11" s="1938">
        <f>IF(SUM($C11)=0,"NA",G11*1000/$C11)</f>
        <v>9.6000000294823723E-2</v>
      </c>
      <c r="F11" s="1937">
        <v>4.1509899224999991</v>
      </c>
      <c r="G11" s="1937">
        <v>0.5313267100800001</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21.842981958956905</v>
      </c>
      <c r="D10" s="2898">
        <f t="shared" ref="D10:D20" si="0">IF(SUM(G10)=0,"NA",G10*1000/$C10)</f>
        <v>1442.0750994570212</v>
      </c>
      <c r="E10" s="2898" t="str">
        <f t="shared" ref="E10:E20" si="1">IF(SUM(H10)=0,"NA",H10*1000/$C10)</f>
        <v>NA</v>
      </c>
      <c r="F10" s="2898" t="str">
        <f t="shared" ref="F10:F20" si="2">IF(SUM(I10)=0,"NA",I10*1000/$C10)</f>
        <v>NA</v>
      </c>
      <c r="G10" s="2898">
        <f>IF(SUM(G11,G21)=0,"NO",SUM(G11,G21))</f>
        <v>31.499220380900699</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21.842981958956905</v>
      </c>
      <c r="D21" s="116">
        <f>IF(SUM(G21)=0,"NA",G21*1000/$C21)</f>
        <v>1442.0750994570212</v>
      </c>
      <c r="E21" s="116" t="str">
        <f t="shared" ref="E21:F21" si="3">IF(SUM(H21)=0,"NA",H21*1000/$C21)</f>
        <v>NA</v>
      </c>
      <c r="F21" s="116" t="str">
        <f t="shared" si="3"/>
        <v>NA</v>
      </c>
      <c r="G21" s="2900">
        <f>IF(SUM(G22:G23)=0,"NO",SUM(G22:G23))</f>
        <v>31.499220380900699</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21.842981958956905</v>
      </c>
      <c r="D23" s="116">
        <f t="shared" si="4"/>
        <v>1442.0750994570212</v>
      </c>
      <c r="E23" s="151" t="str">
        <f t="shared" si="5"/>
        <v>NA</v>
      </c>
      <c r="F23" s="151" t="str">
        <f t="shared" si="6"/>
        <v>NA</v>
      </c>
      <c r="G23" s="151">
        <f>IF(SUM(G25:G30)=0,"NO",SUM(G25:G30))</f>
        <v>31.499220380900699</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16.228661373114758</v>
      </c>
      <c r="D27" s="116">
        <f t="shared" si="4"/>
        <v>879.99999999377724</v>
      </c>
      <c r="E27" s="116" t="str">
        <f t="shared" si="5"/>
        <v>NA</v>
      </c>
      <c r="F27" s="116" t="str">
        <f t="shared" si="6"/>
        <v>NA</v>
      </c>
      <c r="G27" s="2908">
        <v>14.28122200824</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1" sqref="L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23476.011999999999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34.472932286289812</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1283.9514173297209</v>
      </c>
      <c r="D10" s="3399">
        <v>845.18187990929789</v>
      </c>
      <c r="E10" s="3399">
        <v>125.18947344922356</v>
      </c>
      <c r="F10" s="3400">
        <f>(SUM(H10)-SUM(K10:L10))/C10</f>
        <v>7.7677485510106753E-2</v>
      </c>
      <c r="G10" s="3400">
        <f>SUM(I10:J10)/E10/(44/28)</f>
        <v>3.6043836617541554E-3</v>
      </c>
      <c r="H10" s="3398">
        <v>43.97432357361172</v>
      </c>
      <c r="I10" s="3190">
        <v>0.70907711713769395</v>
      </c>
      <c r="J10" s="3190" t="s">
        <v>274</v>
      </c>
      <c r="K10" s="3401">
        <v>-8.4522685142857128</v>
      </c>
      <c r="L10" s="2921">
        <v>-47.307525527412984</v>
      </c>
      <c r="M10"/>
      <c r="N10" s="1773" t="s">
        <v>1910</v>
      </c>
      <c r="O10" s="3403">
        <v>1</v>
      </c>
    </row>
    <row r="11" spans="1:15" ht="18" customHeight="1" x14ac:dyDescent="0.2">
      <c r="A11"/>
      <c r="B11" s="1752" t="s">
        <v>1813</v>
      </c>
      <c r="C11" s="3399">
        <v>809.08629936275804</v>
      </c>
      <c r="D11" s="3399">
        <v>191.29233363370486</v>
      </c>
      <c r="E11" s="699" t="s">
        <v>274</v>
      </c>
      <c r="F11" s="3134">
        <f>(SUM(H11)-SUM(K11:L11))/C11</f>
        <v>7.0402310199336071E-2</v>
      </c>
      <c r="G11" s="3134" t="s">
        <v>205</v>
      </c>
      <c r="H11" s="699">
        <v>45.348470441771902</v>
      </c>
      <c r="I11" s="699" t="s">
        <v>274</v>
      </c>
      <c r="J11" s="699" t="s">
        <v>274</v>
      </c>
      <c r="K11" s="3125" t="s">
        <v>274</v>
      </c>
      <c r="L11" s="2921">
        <v>-11.613074183997881</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372214.73728483124</v>
      </c>
      <c r="D10" s="3798">
        <f t="shared" si="0"/>
        <v>4867.800124244819</v>
      </c>
      <c r="E10" s="3798">
        <f t="shared" si="0"/>
        <v>78.088605300060578</v>
      </c>
      <c r="F10" s="3798">
        <f t="shared" si="0"/>
        <v>8837.371668775806</v>
      </c>
      <c r="G10" s="3798">
        <f t="shared" si="0"/>
        <v>173.10697875319798</v>
      </c>
      <c r="H10" s="3798" t="str">
        <f>IF(SUM(H11,H22,H31,H42,H51)=0,"NO",SUM(H11,H22,H31,H42,H51))</f>
        <v>NO</v>
      </c>
      <c r="I10" s="3798">
        <f t="shared" ref="I10:N10" si="1">IF(SUM(I11,I22,I31,I42,I51)=0,"NO",SUM(I11,I22,I31,I42,I51))</f>
        <v>4.3475420467156238E-3</v>
      </c>
      <c r="J10" s="3826" t="str">
        <f t="shared" si="1"/>
        <v>NO</v>
      </c>
      <c r="K10" s="3798">
        <f t="shared" si="1"/>
        <v>3503.9016775335872</v>
      </c>
      <c r="L10" s="3798">
        <f t="shared" si="1"/>
        <v>28319.384248345872</v>
      </c>
      <c r="M10" s="3798">
        <f t="shared" si="1"/>
        <v>1904.5359180585983</v>
      </c>
      <c r="N10" s="3799">
        <f t="shared" si="1"/>
        <v>2498.9695189514823</v>
      </c>
      <c r="O10" s="3800">
        <f>IF(SUM(C10:J10)=0,"NO",SUM(C10,F10:H10)+28*SUM(D10)+265*SUM(E10)+23500*SUM(I10)+16100*SUM(J10))</f>
        <v>538319.26705382904</v>
      </c>
    </row>
    <row r="11" spans="1:15" ht="18" customHeight="1" x14ac:dyDescent="0.25">
      <c r="B11" s="1116" t="s">
        <v>1921</v>
      </c>
      <c r="C11" s="2572">
        <f>Table1!C10</f>
        <v>371036.04992430686</v>
      </c>
      <c r="D11" s="3766">
        <f>Table1!D10</f>
        <v>1298.9942524423438</v>
      </c>
      <c r="E11" s="3766">
        <f>Table1!E10</f>
        <v>11.752840827237796</v>
      </c>
      <c r="F11" s="1553"/>
      <c r="G11" s="1553"/>
      <c r="H11" s="3714"/>
      <c r="I11" s="1553"/>
      <c r="J11" s="98"/>
      <c r="K11" s="3766">
        <f>Table1!F10</f>
        <v>2499.0341473869494</v>
      </c>
      <c r="L11" s="3713">
        <f>Table1!G10</f>
        <v>2411.5458656527189</v>
      </c>
      <c r="M11" s="3713">
        <f>Table1!H10</f>
        <v>744.01905638427991</v>
      </c>
      <c r="N11" s="960">
        <f>Table1!I10</f>
        <v>679.54719546933461</v>
      </c>
      <c r="O11" s="3715">
        <f t="shared" ref="O11:O58" si="2">IF(SUM(C11:J11)=0,"NO",SUM(C11,F11:H11)+28*SUM(D11)+265*SUM(E11)+23500*SUM(I11)+16100*SUM(J11))</f>
        <v>410522.39181191049</v>
      </c>
    </row>
    <row r="12" spans="1:15" ht="18" customHeight="1" x14ac:dyDescent="0.25">
      <c r="B12" s="1369" t="s">
        <v>1922</v>
      </c>
      <c r="C12" s="3794">
        <f>Table1!C11</f>
        <v>361755.42857504578</v>
      </c>
      <c r="D12" s="617">
        <f>Table1!D11</f>
        <v>82.057317884315282</v>
      </c>
      <c r="E12" s="617">
        <f>Table1!E11</f>
        <v>11.634376737381681</v>
      </c>
      <c r="F12" s="69"/>
      <c r="G12" s="69"/>
      <c r="H12" s="69"/>
      <c r="I12" s="69"/>
      <c r="J12" s="69"/>
      <c r="K12" s="617">
        <f>Table1!F11</f>
        <v>2497.2303250716691</v>
      </c>
      <c r="L12" s="617">
        <f>Table1!G11</f>
        <v>2401.0836962240946</v>
      </c>
      <c r="M12" s="617">
        <f>Table1!H11</f>
        <v>518.04725570875939</v>
      </c>
      <c r="N12" s="619">
        <f>Table1!I11</f>
        <v>679.54719546933461</v>
      </c>
      <c r="O12" s="3716">
        <f t="shared" si="2"/>
        <v>367136.14331121271</v>
      </c>
    </row>
    <row r="13" spans="1:15" ht="18" customHeight="1" x14ac:dyDescent="0.25">
      <c r="B13" s="1370" t="s">
        <v>1923</v>
      </c>
      <c r="C13" s="3794">
        <f>Table1!C12</f>
        <v>203661.98819126311</v>
      </c>
      <c r="D13" s="617">
        <f>Table1!D12</f>
        <v>25.920302178925134</v>
      </c>
      <c r="E13" s="617">
        <f>Table1!E12</f>
        <v>3.9078887872154979</v>
      </c>
      <c r="F13" s="69"/>
      <c r="G13" s="69"/>
      <c r="H13" s="69"/>
      <c r="I13" s="69"/>
      <c r="J13" s="69"/>
      <c r="K13" s="617">
        <f>Table1!F12</f>
        <v>1057.2563136815049</v>
      </c>
      <c r="L13" s="617">
        <f>Table1!G12</f>
        <v>237.44027076526072</v>
      </c>
      <c r="M13" s="617">
        <f>Table1!H12</f>
        <v>66.740188250219049</v>
      </c>
      <c r="N13" s="619">
        <f>Table1!I12</f>
        <v>560.39044330870115</v>
      </c>
      <c r="O13" s="3717">
        <f t="shared" si="2"/>
        <v>205423.34718088512</v>
      </c>
    </row>
    <row r="14" spans="1:15" ht="18" customHeight="1" x14ac:dyDescent="0.25">
      <c r="B14" s="1370" t="s">
        <v>1924</v>
      </c>
      <c r="C14" s="3794">
        <f>Table1!C16</f>
        <v>45733.231352848219</v>
      </c>
      <c r="D14" s="3718">
        <f>Table1!D16</f>
        <v>2.4526234083275833</v>
      </c>
      <c r="E14" s="3718">
        <f>Table1!E16</f>
        <v>1.4770703712489541</v>
      </c>
      <c r="F14" s="3719"/>
      <c r="G14" s="3719"/>
      <c r="H14" s="3719"/>
      <c r="I14" s="3719"/>
      <c r="J14" s="69"/>
      <c r="K14" s="3718">
        <f>Table1!F16</f>
        <v>772.17242738002665</v>
      </c>
      <c r="L14" s="3718">
        <f>Table1!G16</f>
        <v>243.59744144944341</v>
      </c>
      <c r="M14" s="3718">
        <f>Table1!H16</f>
        <v>101.16791692722782</v>
      </c>
      <c r="N14" s="3720">
        <f>Table1!I16</f>
        <v>87.401139266844524</v>
      </c>
      <c r="O14" s="3721">
        <f t="shared" si="2"/>
        <v>46193.328456662362</v>
      </c>
    </row>
    <row r="15" spans="1:15" ht="18" customHeight="1" x14ac:dyDescent="0.25">
      <c r="B15" s="1370" t="s">
        <v>1925</v>
      </c>
      <c r="C15" s="3794">
        <f>Table1!C24</f>
        <v>91191.407059096789</v>
      </c>
      <c r="D15" s="617">
        <f>Table1!D24</f>
        <v>15.160832072331941</v>
      </c>
      <c r="E15" s="617">
        <f>Table1!E24</f>
        <v>5.5627603380606585</v>
      </c>
      <c r="F15" s="69"/>
      <c r="G15" s="69"/>
      <c r="H15" s="69"/>
      <c r="I15" s="69"/>
      <c r="J15" s="69"/>
      <c r="K15" s="617">
        <f>Table1!F24</f>
        <v>300.32071914083929</v>
      </c>
      <c r="L15" s="617">
        <f>Table1!G24</f>
        <v>1250.9821546789562</v>
      </c>
      <c r="M15" s="617">
        <f>Table1!H24</f>
        <v>235.01331385056073</v>
      </c>
      <c r="N15" s="619">
        <f>Table1!I24</f>
        <v>23.444488003292303</v>
      </c>
      <c r="O15" s="3717">
        <f t="shared" si="2"/>
        <v>93090.041846708147</v>
      </c>
    </row>
    <row r="16" spans="1:15" ht="18" customHeight="1" x14ac:dyDescent="0.25">
      <c r="B16" s="1370" t="s">
        <v>1926</v>
      </c>
      <c r="C16" s="3794">
        <f>Table1!C30</f>
        <v>20151.743905091054</v>
      </c>
      <c r="D16" s="617">
        <f>Table1!D30</f>
        <v>38.489998252866187</v>
      </c>
      <c r="E16" s="617">
        <f>Table1!E30</f>
        <v>0.65809685756929559</v>
      </c>
      <c r="F16" s="69"/>
      <c r="G16" s="69"/>
      <c r="H16" s="69"/>
      <c r="I16" s="69"/>
      <c r="J16" s="69"/>
      <c r="K16" s="617">
        <f>Table1!F30</f>
        <v>358.64852807600789</v>
      </c>
      <c r="L16" s="617">
        <f>Table1!G30</f>
        <v>665.81263974144804</v>
      </c>
      <c r="M16" s="617">
        <f>Table1!H30</f>
        <v>114.60580780729701</v>
      </c>
      <c r="N16" s="619">
        <f>Table1!I30</f>
        <v>7.9602584818023585</v>
      </c>
      <c r="O16" s="3717">
        <f t="shared" si="2"/>
        <v>21403.859523427171</v>
      </c>
    </row>
    <row r="17" spans="2:15" ht="18" customHeight="1" x14ac:dyDescent="0.25">
      <c r="B17" s="1370" t="s">
        <v>1927</v>
      </c>
      <c r="C17" s="3794">
        <f>Table1!C34</f>
        <v>1017.0580667465537</v>
      </c>
      <c r="D17" s="617">
        <f>Table1!D34</f>
        <v>3.3561971864446156E-2</v>
      </c>
      <c r="E17" s="617">
        <f>Table1!E34</f>
        <v>2.8560383287274383E-2</v>
      </c>
      <c r="F17" s="69"/>
      <c r="G17" s="69"/>
      <c r="H17" s="69"/>
      <c r="I17" s="69"/>
      <c r="J17" s="69"/>
      <c r="K17" s="617">
        <f>Table1!F34</f>
        <v>8.8323367932904961</v>
      </c>
      <c r="L17" s="617">
        <f>Table1!G34</f>
        <v>3.2511895889859561</v>
      </c>
      <c r="M17" s="617">
        <f>Table1!H34</f>
        <v>0.52002887345473225</v>
      </c>
      <c r="N17" s="619">
        <f>Table1!I34</f>
        <v>0.35086640869416208</v>
      </c>
      <c r="O17" s="3717">
        <f t="shared" si="2"/>
        <v>1025.5663035298858</v>
      </c>
    </row>
    <row r="18" spans="2:15" ht="18" customHeight="1" x14ac:dyDescent="0.25">
      <c r="B18" s="1369" t="s">
        <v>201</v>
      </c>
      <c r="C18" s="3711">
        <f>Table1!C37</f>
        <v>9280.6213492610786</v>
      </c>
      <c r="D18" s="3795">
        <f>Table1!D37</f>
        <v>1216.9369345580285</v>
      </c>
      <c r="E18" s="3795">
        <f>Table1!E37</f>
        <v>0.11846408985611551</v>
      </c>
      <c r="F18" s="69"/>
      <c r="G18" s="69"/>
      <c r="H18" s="69"/>
      <c r="I18" s="69"/>
      <c r="J18" s="69"/>
      <c r="K18" s="3795">
        <f>Table1!F37</f>
        <v>1.8038223152800792</v>
      </c>
      <c r="L18" s="617">
        <f>Table1!G37</f>
        <v>10.462169428624462</v>
      </c>
      <c r="M18" s="617">
        <f>Table1!H37</f>
        <v>225.97180067552051</v>
      </c>
      <c r="N18" s="619" t="str">
        <f>Table1!I37</f>
        <v>NO</v>
      </c>
      <c r="O18" s="3717">
        <f t="shared" si="2"/>
        <v>43386.248500697744</v>
      </c>
    </row>
    <row r="19" spans="2:15" ht="18" customHeight="1" x14ac:dyDescent="0.25">
      <c r="B19" s="1370" t="s">
        <v>1928</v>
      </c>
      <c r="C19" s="3712">
        <f>Table1!C38</f>
        <v>1837.8700527484677</v>
      </c>
      <c r="D19" s="3722">
        <f>Table1!D38</f>
        <v>994.0994845095189</v>
      </c>
      <c r="E19" s="3795">
        <f>Table1!E38</f>
        <v>1.4676359872572309E-3</v>
      </c>
      <c r="F19" s="69"/>
      <c r="G19" s="69"/>
      <c r="H19" s="69"/>
      <c r="I19" s="69"/>
      <c r="J19" s="69"/>
      <c r="K19" s="3795" t="str">
        <f>Table1!F38</f>
        <v>NO</v>
      </c>
      <c r="L19" s="617" t="str">
        <f>Table1!G38</f>
        <v>NO</v>
      </c>
      <c r="M19" s="617" t="str">
        <f>Table1!H38</f>
        <v>NO</v>
      </c>
      <c r="N19" s="619" t="str">
        <f>Table1!I38</f>
        <v>NO</v>
      </c>
      <c r="O19" s="3717">
        <f t="shared" si="2"/>
        <v>29673.044542551619</v>
      </c>
    </row>
    <row r="20" spans="2:15" ht="18" customHeight="1" x14ac:dyDescent="0.25">
      <c r="B20" s="1371" t="s">
        <v>1929</v>
      </c>
      <c r="C20" s="3712">
        <f>Table1!C42</f>
        <v>7442.7512965126107</v>
      </c>
      <c r="D20" s="3796">
        <f>Table1!D42</f>
        <v>222.83745004850962</v>
      </c>
      <c r="E20" s="3795">
        <f>Table1!E42</f>
        <v>0.11699645386885828</v>
      </c>
      <c r="F20" s="3719"/>
      <c r="G20" s="3719"/>
      <c r="H20" s="3719"/>
      <c r="I20" s="3719"/>
      <c r="J20" s="69"/>
      <c r="K20" s="3795">
        <f>Table1!F42</f>
        <v>1.8038223152800792</v>
      </c>
      <c r="L20" s="3718">
        <f>Table1!G42</f>
        <v>10.462169428624462</v>
      </c>
      <c r="M20" s="3718">
        <f>Table1!H42</f>
        <v>225.97180067552051</v>
      </c>
      <c r="N20" s="3720" t="str">
        <f>Table1!I42</f>
        <v>NO</v>
      </c>
      <c r="O20" s="3721">
        <f t="shared" si="2"/>
        <v>13713.203958146127</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19170.429333493204</v>
      </c>
      <c r="D22" s="3727">
        <f>'Table2(I)'!D10</f>
        <v>2.6007179785275616</v>
      </c>
      <c r="E22" s="3728">
        <f>'Table2(I)'!E10</f>
        <v>4.7415792911946166</v>
      </c>
      <c r="F22" s="3713">
        <f>'Table2(I)'!F10</f>
        <v>8837.371668775806</v>
      </c>
      <c r="G22" s="3713">
        <f>'Table2(I)'!G10</f>
        <v>173.10697875319798</v>
      </c>
      <c r="H22" s="3713" t="str">
        <f>'Table2(I)'!H10</f>
        <v>NO</v>
      </c>
      <c r="I22" s="3713">
        <f>'Table2(I)'!I10</f>
        <v>4.3475420467156238E-3</v>
      </c>
      <c r="J22" s="3713" t="str">
        <f>'Table2(I)'!J10</f>
        <v>NO</v>
      </c>
      <c r="K22" s="3713">
        <f>'Table2(I)'!K10</f>
        <v>6.1612072033099388</v>
      </c>
      <c r="L22" s="3713">
        <f>'Table2(I)'!L10</f>
        <v>15.078320432952427</v>
      </c>
      <c r="M22" s="3713">
        <f>'Table2(I)'!M10</f>
        <v>236.99285335702208</v>
      </c>
      <c r="N22" s="960">
        <f>'Table2(I)'!N10</f>
        <v>1819.4223234821475</v>
      </c>
      <c r="O22" s="3715">
        <f t="shared" si="2"/>
        <v>29612.413834685372</v>
      </c>
    </row>
    <row r="23" spans="2:15" ht="18" customHeight="1" x14ac:dyDescent="0.25">
      <c r="B23" s="1129" t="s">
        <v>1932</v>
      </c>
      <c r="C23" s="3729">
        <f>'Table2(I)'!C11</f>
        <v>6004.4444739685987</v>
      </c>
      <c r="D23" s="3730"/>
      <c r="E23" s="98"/>
      <c r="F23" s="98"/>
      <c r="G23" s="98"/>
      <c r="H23" s="98"/>
      <c r="I23" s="98"/>
      <c r="J23" s="69"/>
      <c r="K23" s="620" t="str">
        <f>'Table2(I)'!K11</f>
        <v>NO</v>
      </c>
      <c r="L23" s="620" t="str">
        <f>'Table2(I)'!L11</f>
        <v>NO</v>
      </c>
      <c r="M23" s="620" t="str">
        <f>'Table2(I)'!M11</f>
        <v>NO</v>
      </c>
      <c r="N23" s="622" t="str">
        <f>'Table2(I)'!N11</f>
        <v>NO</v>
      </c>
      <c r="O23" s="3716">
        <f t="shared" si="2"/>
        <v>6004.4444739685987</v>
      </c>
    </row>
    <row r="24" spans="2:15" ht="18" customHeight="1" x14ac:dyDescent="0.25">
      <c r="B24" s="1129" t="s">
        <v>846</v>
      </c>
      <c r="C24" s="3729">
        <f>'Table2(I)'!C16</f>
        <v>3127.379594033554</v>
      </c>
      <c r="D24" s="3731">
        <f>'Table2(I)'!D16</f>
        <v>0.57776359999999993</v>
      </c>
      <c r="E24" s="3732">
        <f>'Table2(I)'!E16</f>
        <v>4.6936928492164975</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4387.3855798759259</v>
      </c>
    </row>
    <row r="25" spans="2:15" ht="18" customHeight="1" x14ac:dyDescent="0.25">
      <c r="B25" s="1129" t="s">
        <v>637</v>
      </c>
      <c r="C25" s="3729">
        <f>'Table2(I)'!C27</f>
        <v>9608.8558369057646</v>
      </c>
      <c r="D25" s="3731">
        <f>'Table2(I)'!D27</f>
        <v>2.0229543785275617</v>
      </c>
      <c r="E25" s="3732">
        <f>'Table2(I)'!E27</f>
        <v>4.7886441978119261E-2</v>
      </c>
      <c r="F25" s="617" t="str">
        <f>'Table2(I)'!F27</f>
        <v>NO</v>
      </c>
      <c r="G25" s="617">
        <f>'Table2(I)'!G27</f>
        <v>173.10697875319798</v>
      </c>
      <c r="H25" s="617" t="str">
        <f>'Table2(I)'!H27</f>
        <v>NO</v>
      </c>
      <c r="I25" s="617" t="str">
        <f>'Table2(I)'!I27</f>
        <v>NO</v>
      </c>
      <c r="J25" s="617" t="str">
        <f>'Table2(I)'!J27</f>
        <v>NO</v>
      </c>
      <c r="K25" s="617">
        <f>'Table2(I)'!K27</f>
        <v>6.1612072033099388</v>
      </c>
      <c r="L25" s="617">
        <f>'Table2(I)'!L27</f>
        <v>15.078320432952427</v>
      </c>
      <c r="M25" s="617">
        <f>'Table2(I)'!M27</f>
        <v>5.8830747934416977E-2</v>
      </c>
      <c r="N25" s="619">
        <f>'Table2(I)'!N27</f>
        <v>1819.4223234821475</v>
      </c>
      <c r="O25" s="3717">
        <f t="shared" si="2"/>
        <v>9851.2954453819366</v>
      </c>
    </row>
    <row r="26" spans="2:15" ht="18" customHeight="1" x14ac:dyDescent="0.25">
      <c r="B26" s="1129" t="s">
        <v>1933</v>
      </c>
      <c r="C26" s="3729">
        <f>'Table2(I)'!C35</f>
        <v>228.05065580499999</v>
      </c>
      <c r="D26" s="3733" t="str">
        <f>'Table2(I)'!D35</f>
        <v>NO</v>
      </c>
      <c r="E26" s="602" t="str">
        <f>'Table2(I)'!E35</f>
        <v>NO</v>
      </c>
      <c r="F26" s="69"/>
      <c r="G26" s="69"/>
      <c r="H26" s="69"/>
      <c r="I26" s="69"/>
      <c r="J26" s="69"/>
      <c r="K26" s="602" t="str">
        <f>'Table2(I)'!K35</f>
        <v>NO</v>
      </c>
      <c r="L26" s="3732" t="str">
        <f>'Table2(I)'!L35</f>
        <v>NO</v>
      </c>
      <c r="M26" s="3732">
        <f>'Table2(I)'!M35</f>
        <v>185.8346670942193</v>
      </c>
      <c r="N26" s="3734" t="str">
        <f>'Table2(I)'!N35</f>
        <v>NO</v>
      </c>
      <c r="O26" s="3717">
        <f t="shared" si="2"/>
        <v>228.05065580499999</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8837.371668775806</v>
      </c>
      <c r="G28" s="3718" t="str">
        <f>'Table2(I)'!G45</f>
        <v>NO</v>
      </c>
      <c r="H28" s="3718" t="str">
        <f>'Table2(I)'!H45</f>
        <v>NO</v>
      </c>
      <c r="I28" s="3718" t="str">
        <f>'Table2(I)'!I45</f>
        <v>NO</v>
      </c>
      <c r="J28" s="3718" t="str">
        <f>'Table2(I)'!J45</f>
        <v>NO</v>
      </c>
      <c r="K28" s="3719"/>
      <c r="L28" s="3719"/>
      <c r="M28" s="3719"/>
      <c r="N28" s="3738"/>
      <c r="O28" s="3721">
        <f t="shared" si="2"/>
        <v>8837.371668775806</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4.3475420467156238E-3</v>
      </c>
      <c r="J29" s="602" t="str">
        <f>'Table2(I)'!J52</f>
        <v>NO</v>
      </c>
      <c r="K29" s="3741" t="str">
        <f>'Table2(I)'!K52</f>
        <v>NO</v>
      </c>
      <c r="L29" s="3741" t="str">
        <f>'Table2(I)'!L52</f>
        <v>NO</v>
      </c>
      <c r="M29" s="3741" t="str">
        <f>'Table2(I)'!M52</f>
        <v>NO</v>
      </c>
      <c r="N29" s="3742" t="str">
        <f>'Table2(I)'!N52</f>
        <v>NO</v>
      </c>
      <c r="O29" s="3721">
        <f t="shared" si="2"/>
        <v>102.16723809781716</v>
      </c>
    </row>
    <row r="30" spans="2:15" ht="18" customHeight="1" thickBot="1" x14ac:dyDescent="0.3">
      <c r="B30" s="1374" t="s">
        <v>1936</v>
      </c>
      <c r="C30" s="3743">
        <f>'Table2(I)'!C57</f>
        <v>201.69877278028781</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48.256794834168375</v>
      </c>
      <c r="N30" s="3746" t="str">
        <f>'Table2(I)'!N57</f>
        <v>NA</v>
      </c>
      <c r="O30" s="3747">
        <f t="shared" si="2"/>
        <v>201.69877278028781</v>
      </c>
    </row>
    <row r="31" spans="2:15" ht="18" customHeight="1" x14ac:dyDescent="0.25">
      <c r="B31" s="1130" t="s">
        <v>1937</v>
      </c>
      <c r="C31" s="3789">
        <f>Table3!C10</f>
        <v>2490.9097255348615</v>
      </c>
      <c r="D31" s="3748">
        <f>Table3!D10</f>
        <v>2390.6462979289076</v>
      </c>
      <c r="E31" s="3749">
        <f>Table3!E10</f>
        <v>42.659370986910581</v>
      </c>
      <c r="F31" s="3750"/>
      <c r="G31" s="3750"/>
      <c r="H31" s="3750"/>
      <c r="I31" s="3750"/>
      <c r="J31" s="3750"/>
      <c r="K31" s="3751">
        <f>Table3!F10</f>
        <v>21.49924125390076</v>
      </c>
      <c r="L31" s="3751">
        <f>Table3!G10</f>
        <v>345.20827867991829</v>
      </c>
      <c r="M31" s="3751">
        <f>Table3!H10</f>
        <v>20.137149589661902</v>
      </c>
      <c r="N31" s="3752" t="str">
        <f>Table3!I10</f>
        <v>NO</v>
      </c>
      <c r="O31" s="3716">
        <f t="shared" si="2"/>
        <v>80733.739379075589</v>
      </c>
    </row>
    <row r="32" spans="2:15" ht="18" customHeight="1" x14ac:dyDescent="0.25">
      <c r="B32" s="1131" t="s">
        <v>1938</v>
      </c>
      <c r="C32" s="3735"/>
      <c r="D32" s="3753">
        <f>Table3!D11</f>
        <v>2118.3079834701616</v>
      </c>
      <c r="E32" s="98"/>
      <c r="F32" s="3754"/>
      <c r="G32" s="3754"/>
      <c r="H32" s="3730"/>
      <c r="I32" s="3754"/>
      <c r="J32" s="3730"/>
      <c r="K32" s="98"/>
      <c r="L32" s="98"/>
      <c r="M32" s="98"/>
      <c r="N32" s="3755"/>
      <c r="O32" s="3716">
        <f t="shared" si="2"/>
        <v>59312.623537164523</v>
      </c>
    </row>
    <row r="33" spans="2:15" ht="18" customHeight="1" x14ac:dyDescent="0.25">
      <c r="B33" s="1131" t="s">
        <v>1939</v>
      </c>
      <c r="C33" s="3735"/>
      <c r="D33" s="3722">
        <f>Table3!D21</f>
        <v>251.30038823961988</v>
      </c>
      <c r="E33" s="3722">
        <f>Table3!E21</f>
        <v>1.926857197729944</v>
      </c>
      <c r="F33" s="3754"/>
      <c r="G33" s="3754"/>
      <c r="H33" s="3754"/>
      <c r="I33" s="3754"/>
      <c r="J33" s="3754"/>
      <c r="K33" s="69"/>
      <c r="L33" s="69"/>
      <c r="M33" s="3756" t="str">
        <f>Table3!H21</f>
        <v>NE</v>
      </c>
      <c r="N33" s="3757"/>
      <c r="O33" s="3717">
        <f t="shared" si="2"/>
        <v>7547.0280281077912</v>
      </c>
    </row>
    <row r="34" spans="2:15" ht="18" customHeight="1" x14ac:dyDescent="0.25">
      <c r="B34" s="1131" t="s">
        <v>1940</v>
      </c>
      <c r="C34" s="3735"/>
      <c r="D34" s="3722">
        <f>Table3!D32</f>
        <v>12.186431894</v>
      </c>
      <c r="E34" s="69"/>
      <c r="F34" s="3754"/>
      <c r="G34" s="3754"/>
      <c r="H34" s="3754"/>
      <c r="I34" s="3754"/>
      <c r="J34" s="3754"/>
      <c r="K34" s="69"/>
      <c r="L34" s="69"/>
      <c r="M34" s="3756" t="str">
        <f>Table3!H32</f>
        <v>NE</v>
      </c>
      <c r="N34" s="3757"/>
      <c r="O34" s="3717">
        <f t="shared" si="2"/>
        <v>341.22009303200002</v>
      </c>
    </row>
    <row r="35" spans="2:15" ht="18" customHeight="1" x14ac:dyDescent="0.25">
      <c r="B35" s="1131" t="s">
        <v>1941</v>
      </c>
      <c r="C35" s="3758"/>
      <c r="D35" s="3722" t="str">
        <f>Table3!D33</f>
        <v>NE</v>
      </c>
      <c r="E35" s="3722">
        <f>Table3!E33</f>
        <v>40.360394416752868</v>
      </c>
      <c r="F35" s="3754"/>
      <c r="G35" s="3754"/>
      <c r="H35" s="3754"/>
      <c r="I35" s="3754"/>
      <c r="J35" s="3754"/>
      <c r="K35" s="3756" t="str">
        <f>Table3!F33</f>
        <v>NO</v>
      </c>
      <c r="L35" s="3756" t="str">
        <f>Table3!G33</f>
        <v>NO</v>
      </c>
      <c r="M35" s="3756" t="str">
        <f>Table3!H33</f>
        <v>NO</v>
      </c>
      <c r="N35" s="3757"/>
      <c r="O35" s="3717">
        <f t="shared" si="2"/>
        <v>10695.50452043951</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8.8514943251261098</v>
      </c>
      <c r="E37" s="3722">
        <f>Table3!E44</f>
        <v>0.37211937242776477</v>
      </c>
      <c r="F37" s="3754"/>
      <c r="G37" s="3754"/>
      <c r="H37" s="3754"/>
      <c r="I37" s="3754"/>
      <c r="J37" s="3754"/>
      <c r="K37" s="3756">
        <f>Table3!F44</f>
        <v>21.49924125390076</v>
      </c>
      <c r="L37" s="3756">
        <f>Table3!G44</f>
        <v>345.20827867991829</v>
      </c>
      <c r="M37" s="3756">
        <f>Table3!H44</f>
        <v>20.137149589661902</v>
      </c>
      <c r="N37" s="3756" t="str">
        <f>Table3!I44</f>
        <v>NO</v>
      </c>
      <c r="O37" s="3717">
        <f t="shared" si="2"/>
        <v>346.45347479688871</v>
      </c>
    </row>
    <row r="38" spans="2:15" ht="18" customHeight="1" x14ac:dyDescent="0.25">
      <c r="B38" s="1132" t="s">
        <v>955</v>
      </c>
      <c r="C38" s="3739">
        <f>Table3!C45</f>
        <v>1138.7434395518412</v>
      </c>
      <c r="D38" s="3759"/>
      <c r="E38" s="3759"/>
      <c r="F38" s="3736"/>
      <c r="G38" s="3736"/>
      <c r="H38" s="3736"/>
      <c r="I38" s="3736"/>
      <c r="J38" s="3736"/>
      <c r="K38" s="3760"/>
      <c r="L38" s="3760"/>
      <c r="M38" s="3760"/>
      <c r="N38" s="3738"/>
      <c r="O38" s="3721">
        <f t="shared" si="2"/>
        <v>1138.7434395518412</v>
      </c>
    </row>
    <row r="39" spans="2:15" ht="18" customHeight="1" x14ac:dyDescent="0.25">
      <c r="B39" s="1132" t="s">
        <v>956</v>
      </c>
      <c r="C39" s="3761">
        <f>Table3!C46</f>
        <v>1352.1662859830203</v>
      </c>
      <c r="D39" s="3759"/>
      <c r="E39" s="3759"/>
      <c r="F39" s="3736"/>
      <c r="G39" s="3736"/>
      <c r="H39" s="3736"/>
      <c r="I39" s="3736"/>
      <c r="J39" s="3736"/>
      <c r="K39" s="3760"/>
      <c r="L39" s="3760"/>
      <c r="M39" s="3760"/>
      <c r="N39" s="3738"/>
      <c r="O39" s="3721">
        <f t="shared" si="2"/>
        <v>1352.1662859830203</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-20514.150918884588</v>
      </c>
      <c r="D42" s="3765">
        <f>Table4!D10</f>
        <v>716.15556938461111</v>
      </c>
      <c r="E42" s="3766">
        <f>Table4!E10</f>
        <v>17.694410367499898</v>
      </c>
      <c r="F42" s="3750"/>
      <c r="G42" s="3750"/>
      <c r="H42" s="3750"/>
      <c r="I42" s="3750"/>
      <c r="J42" s="3750"/>
      <c r="K42" s="3767">
        <f>Table4!F10</f>
        <v>977.2070816894269</v>
      </c>
      <c r="L42" s="3767">
        <f>Table4!G10</f>
        <v>25547.551783580282</v>
      </c>
      <c r="M42" s="3767">
        <f>Table4!H10</f>
        <v>649.88541874072564</v>
      </c>
      <c r="N42" s="3768" t="str">
        <f>N50</f>
        <v>NO</v>
      </c>
      <c r="O42" s="3715">
        <f t="shared" si="2"/>
        <v>4227.2237712719952</v>
      </c>
    </row>
    <row r="43" spans="2:15" ht="18" customHeight="1" x14ac:dyDescent="0.25">
      <c r="B43" s="1131" t="s">
        <v>1947</v>
      </c>
      <c r="C43" s="3769">
        <f>Table4!C11</f>
        <v>-58758.565850955252</v>
      </c>
      <c r="D43" s="3770">
        <f>Table4!D11</f>
        <v>312.67938331430719</v>
      </c>
      <c r="E43" s="3771">
        <f>Table4!E11</f>
        <v>6.3078997257968688</v>
      </c>
      <c r="F43" s="3736"/>
      <c r="G43" s="3736"/>
      <c r="H43" s="3736"/>
      <c r="I43" s="3736"/>
      <c r="J43" s="3736"/>
      <c r="K43" s="3756">
        <f>Table4!F11</f>
        <v>331.8280825281276</v>
      </c>
      <c r="L43" s="3756">
        <f>Table4!G11</f>
        <v>8798.1730742280561</v>
      </c>
      <c r="M43" s="3756">
        <f>Table4!H11</f>
        <v>266.51908842182604</v>
      </c>
      <c r="N43" s="3772"/>
      <c r="O43" s="3773">
        <f t="shared" si="2"/>
        <v>-48331.949690818481</v>
      </c>
    </row>
    <row r="44" spans="2:15" ht="18" customHeight="1" x14ac:dyDescent="0.25">
      <c r="B44" s="1131" t="s">
        <v>1948</v>
      </c>
      <c r="C44" s="3769">
        <f>Table4!C14</f>
        <v>-398.44045443091727</v>
      </c>
      <c r="D44" s="3774">
        <f>Table4!D14</f>
        <v>2.0710974362840573</v>
      </c>
      <c r="E44" s="3774">
        <f>Table4!E14</f>
        <v>0.13342757416058848</v>
      </c>
      <c r="F44" s="3754"/>
      <c r="G44" s="3754"/>
      <c r="H44" s="3754"/>
      <c r="I44" s="3754"/>
      <c r="J44" s="3754"/>
      <c r="K44" s="3756">
        <f>Table4!F14</f>
        <v>1.5594870576781741</v>
      </c>
      <c r="L44" s="3756">
        <f>Table4!G14</f>
        <v>61.078197542265961</v>
      </c>
      <c r="M44" s="3756">
        <f>Table4!H14</f>
        <v>7.383078823790389</v>
      </c>
      <c r="N44" s="3775"/>
      <c r="O44" s="3717">
        <f t="shared" si="2"/>
        <v>-305.09141906240774</v>
      </c>
    </row>
    <row r="45" spans="2:15" ht="18" customHeight="1" x14ac:dyDescent="0.25">
      <c r="B45" s="1131" t="s">
        <v>1949</v>
      </c>
      <c r="C45" s="3769">
        <f>Table4!C17</f>
        <v>37625.096834691241</v>
      </c>
      <c r="D45" s="3774">
        <f>Table4!D17</f>
        <v>312.80650857586471</v>
      </c>
      <c r="E45" s="3774">
        <f>Table4!E17</f>
        <v>10.639132082143236</v>
      </c>
      <c r="F45" s="3754"/>
      <c r="G45" s="3754"/>
      <c r="H45" s="3754"/>
      <c r="I45" s="3754"/>
      <c r="J45" s="3754"/>
      <c r="K45" s="3756">
        <f>Table4!F17</f>
        <v>612.22739755776468</v>
      </c>
      <c r="L45" s="3756">
        <f>Table4!G17</f>
        <v>15915.11017866853</v>
      </c>
      <c r="M45" s="3756">
        <f>Table4!H17</f>
        <v>370.63565166309832</v>
      </c>
      <c r="N45" s="3775"/>
      <c r="O45" s="3717">
        <f t="shared" si="2"/>
        <v>49203.049076583411</v>
      </c>
    </row>
    <row r="46" spans="2:15" ht="18" customHeight="1" x14ac:dyDescent="0.25">
      <c r="B46" s="1131" t="s">
        <v>1950</v>
      </c>
      <c r="C46" s="3769">
        <f>Table4!C20</f>
        <v>323.13814266130902</v>
      </c>
      <c r="D46" s="3774">
        <f>Table4!D20</f>
        <v>87.230385558751095</v>
      </c>
      <c r="E46" s="3774">
        <f>Table4!E20</f>
        <v>0.41758070653252854</v>
      </c>
      <c r="F46" s="3754"/>
      <c r="G46" s="3754"/>
      <c r="H46" s="3754"/>
      <c r="I46" s="3754"/>
      <c r="J46" s="3754"/>
      <c r="K46" s="3756">
        <f>Table4!F20</f>
        <v>30.561896663864783</v>
      </c>
      <c r="L46" s="3756">
        <f>Table4!G20</f>
        <v>732.84126387659956</v>
      </c>
      <c r="M46" s="3756">
        <f>Table4!H20</f>
        <v>0.4702398109874848</v>
      </c>
      <c r="N46" s="3775"/>
      <c r="O46" s="3717">
        <f t="shared" si="2"/>
        <v>2876.2478255374594</v>
      </c>
    </row>
    <row r="47" spans="2:15" ht="18" customHeight="1" x14ac:dyDescent="0.25">
      <c r="B47" s="1131" t="s">
        <v>1951</v>
      </c>
      <c r="C47" s="3769">
        <f>Table4!C23</f>
        <v>4523.6301701224902</v>
      </c>
      <c r="D47" s="3774">
        <f>Table4!D23</f>
        <v>1.3681944994039681</v>
      </c>
      <c r="E47" s="3776">
        <f>Table4!E23</f>
        <v>4.6045657813947316E-2</v>
      </c>
      <c r="F47" s="3754"/>
      <c r="G47" s="3754"/>
      <c r="H47" s="3754"/>
      <c r="I47" s="3754"/>
      <c r="J47" s="3754"/>
      <c r="K47" s="3756">
        <f>Table4!F23</f>
        <v>1.0302178819916783</v>
      </c>
      <c r="L47" s="3756">
        <f>Table4!G23</f>
        <v>40.349069264829986</v>
      </c>
      <c r="M47" s="3756">
        <f>Table4!H23</f>
        <v>4.8773600210234047</v>
      </c>
      <c r="N47" s="1842"/>
      <c r="O47" s="3717">
        <f t="shared" si="2"/>
        <v>4574.1417154264973</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-3862.7706398082705</v>
      </c>
      <c r="D49" s="3736"/>
      <c r="E49" s="3736"/>
      <c r="F49" s="3736"/>
      <c r="G49" s="3736"/>
      <c r="H49" s="3736"/>
      <c r="I49" s="3736"/>
      <c r="J49" s="3736"/>
      <c r="K49" s="3736"/>
      <c r="L49" s="3736"/>
      <c r="M49" s="3736"/>
      <c r="N49" s="3781"/>
      <c r="O49" s="3721">
        <f t="shared" si="2"/>
        <v>-3862.7706398082705</v>
      </c>
    </row>
    <row r="50" spans="2:15" ht="18" customHeight="1" thickBot="1" x14ac:dyDescent="0.3">
      <c r="B50" s="1375" t="s">
        <v>1954</v>
      </c>
      <c r="C50" s="3782">
        <f>Table4!C30</f>
        <v>33.760878834808885</v>
      </c>
      <c r="D50" s="3783" t="str">
        <f>Table4!D30</f>
        <v>NO</v>
      </c>
      <c r="E50" s="3783">
        <f>Table4!E30</f>
        <v>0.15032462105272859</v>
      </c>
      <c r="F50" s="3762"/>
      <c r="G50" s="3762"/>
      <c r="H50" s="3762"/>
      <c r="I50" s="3762"/>
      <c r="J50" s="3762"/>
      <c r="K50" s="3784" t="str">
        <f>Table4!F30</f>
        <v>NO</v>
      </c>
      <c r="L50" s="3784" t="str">
        <f>Table4!G30</f>
        <v>NO</v>
      </c>
      <c r="M50" s="3784" t="str">
        <f>Table4!H30</f>
        <v>NO</v>
      </c>
      <c r="N50" s="3785" t="s">
        <v>199</v>
      </c>
      <c r="O50" s="3747">
        <f t="shared" si="2"/>
        <v>73.596903413781959</v>
      </c>
    </row>
    <row r="51" spans="2:15" ht="18" customHeight="1" x14ac:dyDescent="0.25">
      <c r="B51" s="1376" t="s">
        <v>1955</v>
      </c>
      <c r="C51" s="3786">
        <f>Table5!C10</f>
        <v>31.499220380900699</v>
      </c>
      <c r="D51" s="3748">
        <f>Table5!D10</f>
        <v>459.4032865104287</v>
      </c>
      <c r="E51" s="3749">
        <f>Table5!E10</f>
        <v>1.240403827217694</v>
      </c>
      <c r="F51" s="3750"/>
      <c r="G51" s="3750"/>
      <c r="H51" s="3750"/>
      <c r="I51" s="3750"/>
      <c r="J51" s="3750"/>
      <c r="K51" s="3751" t="str">
        <f>Table5!F10</f>
        <v>NO</v>
      </c>
      <c r="L51" s="3751" t="str">
        <f>Table5!G10</f>
        <v>NO</v>
      </c>
      <c r="M51" s="3751">
        <f>Table5!H10</f>
        <v>253.50143998690862</v>
      </c>
      <c r="N51" s="3752" t="str">
        <f>Table5!I10</f>
        <v>NO</v>
      </c>
      <c r="O51" s="3787">
        <f t="shared" si="2"/>
        <v>13223.498256885594</v>
      </c>
    </row>
    <row r="52" spans="2:15" ht="18" customHeight="1" x14ac:dyDescent="0.25">
      <c r="B52" s="1131" t="s">
        <v>1956</v>
      </c>
      <c r="C52" s="3758"/>
      <c r="D52" s="3753">
        <f>Table5!D11</f>
        <v>365.92950257254506</v>
      </c>
      <c r="E52" s="3788"/>
      <c r="F52" s="3750"/>
      <c r="G52" s="3750"/>
      <c r="H52" s="3750"/>
      <c r="I52" s="3750"/>
      <c r="J52" s="3750"/>
      <c r="K52" s="3756" t="str">
        <f>Table5!F11</f>
        <v>NO</v>
      </c>
      <c r="L52" s="3756" t="str">
        <f>Table5!G11</f>
        <v>NO</v>
      </c>
      <c r="M52" s="3756">
        <f>Table5!H11</f>
        <v>2.9868929076341875</v>
      </c>
      <c r="N52" s="3755"/>
      <c r="O52" s="3787">
        <f t="shared" si="2"/>
        <v>10246.026072031262</v>
      </c>
    </row>
    <row r="53" spans="2:15" ht="18" customHeight="1" x14ac:dyDescent="0.25">
      <c r="B53" s="1131" t="s">
        <v>1957</v>
      </c>
      <c r="C53" s="3758"/>
      <c r="D53" s="3753">
        <f>Table5!D15</f>
        <v>4.1509899224999991</v>
      </c>
      <c r="E53" s="3753">
        <f>Table5!E15</f>
        <v>0.5313267100800001</v>
      </c>
      <c r="F53" s="3754"/>
      <c r="G53" s="3754"/>
      <c r="H53" s="3754"/>
      <c r="I53" s="3754"/>
      <c r="J53" s="3754"/>
      <c r="K53" s="3756" t="str">
        <f>Table5!F15</f>
        <v>NA,NE</v>
      </c>
      <c r="L53" s="3756" t="str">
        <f>Table5!G15</f>
        <v>NA,NE</v>
      </c>
      <c r="M53" s="3756" t="str">
        <f>Table5!H15</f>
        <v>NA,NE</v>
      </c>
      <c r="N53" s="3755"/>
      <c r="O53" s="3716">
        <f t="shared" si="2"/>
        <v>257.02929600120001</v>
      </c>
    </row>
    <row r="54" spans="2:15" ht="18" customHeight="1" x14ac:dyDescent="0.25">
      <c r="B54" s="1131" t="s">
        <v>1958</v>
      </c>
      <c r="C54" s="3817">
        <f>Table5!C18</f>
        <v>31.499220380900699</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31.499220380900699</v>
      </c>
    </row>
    <row r="55" spans="2:15" ht="18" customHeight="1" x14ac:dyDescent="0.25">
      <c r="B55" s="1131" t="s">
        <v>1959</v>
      </c>
      <c r="C55" s="3735"/>
      <c r="D55" s="3722">
        <f>Table5!D21</f>
        <v>89.322794015383622</v>
      </c>
      <c r="E55" s="3722">
        <f>Table5!E21</f>
        <v>0.70907711713769395</v>
      </c>
      <c r="F55" s="3754"/>
      <c r="G55" s="3754"/>
      <c r="H55" s="3754"/>
      <c r="I55" s="3754"/>
      <c r="J55" s="3754"/>
      <c r="K55" s="3756" t="str">
        <f>Table5!F21</f>
        <v>NO</v>
      </c>
      <c r="L55" s="3756" t="str">
        <f>Table5!G21</f>
        <v>NO</v>
      </c>
      <c r="M55" s="3756">
        <f>Table5!H21</f>
        <v>250.51454707927442</v>
      </c>
      <c r="N55" s="3755"/>
      <c r="O55" s="3791">
        <f t="shared" si="2"/>
        <v>2688.9436684722305</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14128.3205</v>
      </c>
      <c r="D61" s="3802">
        <f>Table1!D52</f>
        <v>0.23731321000000002</v>
      </c>
      <c r="E61" s="3802">
        <f>Table1!E52</f>
        <v>0.12093147292210527</v>
      </c>
      <c r="F61" s="615"/>
      <c r="G61" s="615"/>
      <c r="H61" s="615"/>
      <c r="I61" s="615"/>
      <c r="J61" s="615"/>
      <c r="K61" s="3802">
        <f>Table1!F52</f>
        <v>121.08885137757896</v>
      </c>
      <c r="L61" s="3802">
        <f>Table1!G52</f>
        <v>20.220152621052634</v>
      </c>
      <c r="M61" s="3802">
        <f>Table1!H52</f>
        <v>10.923580138968422</v>
      </c>
      <c r="N61" s="3803">
        <f>Table1!I52</f>
        <v>38.552840493927128</v>
      </c>
      <c r="O61" s="3787">
        <f t="shared" ref="O61:O67" si="4">IF(SUM(C61:J61)=0,"NO",SUM(C61,F61:H61)+28*SUM(D61)+265*SUM(E61)+23500*SUM(I61)+16100*SUM(J61))</f>
        <v>14167.012110204358</v>
      </c>
    </row>
    <row r="62" spans="2:15" ht="18" customHeight="1" x14ac:dyDescent="0.25">
      <c r="B62" s="1370" t="s">
        <v>218</v>
      </c>
      <c r="C62" s="3804">
        <f>Table1!C53</f>
        <v>11893.248</v>
      </c>
      <c r="D62" s="620">
        <f>Table1!D53</f>
        <v>2.4198210000000005E-2</v>
      </c>
      <c r="E62" s="620">
        <f>Table1!E53</f>
        <v>6.0041472922105266E-2</v>
      </c>
      <c r="F62" s="615"/>
      <c r="G62" s="615"/>
      <c r="H62" s="615"/>
      <c r="I62" s="615"/>
      <c r="J62" s="2161"/>
      <c r="K62" s="620">
        <f>Table1!F53</f>
        <v>60.843551377578954</v>
      </c>
      <c r="L62" s="620">
        <f>Table1!G53</f>
        <v>18.697907621052632</v>
      </c>
      <c r="M62" s="620">
        <f>Table1!H53</f>
        <v>9.031640138968422</v>
      </c>
      <c r="N62" s="622">
        <f>Table1!I53</f>
        <v>1.4012160000000002</v>
      </c>
      <c r="O62" s="3716">
        <f t="shared" si="4"/>
        <v>11909.836540204356</v>
      </c>
    </row>
    <row r="63" spans="2:15" ht="18" customHeight="1" x14ac:dyDescent="0.25">
      <c r="B63" s="1379" t="s">
        <v>1963</v>
      </c>
      <c r="C63" s="3804">
        <f>Table1!C54</f>
        <v>2235.0724999999998</v>
      </c>
      <c r="D63" s="617">
        <f>Table1!D54</f>
        <v>0.21311500000000003</v>
      </c>
      <c r="E63" s="617">
        <f>Table1!E54</f>
        <v>6.0890000000000007E-2</v>
      </c>
      <c r="F63" s="615"/>
      <c r="G63" s="615"/>
      <c r="H63" s="615"/>
      <c r="I63" s="615"/>
      <c r="J63" s="615"/>
      <c r="K63" s="617">
        <f>Table1!F54</f>
        <v>60.245300000000007</v>
      </c>
      <c r="L63" s="617">
        <f>Table1!G54</f>
        <v>1.5222450000000001</v>
      </c>
      <c r="M63" s="617">
        <f>Table1!H54</f>
        <v>1.8919400000000002</v>
      </c>
      <c r="N63" s="619">
        <f>Table1!I54</f>
        <v>37.15162449392713</v>
      </c>
      <c r="O63" s="3717">
        <f t="shared" si="4"/>
        <v>2257.1755699999999</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17898.475606673015</v>
      </c>
      <c r="D65" s="3806"/>
      <c r="E65" s="3806"/>
      <c r="F65" s="3807"/>
      <c r="G65" s="3807"/>
      <c r="H65" s="3807"/>
      <c r="I65" s="3807"/>
      <c r="J65" s="3806"/>
      <c r="K65" s="3806"/>
      <c r="L65" s="3806"/>
      <c r="M65" s="3806"/>
      <c r="N65" s="3808"/>
      <c r="O65" s="3773">
        <f t="shared" si="4"/>
        <v>17898.475606673015</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295510.11206349486</v>
      </c>
      <c r="D67" s="3807"/>
      <c r="E67" s="3807"/>
      <c r="F67" s="3811"/>
      <c r="G67" s="3807"/>
      <c r="H67" s="3807"/>
      <c r="I67" s="3807"/>
      <c r="J67" s="3807"/>
      <c r="K67" s="3807"/>
      <c r="L67" s="3807"/>
      <c r="M67" s="3807"/>
      <c r="N67" s="3812"/>
      <c r="O67" s="3721">
        <f t="shared" si="4"/>
        <v>295510.11206349486</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372214.73728483124</v>
      </c>
      <c r="D10" s="3798">
        <f>IFERROR(Summary1!D10*28,Summary1!D10)</f>
        <v>136298.40347885492</v>
      </c>
      <c r="E10" s="3798">
        <f>IFERROR(Summary1!E10*265,Summary1!E10)</f>
        <v>20693.480404516053</v>
      </c>
      <c r="F10" s="3798">
        <f>Summary1!F10</f>
        <v>8837.371668775806</v>
      </c>
      <c r="G10" s="3798">
        <f>Summary1!G10</f>
        <v>173.10697875319798</v>
      </c>
      <c r="H10" s="3798" t="str">
        <f>Summary1!H10</f>
        <v>NO</v>
      </c>
      <c r="I10" s="3827">
        <f>IFERROR(Summary1!I10*23500,Summary1!I10)</f>
        <v>102.16723809781716</v>
      </c>
      <c r="J10" s="4181" t="str">
        <f>IFERROR(Summary1!J10*16100,Summary1!J10)</f>
        <v>NO</v>
      </c>
      <c r="K10" s="3799">
        <f>IF(SUM(C10:J10)=0,"NO",SUM(C10:J10))</f>
        <v>538319.26705382916</v>
      </c>
    </row>
    <row r="11" spans="2:12" ht="18" customHeight="1" x14ac:dyDescent="0.2">
      <c r="B11" s="1549" t="s">
        <v>1921</v>
      </c>
      <c r="C11" s="3767">
        <f>Summary1!C11</f>
        <v>371036.04992430686</v>
      </c>
      <c r="D11" s="3767">
        <f>IFERROR(Summary1!D11*28,Summary1!D11)</f>
        <v>36371.839068385627</v>
      </c>
      <c r="E11" s="3767">
        <f>IFERROR(Summary1!E11*265,Summary1!E11)</f>
        <v>3114.5028192180157</v>
      </c>
      <c r="F11" s="1550"/>
      <c r="G11" s="1550"/>
      <c r="H11" s="1551"/>
      <c r="I11" s="1551"/>
      <c r="J11" s="613"/>
      <c r="K11" s="3828">
        <f t="shared" ref="K11:K55" si="0">IF(SUM(C11:J11)=0,"NO",SUM(C11:J11))</f>
        <v>410522.39181191049</v>
      </c>
      <c r="L11" s="19"/>
    </row>
    <row r="12" spans="2:12" ht="18" customHeight="1" x14ac:dyDescent="0.2">
      <c r="B12" s="606" t="s">
        <v>242</v>
      </c>
      <c r="C12" s="3756">
        <f>Summary1!C12</f>
        <v>361755.42857504578</v>
      </c>
      <c r="D12" s="3756">
        <f>IFERROR(Summary1!D12*28,Summary1!D12)</f>
        <v>2297.6049007608281</v>
      </c>
      <c r="E12" s="3756">
        <f>IFERROR(Summary1!E12*265,Summary1!E12)</f>
        <v>3083.1098354061455</v>
      </c>
      <c r="F12" s="615"/>
      <c r="G12" s="615"/>
      <c r="H12" s="615"/>
      <c r="I12" s="69"/>
      <c r="J12" s="69"/>
      <c r="K12" s="3829">
        <f t="shared" si="0"/>
        <v>367136.14331121271</v>
      </c>
      <c r="L12" s="19"/>
    </row>
    <row r="13" spans="2:12" ht="18" customHeight="1" x14ac:dyDescent="0.2">
      <c r="B13" s="1391" t="s">
        <v>1923</v>
      </c>
      <c r="C13" s="3756">
        <f>Summary1!C13</f>
        <v>203661.98819126311</v>
      </c>
      <c r="D13" s="3756">
        <f>IFERROR(Summary1!D13*28,Summary1!D13)</f>
        <v>725.76846100990372</v>
      </c>
      <c r="E13" s="3756">
        <f>IFERROR(Summary1!E13*265,Summary1!E13)</f>
        <v>1035.5905286121069</v>
      </c>
      <c r="F13" s="615"/>
      <c r="G13" s="615"/>
      <c r="H13" s="615"/>
      <c r="I13" s="69"/>
      <c r="J13" s="69"/>
      <c r="K13" s="3829">
        <f t="shared" si="0"/>
        <v>205423.34718088512</v>
      </c>
      <c r="L13" s="19"/>
    </row>
    <row r="14" spans="2:12" ht="18" customHeight="1" x14ac:dyDescent="0.2">
      <c r="B14" s="1391" t="s">
        <v>1976</v>
      </c>
      <c r="C14" s="3756">
        <f>Summary1!C14</f>
        <v>45733.231352848219</v>
      </c>
      <c r="D14" s="3756">
        <f>IFERROR(Summary1!D14*28,Summary1!D14)</f>
        <v>68.673455433172336</v>
      </c>
      <c r="E14" s="3756">
        <f>IFERROR(Summary1!E14*265,Summary1!E14)</f>
        <v>391.42364838097285</v>
      </c>
      <c r="F14" s="615"/>
      <c r="G14" s="615"/>
      <c r="H14" s="615"/>
      <c r="I14" s="69"/>
      <c r="J14" s="69"/>
      <c r="K14" s="3829">
        <f t="shared" si="0"/>
        <v>46193.328456662362</v>
      </c>
      <c r="L14" s="19"/>
    </row>
    <row r="15" spans="2:12" ht="18" customHeight="1" x14ac:dyDescent="0.2">
      <c r="B15" s="1391" t="s">
        <v>1925</v>
      </c>
      <c r="C15" s="3756">
        <f>Summary1!C15</f>
        <v>91191.407059096789</v>
      </c>
      <c r="D15" s="3756">
        <f>IFERROR(Summary1!D15*28,Summary1!D15)</f>
        <v>424.50329802529433</v>
      </c>
      <c r="E15" s="3756">
        <f>IFERROR(Summary1!E15*265,Summary1!E15)</f>
        <v>1474.1314895860744</v>
      </c>
      <c r="F15" s="615"/>
      <c r="G15" s="615"/>
      <c r="H15" s="615"/>
      <c r="I15" s="69"/>
      <c r="J15" s="69"/>
      <c r="K15" s="3829">
        <f t="shared" si="0"/>
        <v>93090.041846708147</v>
      </c>
      <c r="L15" s="19"/>
    </row>
    <row r="16" spans="2:12" ht="18" customHeight="1" x14ac:dyDescent="0.2">
      <c r="B16" s="1391" t="s">
        <v>1926</v>
      </c>
      <c r="C16" s="3756">
        <f>Summary1!C16</f>
        <v>20151.743905091054</v>
      </c>
      <c r="D16" s="3756">
        <f>IFERROR(Summary1!D16*28,Summary1!D16)</f>
        <v>1077.7199510802532</v>
      </c>
      <c r="E16" s="3756">
        <f>IFERROR(Summary1!E16*265,Summary1!E16)</f>
        <v>174.39566725586334</v>
      </c>
      <c r="F16" s="615"/>
      <c r="G16" s="615"/>
      <c r="H16" s="615"/>
      <c r="I16" s="69"/>
      <c r="J16" s="69"/>
      <c r="K16" s="3829">
        <f t="shared" si="0"/>
        <v>21403.859523427171</v>
      </c>
      <c r="L16" s="19"/>
    </row>
    <row r="17" spans="2:12" ht="18" customHeight="1" x14ac:dyDescent="0.2">
      <c r="B17" s="1391" t="s">
        <v>1927</v>
      </c>
      <c r="C17" s="3756">
        <f>Summary1!C17</f>
        <v>1017.0580667465537</v>
      </c>
      <c r="D17" s="3756">
        <f>IFERROR(Summary1!D17*28,Summary1!D17)</f>
        <v>0.93973521220449241</v>
      </c>
      <c r="E17" s="3756">
        <f>IFERROR(Summary1!E17*265,Summary1!E17)</f>
        <v>7.5685015711277117</v>
      </c>
      <c r="F17" s="615"/>
      <c r="G17" s="615"/>
      <c r="H17" s="615"/>
      <c r="I17" s="69"/>
      <c r="J17" s="69"/>
      <c r="K17" s="3829">
        <f t="shared" si="0"/>
        <v>1025.5663035298858</v>
      </c>
      <c r="L17" s="19"/>
    </row>
    <row r="18" spans="2:12" ht="18" customHeight="1" x14ac:dyDescent="0.2">
      <c r="B18" s="606" t="s">
        <v>201</v>
      </c>
      <c r="C18" s="3756">
        <f>Summary1!C18</f>
        <v>9280.6213492610786</v>
      </c>
      <c r="D18" s="3756">
        <f>IFERROR(Summary1!D18*28,Summary1!D18)</f>
        <v>34074.234167624796</v>
      </c>
      <c r="E18" s="3756">
        <f>IFERROR(Summary1!E18*265,Summary1!E18)</f>
        <v>31.392983811870611</v>
      </c>
      <c r="F18" s="615"/>
      <c r="G18" s="615"/>
      <c r="H18" s="615"/>
      <c r="I18" s="69"/>
      <c r="J18" s="69"/>
      <c r="K18" s="3829">
        <f t="shared" si="0"/>
        <v>43386.248500697744</v>
      </c>
      <c r="L18" s="19"/>
    </row>
    <row r="19" spans="2:12" ht="18" customHeight="1" x14ac:dyDescent="0.2">
      <c r="B19" s="1391" t="s">
        <v>1928</v>
      </c>
      <c r="C19" s="3756">
        <f>Summary1!C19</f>
        <v>1837.8700527484677</v>
      </c>
      <c r="D19" s="3756">
        <f>IFERROR(Summary1!D19*28,Summary1!D19)</f>
        <v>27834.785566266528</v>
      </c>
      <c r="E19" s="3756">
        <f>IFERROR(Summary1!E19*265,Summary1!E19)</f>
        <v>0.3889235366231662</v>
      </c>
      <c r="F19" s="615"/>
      <c r="G19" s="615"/>
      <c r="H19" s="615"/>
      <c r="I19" s="69"/>
      <c r="J19" s="69"/>
      <c r="K19" s="3829">
        <f t="shared" si="0"/>
        <v>29673.044542551619</v>
      </c>
      <c r="L19" s="19"/>
    </row>
    <row r="20" spans="2:12" ht="18" customHeight="1" x14ac:dyDescent="0.2">
      <c r="B20" s="1392" t="s">
        <v>1929</v>
      </c>
      <c r="C20" s="3756">
        <f>Summary1!C20</f>
        <v>7442.7512965126107</v>
      </c>
      <c r="D20" s="3756">
        <f>IFERROR(Summary1!D20*28,Summary1!D20)</f>
        <v>6239.4486013582691</v>
      </c>
      <c r="E20" s="3756">
        <f>IFERROR(Summary1!E20*265,Summary1!E20)</f>
        <v>31.004060275247443</v>
      </c>
      <c r="F20" s="615"/>
      <c r="G20" s="615"/>
      <c r="H20" s="615"/>
      <c r="I20" s="69"/>
      <c r="J20" s="69"/>
      <c r="K20" s="3829">
        <f t="shared" si="0"/>
        <v>13713.203958146127</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19170.429333493204</v>
      </c>
      <c r="D22" s="3767">
        <f>IFERROR(Summary1!D22*28,Summary1!D22)</f>
        <v>72.820103398771721</v>
      </c>
      <c r="E22" s="3767">
        <f>IFERROR(Summary1!E22*265,Summary1!E22)</f>
        <v>1256.5185121665734</v>
      </c>
      <c r="F22" s="3767">
        <f>Summary1!F22</f>
        <v>8837.371668775806</v>
      </c>
      <c r="G22" s="3767">
        <f>Summary1!G22</f>
        <v>173.10697875319798</v>
      </c>
      <c r="H22" s="3767" t="str">
        <f>Summary1!H22</f>
        <v>NO</v>
      </c>
      <c r="I22" s="3767">
        <f>IFERROR(Summary1!I22*23500,Summary1!I22)</f>
        <v>102.16723809781716</v>
      </c>
      <c r="J22" s="3831" t="str">
        <f>IFERROR(Summary1!J22*16100,Summary1!J22)</f>
        <v>NO</v>
      </c>
      <c r="K22" s="3828">
        <f t="shared" si="0"/>
        <v>29612.413834685372</v>
      </c>
      <c r="L22" s="19"/>
    </row>
    <row r="23" spans="2:12" ht="18" customHeight="1" x14ac:dyDescent="0.2">
      <c r="B23" s="1393" t="s">
        <v>1932</v>
      </c>
      <c r="C23" s="3756">
        <f>Summary1!C23</f>
        <v>6004.4444739685987</v>
      </c>
      <c r="D23" s="615"/>
      <c r="E23" s="615"/>
      <c r="F23" s="615"/>
      <c r="G23" s="615"/>
      <c r="H23" s="615"/>
      <c r="I23" s="69"/>
      <c r="J23" s="69"/>
      <c r="K23" s="3829">
        <f t="shared" si="0"/>
        <v>6004.4444739685987</v>
      </c>
      <c r="L23" s="19"/>
    </row>
    <row r="24" spans="2:12" ht="18" customHeight="1" x14ac:dyDescent="0.2">
      <c r="B24" s="1393" t="s">
        <v>846</v>
      </c>
      <c r="C24" s="3756">
        <f>Summary1!C24</f>
        <v>3127.379594033554</v>
      </c>
      <c r="D24" s="3756">
        <f>IFERROR(Summary1!D24*28,Summary1!D24)</f>
        <v>16.177380799999998</v>
      </c>
      <c r="E24" s="3756">
        <f>IFERROR(Summary1!E24*265,Summary1!E24)</f>
        <v>1243.8286050423719</v>
      </c>
      <c r="F24" s="1949" t="str">
        <f>Summary1!F24</f>
        <v>NO</v>
      </c>
      <c r="G24" s="1949" t="str">
        <f>Summary1!G24</f>
        <v>NO</v>
      </c>
      <c r="H24" s="1949" t="str">
        <f>Summary1!H24</f>
        <v>NO</v>
      </c>
      <c r="I24" s="602" t="str">
        <f>IFERROR(Summary1!I24*23500,Summary1!I24)</f>
        <v>NO</v>
      </c>
      <c r="J24" s="602" t="str">
        <f>IFERROR(Summary1!J24*16100,Summary1!J24)</f>
        <v>NO</v>
      </c>
      <c r="K24" s="3829">
        <f t="shared" si="0"/>
        <v>4387.3855798759259</v>
      </c>
      <c r="L24" s="19"/>
    </row>
    <row r="25" spans="2:12" ht="18" customHeight="1" x14ac:dyDescent="0.2">
      <c r="B25" s="1393" t="s">
        <v>637</v>
      </c>
      <c r="C25" s="3756">
        <f>Summary1!C25</f>
        <v>9608.8558369057646</v>
      </c>
      <c r="D25" s="3756">
        <f>IFERROR(Summary1!D25*28,Summary1!D25)</f>
        <v>56.642722598771726</v>
      </c>
      <c r="E25" s="3756">
        <f>IFERROR(Summary1!E25*265,Summary1!E25)</f>
        <v>12.689907124201603</v>
      </c>
      <c r="F25" s="1949" t="str">
        <f>Summary1!F25</f>
        <v>NO</v>
      </c>
      <c r="G25" s="3756">
        <f>Summary1!G25</f>
        <v>173.10697875319798</v>
      </c>
      <c r="H25" s="3756" t="str">
        <f>Summary1!H25</f>
        <v>NO</v>
      </c>
      <c r="I25" s="3756" t="str">
        <f>IFERROR(Summary1!I25*23500,Summary1!I25)</f>
        <v>NO</v>
      </c>
      <c r="J25" s="3756" t="str">
        <f>IFERROR(Summary1!J25*16100,Summary1!J25)</f>
        <v>NO</v>
      </c>
      <c r="K25" s="3829">
        <f t="shared" si="0"/>
        <v>9851.2954453819366</v>
      </c>
      <c r="L25" s="19"/>
    </row>
    <row r="26" spans="2:12" ht="18" customHeight="1" x14ac:dyDescent="0.2">
      <c r="B26" s="1394" t="s">
        <v>1978</v>
      </c>
      <c r="C26" s="3756">
        <f>Summary1!C26</f>
        <v>228.05065580499999</v>
      </c>
      <c r="D26" s="3756" t="str">
        <f>IFERROR(Summary1!D26*28,Summary1!D26)</f>
        <v>NO</v>
      </c>
      <c r="E26" s="3756" t="str">
        <f>IFERROR(Summary1!E26*265,Summary1!E26)</f>
        <v>NO</v>
      </c>
      <c r="F26" s="615"/>
      <c r="G26" s="615"/>
      <c r="H26" s="615"/>
      <c r="I26" s="69"/>
      <c r="J26" s="69"/>
      <c r="K26" s="3829">
        <f t="shared" si="0"/>
        <v>228.05065580499999</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8837.371668775806</v>
      </c>
      <c r="G28" s="3756" t="str">
        <f>Summary1!G28</f>
        <v>NO</v>
      </c>
      <c r="H28" s="3756" t="str">
        <f>Summary1!H28</f>
        <v>NO</v>
      </c>
      <c r="I28" s="3756" t="str">
        <f>IFERROR(Summary1!I28*23500,Summary1!I28)</f>
        <v>NO</v>
      </c>
      <c r="J28" s="3756" t="str">
        <f>IFERROR(Summary1!J28*16100,Summary1!J28)</f>
        <v>NO</v>
      </c>
      <c r="K28" s="3829">
        <f t="shared" si="0"/>
        <v>8837.371668775806</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102.16723809781716</v>
      </c>
      <c r="J29" s="3756" t="str">
        <f>IFERROR(Summary1!J29*16100,Summary1!J29)</f>
        <v>NO</v>
      </c>
      <c r="K29" s="3829">
        <f t="shared" si="0"/>
        <v>102.16723809781716</v>
      </c>
      <c r="L29" s="19"/>
    </row>
    <row r="30" spans="2:12" ht="18" customHeight="1" thickBot="1" x14ac:dyDescent="0.25">
      <c r="B30" s="1406" t="s">
        <v>1982</v>
      </c>
      <c r="C30" s="3784">
        <f>Summary1!C30</f>
        <v>201.69877278028781</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201.69877278028781</v>
      </c>
      <c r="L30" s="19"/>
    </row>
    <row r="31" spans="2:12" ht="18" customHeight="1" x14ac:dyDescent="0.2">
      <c r="B31" s="780" t="s">
        <v>1937</v>
      </c>
      <c r="C31" s="3767">
        <f>Summary1!C31</f>
        <v>2490.9097255348615</v>
      </c>
      <c r="D31" s="3767">
        <f>IFERROR(Summary1!D31*28,Summary1!D31)</f>
        <v>66938.096342009419</v>
      </c>
      <c r="E31" s="3767">
        <f>IFERROR(Summary1!E31*265,Summary1!E31)</f>
        <v>11304.733311531303</v>
      </c>
      <c r="F31" s="1550"/>
      <c r="G31" s="1550"/>
      <c r="H31" s="1550"/>
      <c r="I31" s="1553"/>
      <c r="J31" s="613"/>
      <c r="K31" s="3828">
        <f t="shared" si="0"/>
        <v>80733.739379075589</v>
      </c>
      <c r="L31" s="19"/>
    </row>
    <row r="32" spans="2:12" ht="18" customHeight="1" x14ac:dyDescent="0.2">
      <c r="B32" s="606" t="s">
        <v>1938</v>
      </c>
      <c r="C32" s="615"/>
      <c r="D32" s="3756">
        <f>IFERROR(Summary1!D32*28,Summary1!D32)</f>
        <v>59312.623537164523</v>
      </c>
      <c r="E32" s="615"/>
      <c r="F32" s="615"/>
      <c r="G32" s="615"/>
      <c r="H32" s="615"/>
      <c r="I32" s="69"/>
      <c r="J32" s="69"/>
      <c r="K32" s="3829">
        <f t="shared" si="0"/>
        <v>59312.623537164523</v>
      </c>
      <c r="L32" s="19"/>
    </row>
    <row r="33" spans="2:12" ht="18" customHeight="1" x14ac:dyDescent="0.2">
      <c r="B33" s="606" t="s">
        <v>1939</v>
      </c>
      <c r="C33" s="615"/>
      <c r="D33" s="3756">
        <f>IFERROR(Summary1!D33*28,Summary1!D33)</f>
        <v>7036.4108707093565</v>
      </c>
      <c r="E33" s="3756">
        <f>IFERROR(Summary1!E33*265,Summary1!E33)</f>
        <v>510.61715739843515</v>
      </c>
      <c r="F33" s="615"/>
      <c r="G33" s="615"/>
      <c r="H33" s="615"/>
      <c r="I33" s="69"/>
      <c r="J33" s="69"/>
      <c r="K33" s="3829">
        <f t="shared" si="0"/>
        <v>7547.0280281077912</v>
      </c>
      <c r="L33" s="19"/>
    </row>
    <row r="34" spans="2:12" ht="18" customHeight="1" x14ac:dyDescent="0.2">
      <c r="B34" s="606" t="s">
        <v>1940</v>
      </c>
      <c r="C34" s="615"/>
      <c r="D34" s="3756">
        <f>IFERROR(Summary1!D34*28,Summary1!D34)</f>
        <v>341.22009303200002</v>
      </c>
      <c r="E34" s="615"/>
      <c r="F34" s="615"/>
      <c r="G34" s="615"/>
      <c r="H34" s="615"/>
      <c r="I34" s="69"/>
      <c r="J34" s="69"/>
      <c r="K34" s="3829">
        <f t="shared" si="0"/>
        <v>341.22009303200002</v>
      </c>
      <c r="L34" s="19"/>
    </row>
    <row r="35" spans="2:12" ht="18" customHeight="1" x14ac:dyDescent="0.2">
      <c r="B35" s="606" t="s">
        <v>1941</v>
      </c>
      <c r="C35" s="1950"/>
      <c r="D35" s="3756" t="str">
        <f>IFERROR(Summary1!D35*28,Summary1!D35)</f>
        <v>NE</v>
      </c>
      <c r="E35" s="3756">
        <f>IFERROR(Summary1!E35*265,Summary1!E35)</f>
        <v>10695.50452043951</v>
      </c>
      <c r="F35" s="615"/>
      <c r="G35" s="615"/>
      <c r="H35" s="615"/>
      <c r="I35" s="69"/>
      <c r="J35" s="69"/>
      <c r="K35" s="3829">
        <f t="shared" si="0"/>
        <v>10695.50452043951</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247.84184110353107</v>
      </c>
      <c r="E37" s="3756">
        <f>IFERROR(Summary1!E37*265,Summary1!E37)</f>
        <v>98.61163369335766</v>
      </c>
      <c r="F37" s="615"/>
      <c r="G37" s="615"/>
      <c r="H37" s="615"/>
      <c r="I37" s="69"/>
      <c r="J37" s="69"/>
      <c r="K37" s="3829">
        <f t="shared" si="0"/>
        <v>346.45347479688871</v>
      </c>
      <c r="L37" s="19"/>
    </row>
    <row r="38" spans="2:12" ht="18" customHeight="1" x14ac:dyDescent="0.2">
      <c r="B38" s="606" t="s">
        <v>955</v>
      </c>
      <c r="C38" s="1949">
        <f>Summary1!C38</f>
        <v>1138.7434395518412</v>
      </c>
      <c r="D38" s="3832"/>
      <c r="E38" s="3832"/>
      <c r="F38" s="615"/>
      <c r="G38" s="615"/>
      <c r="H38" s="615"/>
      <c r="I38" s="69"/>
      <c r="J38" s="69"/>
      <c r="K38" s="3829">
        <f t="shared" si="0"/>
        <v>1138.7434395518412</v>
      </c>
      <c r="L38" s="19"/>
    </row>
    <row r="39" spans="2:12" ht="18" customHeight="1" x14ac:dyDescent="0.2">
      <c r="B39" s="606" t="s">
        <v>956</v>
      </c>
      <c r="C39" s="1949">
        <f>Summary1!C39</f>
        <v>1352.1662859830203</v>
      </c>
      <c r="D39" s="3832"/>
      <c r="E39" s="3832"/>
      <c r="F39" s="615"/>
      <c r="G39" s="615"/>
      <c r="H39" s="615"/>
      <c r="I39" s="69"/>
      <c r="J39" s="69"/>
      <c r="K39" s="3829">
        <f t="shared" si="0"/>
        <v>1352.1662859830203</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-20514.150918884588</v>
      </c>
      <c r="D42" s="1952">
        <f>IFERROR(Summary1!D42*28,Summary1!D42)</f>
        <v>20052.355942769111</v>
      </c>
      <c r="E42" s="1952">
        <f>IFERROR(Summary1!E42*265,Summary1!E42)</f>
        <v>4689.018747387473</v>
      </c>
      <c r="F42" s="1550"/>
      <c r="G42" s="1550"/>
      <c r="H42" s="1550"/>
      <c r="I42" s="1553"/>
      <c r="J42" s="613"/>
      <c r="K42" s="3828">
        <f t="shared" si="0"/>
        <v>4227.2237712719952</v>
      </c>
      <c r="L42" s="19"/>
    </row>
    <row r="43" spans="2:12" ht="18" customHeight="1" x14ac:dyDescent="0.2">
      <c r="B43" s="606" t="s">
        <v>1252</v>
      </c>
      <c r="C43" s="1949">
        <f>Summary1!C43</f>
        <v>-58758.565850955252</v>
      </c>
      <c r="D43" s="1949">
        <f>IFERROR(Summary1!D43*28,Summary1!D43)</f>
        <v>8755.0227328006004</v>
      </c>
      <c r="E43" s="1949">
        <f>IFERROR(Summary1!E43*265,Summary1!E43)</f>
        <v>1671.5934273361702</v>
      </c>
      <c r="F43" s="627"/>
      <c r="G43" s="627"/>
      <c r="H43" s="627"/>
      <c r="I43" s="614"/>
      <c r="J43" s="69"/>
      <c r="K43" s="3829">
        <f t="shared" si="0"/>
        <v>-48331.949690818481</v>
      </c>
      <c r="L43" s="19"/>
    </row>
    <row r="44" spans="2:12" ht="18" customHeight="1" x14ac:dyDescent="0.2">
      <c r="B44" s="606" t="s">
        <v>1255</v>
      </c>
      <c r="C44" s="1949">
        <f>Summary1!C44</f>
        <v>-398.44045443091727</v>
      </c>
      <c r="D44" s="1949">
        <f>IFERROR(Summary1!D44*28,Summary1!D44)</f>
        <v>57.990728215953602</v>
      </c>
      <c r="E44" s="1949">
        <f>IFERROR(Summary1!E44*265,Summary1!E44)</f>
        <v>35.358307152555945</v>
      </c>
      <c r="F44" s="627"/>
      <c r="G44" s="627"/>
      <c r="H44" s="627"/>
      <c r="I44" s="614"/>
      <c r="J44" s="69"/>
      <c r="K44" s="3829">
        <f t="shared" si="0"/>
        <v>-305.09141906240774</v>
      </c>
      <c r="L44" s="19"/>
    </row>
    <row r="45" spans="2:12" ht="18" customHeight="1" x14ac:dyDescent="0.2">
      <c r="B45" s="606" t="s">
        <v>1258</v>
      </c>
      <c r="C45" s="1949">
        <f>Summary1!C45</f>
        <v>37625.096834691241</v>
      </c>
      <c r="D45" s="1949">
        <f>IFERROR(Summary1!D45*28,Summary1!D45)</f>
        <v>8758.5822401242112</v>
      </c>
      <c r="E45" s="1949">
        <f>IFERROR(Summary1!E45*265,Summary1!E45)</f>
        <v>2819.3700017679575</v>
      </c>
      <c r="F45" s="627"/>
      <c r="G45" s="627"/>
      <c r="H45" s="627"/>
      <c r="I45" s="614"/>
      <c r="J45" s="69"/>
      <c r="K45" s="3829">
        <f t="shared" si="0"/>
        <v>49203.049076583411</v>
      </c>
      <c r="L45" s="19"/>
    </row>
    <row r="46" spans="2:12" ht="18" customHeight="1" x14ac:dyDescent="0.2">
      <c r="B46" s="606" t="s">
        <v>1984</v>
      </c>
      <c r="C46" s="1949">
        <f>Summary1!C46</f>
        <v>323.13814266130902</v>
      </c>
      <c r="D46" s="1949">
        <f>IFERROR(Summary1!D46*28,Summary1!D46)</f>
        <v>2442.4507956450307</v>
      </c>
      <c r="E46" s="1949">
        <f>IFERROR(Summary1!E46*265,Summary1!E46)</f>
        <v>110.65888723112006</v>
      </c>
      <c r="F46" s="627"/>
      <c r="G46" s="627"/>
      <c r="H46" s="627"/>
      <c r="I46" s="614"/>
      <c r="J46" s="69"/>
      <c r="K46" s="3829">
        <f t="shared" si="0"/>
        <v>2876.2478255374594</v>
      </c>
      <c r="L46" s="19"/>
    </row>
    <row r="47" spans="2:12" ht="18" customHeight="1" x14ac:dyDescent="0.2">
      <c r="B47" s="606" t="s">
        <v>1985</v>
      </c>
      <c r="C47" s="1949">
        <f>Summary1!C47</f>
        <v>4523.6301701224902</v>
      </c>
      <c r="D47" s="1949">
        <f>IFERROR(Summary1!D47*28,Summary1!D47)</f>
        <v>38.309445983311107</v>
      </c>
      <c r="E47" s="1949">
        <f>IFERROR(Summary1!E47*265,Summary1!E47)</f>
        <v>12.202099320696039</v>
      </c>
      <c r="F47" s="627"/>
      <c r="G47" s="627"/>
      <c r="H47" s="627"/>
      <c r="I47" s="614"/>
      <c r="J47" s="69"/>
      <c r="K47" s="3829">
        <f t="shared" si="0"/>
        <v>4574.1417154264973</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-3862.7706398082705</v>
      </c>
      <c r="D49" s="3833"/>
      <c r="E49" s="3833"/>
      <c r="F49" s="627"/>
      <c r="G49" s="627"/>
      <c r="H49" s="627"/>
      <c r="I49" s="614"/>
      <c r="J49" s="69"/>
      <c r="K49" s="3829">
        <f t="shared" si="0"/>
        <v>-3862.7706398082705</v>
      </c>
      <c r="L49" s="19"/>
    </row>
    <row r="50" spans="2:12" ht="18" customHeight="1" thickBot="1" x14ac:dyDescent="0.25">
      <c r="B50" s="1554" t="s">
        <v>1988</v>
      </c>
      <c r="C50" s="1951">
        <f>Summary1!C50</f>
        <v>33.760878834808885</v>
      </c>
      <c r="D50" s="1951" t="str">
        <f>IFERROR(Summary1!D50*28,Summary1!D50)</f>
        <v>NO</v>
      </c>
      <c r="E50" s="1951">
        <f>IFERROR(Summary1!E50*265,Summary1!E50)</f>
        <v>39.836024578973074</v>
      </c>
      <c r="F50" s="1953"/>
      <c r="G50" s="1953"/>
      <c r="H50" s="1953"/>
      <c r="I50" s="1555"/>
      <c r="J50" s="87"/>
      <c r="K50" s="3830">
        <f t="shared" si="0"/>
        <v>73.596903413781959</v>
      </c>
      <c r="L50" s="19"/>
    </row>
    <row r="51" spans="2:12" ht="18" customHeight="1" x14ac:dyDescent="0.2">
      <c r="B51" s="1549" t="s">
        <v>1955</v>
      </c>
      <c r="C51" s="1952">
        <f>Summary1!C51</f>
        <v>31.499220380900699</v>
      </c>
      <c r="D51" s="1952">
        <f>IFERROR(Summary1!D51*28,Summary1!D51)</f>
        <v>12863.292022292004</v>
      </c>
      <c r="E51" s="1952">
        <f>IFERROR(Summary1!E51*265,Summary1!E51)</f>
        <v>328.70701421268893</v>
      </c>
      <c r="F51" s="1550"/>
      <c r="G51" s="1550"/>
      <c r="H51" s="1550"/>
      <c r="I51" s="1553"/>
      <c r="J51" s="613"/>
      <c r="K51" s="3828">
        <f t="shared" si="0"/>
        <v>13223.498256885594</v>
      </c>
      <c r="L51" s="19"/>
    </row>
    <row r="52" spans="2:12" ht="18" customHeight="1" x14ac:dyDescent="0.2">
      <c r="B52" s="606" t="s">
        <v>1989</v>
      </c>
      <c r="C52" s="615"/>
      <c r="D52" s="1949">
        <f>IFERROR(Summary1!D52*28,Summary1!D52)</f>
        <v>10246.026072031262</v>
      </c>
      <c r="E52" s="627"/>
      <c r="F52" s="615"/>
      <c r="G52" s="615"/>
      <c r="H52" s="615"/>
      <c r="I52" s="69"/>
      <c r="J52" s="69"/>
      <c r="K52" s="3829">
        <f t="shared" si="0"/>
        <v>10246.026072031262</v>
      </c>
      <c r="L52" s="19"/>
    </row>
    <row r="53" spans="2:12" ht="18" customHeight="1" x14ac:dyDescent="0.2">
      <c r="B53" s="1395" t="s">
        <v>1990</v>
      </c>
      <c r="C53" s="615"/>
      <c r="D53" s="1949">
        <f>IFERROR(Summary1!D53*28,Summary1!D53)</f>
        <v>116.22771782999997</v>
      </c>
      <c r="E53" s="1949">
        <f>IFERROR(Summary1!E53*265,Summary1!E53)</f>
        <v>140.80157817120002</v>
      </c>
      <c r="F53" s="615"/>
      <c r="G53" s="615"/>
      <c r="H53" s="615"/>
      <c r="I53" s="69"/>
      <c r="J53" s="69"/>
      <c r="K53" s="3829">
        <f t="shared" si="0"/>
        <v>257.02929600120001</v>
      </c>
      <c r="L53" s="19"/>
    </row>
    <row r="54" spans="2:12" ht="18" customHeight="1" x14ac:dyDescent="0.2">
      <c r="B54" s="1396" t="s">
        <v>1991</v>
      </c>
      <c r="C54" s="1949">
        <f>Summary1!C54</f>
        <v>31.499220380900699</v>
      </c>
      <c r="D54" s="1949" t="str">
        <f>IFERROR(Summary1!D54*28,Summary1!D54)</f>
        <v>NO,NE</v>
      </c>
      <c r="E54" s="1949" t="str">
        <f>IFERROR(Summary1!E54*265,Summary1!E54)</f>
        <v>NO,NE</v>
      </c>
      <c r="F54" s="615"/>
      <c r="G54" s="615"/>
      <c r="H54" s="615"/>
      <c r="I54" s="69"/>
      <c r="J54" s="69"/>
      <c r="K54" s="3829">
        <f t="shared" si="0"/>
        <v>31.499220380900699</v>
      </c>
      <c r="L54" s="19"/>
    </row>
    <row r="55" spans="2:12" ht="18" customHeight="1" x14ac:dyDescent="0.2">
      <c r="B55" s="606" t="s">
        <v>1992</v>
      </c>
      <c r="C55" s="615"/>
      <c r="D55" s="1949">
        <f>IFERROR(Summary1!D55*28,Summary1!D55)</f>
        <v>2501.0382324307416</v>
      </c>
      <c r="E55" s="1949">
        <f>IFERROR(Summary1!E55*265,Summary1!E55)</f>
        <v>187.90543604148888</v>
      </c>
      <c r="F55" s="615"/>
      <c r="G55" s="615"/>
      <c r="H55" s="615"/>
      <c r="I55" s="69"/>
      <c r="J55" s="69"/>
      <c r="K55" s="3829">
        <f t="shared" si="0"/>
        <v>2688.9436684722305</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14128.3205</v>
      </c>
      <c r="D60" s="617">
        <f>IFERROR(Summary1!D61*28,Summary1!D61)</f>
        <v>6.644769880000001</v>
      </c>
      <c r="E60" s="617">
        <f>IFERROR(Summary1!E61*265,Summary1!E61)</f>
        <v>32.046840324357895</v>
      </c>
      <c r="F60" s="1957"/>
      <c r="G60" s="1957"/>
      <c r="H60" s="1958"/>
      <c r="I60" s="618"/>
      <c r="J60" s="618"/>
      <c r="K60" s="619">
        <f t="shared" ref="K60:K66" si="2">IF(SUM(C60:J60)=0,"NO",SUM(C60:J60))</f>
        <v>14167.012110204358</v>
      </c>
    </row>
    <row r="61" spans="2:12" ht="18" customHeight="1" x14ac:dyDescent="0.2">
      <c r="B61" s="1385" t="s">
        <v>218</v>
      </c>
      <c r="C61" s="617">
        <f>Summary1!C62</f>
        <v>11893.248</v>
      </c>
      <c r="D61" s="617">
        <f>IFERROR(Summary1!D62*28,Summary1!D62)</f>
        <v>0.67754988000000016</v>
      </c>
      <c r="E61" s="617">
        <f>IFERROR(Summary1!E62*265,Summary1!E62)</f>
        <v>15.910990324357895</v>
      </c>
      <c r="F61" s="615"/>
      <c r="G61" s="615"/>
      <c r="H61" s="615"/>
      <c r="I61" s="621"/>
      <c r="J61" s="621"/>
      <c r="K61" s="622">
        <f t="shared" si="2"/>
        <v>11909.836540204356</v>
      </c>
    </row>
    <row r="62" spans="2:12" ht="18" customHeight="1" x14ac:dyDescent="0.2">
      <c r="B62" s="1386" t="s">
        <v>1963</v>
      </c>
      <c r="C62" s="617">
        <f>Summary1!C63</f>
        <v>2235.0724999999998</v>
      </c>
      <c r="D62" s="617">
        <f>IFERROR(Summary1!D63*28,Summary1!D63)</f>
        <v>5.9672200000000011</v>
      </c>
      <c r="E62" s="617">
        <f>IFERROR(Summary1!E63*265,Summary1!E63)</f>
        <v>16.135850000000001</v>
      </c>
      <c r="F62" s="615"/>
      <c r="G62" s="615"/>
      <c r="H62" s="615"/>
      <c r="I62" s="623"/>
      <c r="J62" s="623"/>
      <c r="K62" s="619">
        <f t="shared" si="2"/>
        <v>2257.1755699999999</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17898.475606673015</v>
      </c>
      <c r="D64" s="627"/>
      <c r="E64" s="627"/>
      <c r="F64" s="627"/>
      <c r="G64" s="627"/>
      <c r="H64" s="627"/>
      <c r="I64" s="614"/>
      <c r="J64" s="614"/>
      <c r="K64" s="628">
        <f t="shared" si="2"/>
        <v>17898.475606673015</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295510.11206349486</v>
      </c>
      <c r="D66" s="631"/>
      <c r="E66" s="631"/>
      <c r="F66" s="631"/>
      <c r="G66" s="631"/>
      <c r="H66" s="631"/>
      <c r="I66" s="630"/>
      <c r="J66" s="630"/>
      <c r="K66" s="632">
        <f t="shared" si="2"/>
        <v>295510.11206349486</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534092.04328255716</v>
      </c>
      <c r="N71" s="1122"/>
    </row>
    <row r="72" spans="2:14" s="636" customFormat="1" ht="18" customHeight="1" x14ac:dyDescent="0.25">
      <c r="B72" s="640"/>
      <c r="C72" s="641"/>
      <c r="D72" s="641"/>
      <c r="E72" s="641"/>
      <c r="F72" s="641"/>
      <c r="G72" s="641"/>
      <c r="H72" s="641"/>
      <c r="I72" s="641"/>
      <c r="J72" s="2573" t="s">
        <v>1999</v>
      </c>
      <c r="K72" s="628">
        <f>K10</f>
        <v>538319.26705382916</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836026.68876790558</v>
      </c>
      <c r="D10" s="3055" t="s">
        <v>97</v>
      </c>
      <c r="E10" s="615"/>
      <c r="F10" s="615"/>
      <c r="G10" s="615"/>
      <c r="H10" s="4219">
        <f>IF(SUM(H11:H15)=0,"NO",SUM(H11:H15))</f>
        <v>45733.231352848219</v>
      </c>
      <c r="I10" s="4219">
        <f t="shared" ref="I10:K10" si="0">IF(SUM(I11:I16)=0,"NO",SUM(I11:I16))</f>
        <v>2.4526234083275829</v>
      </c>
      <c r="J10" s="4226">
        <f t="shared" si="0"/>
        <v>1.4770703712489544</v>
      </c>
      <c r="K10" s="3044" t="str">
        <f t="shared" si="0"/>
        <v>NO</v>
      </c>
    </row>
    <row r="11" spans="2:11" ht="18" customHeight="1" x14ac:dyDescent="0.2">
      <c r="B11" s="282" t="s">
        <v>243</v>
      </c>
      <c r="C11" s="1938">
        <f>IF(SUM(C18,C25,C32,C39,C46,C53,C68,C75,C82,C89,C96,C103,C120,C110:C113)=0,"NO",SUM(C18,C25,C32,C39,C46,C53,C68,C75,C82,C89,C96,C103,C120,C110:C113))</f>
        <v>253152.89929093144</v>
      </c>
      <c r="D11" s="3056" t="s">
        <v>97</v>
      </c>
      <c r="E11" s="1938">
        <f>IFERROR(H11*1000/$C11,"NA")</f>
        <v>69.269354504374917</v>
      </c>
      <c r="F11" s="1938">
        <f t="shared" ref="F11:G16" si="1">IFERROR(I11*1000000/$C11,"NA")</f>
        <v>4.0448222347954612</v>
      </c>
      <c r="G11" s="1938">
        <f t="shared" si="1"/>
        <v>2.2949563203225449</v>
      </c>
      <c r="H11" s="1938">
        <f>IF(SUM(H18,H25,H32,H39,H46,H53,H68,H75,H82,H89,H96,H103,H120,H110:H113)=0,"NO",SUM(H18,H25,H32,H39,H46,H53,H68,H75,H82,H89,H96,H103,H120,H110:H113))</f>
        <v>17535.737924793852</v>
      </c>
      <c r="I11" s="1938">
        <f>IF(SUM(I18,I25,I32,I39,I46,I53,I68,I75,I82,I89,I96,I103,I120,I110:I113)=0,"NO",SUM(I18,I25,I32,I39,I46,I53,I68,I75,I82,I89,I96,I103,I120,I110:I113))</f>
        <v>1.0239584758548956</v>
      </c>
      <c r="J11" s="1938">
        <f>IF(SUM(J18,J25,J32,J39,J46,J53,J68,J75,J82,J89,J96,J103,J120,J110:J113)=0,"NO",SUM(J18,J25,J32,J39,J46,J53,J68,J75,J82,J89,J96,J103,J120,J110:J113))</f>
        <v>0.58097484623569984</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119635.76340897878</v>
      </c>
      <c r="D12" s="3056" t="s">
        <v>97</v>
      </c>
      <c r="E12" s="1938">
        <f t="shared" ref="E12:E16" si="2">IFERROR(H12*1000/$C12,"NA")</f>
        <v>82.387336289402128</v>
      </c>
      <c r="F12" s="1938">
        <f t="shared" si="1"/>
        <v>0.94881868427852012</v>
      </c>
      <c r="G12" s="1938">
        <f t="shared" si="1"/>
        <v>0.70166582291396973</v>
      </c>
      <c r="H12" s="1938">
        <f>IF(SUM(H19,H26,H33,H40,H47,H54,H69,H76,H83,H90,H97,H104,H121)=0,"NO",SUM(H19,H26,H33,H40,H47,H54,H69,H76,H83,H90,H97,H104,H121))</f>
        <v>9856.4718722148828</v>
      </c>
      <c r="I12" s="1938">
        <f>IF(SUM(I19,I26,I33,I40,I47,I54,I69,I76,I83,I90,I97,I104,I121)=0,"NO",SUM(I19,I26,I33,I40,I47,I54,I69,I76,I83,I90,I97,I104,I121))</f>
        <v>0.11351264763036356</v>
      </c>
      <c r="J12" s="1938">
        <f>IF(SUM(J19,J26,J33,J40,J47,J54,J69,J76,J83,J90,J97,J104,J121)=0,"NO",SUM(J19,J26,J33,J40,J47,J54,J69,J76,J83,J90,J97,J104,J121))</f>
        <v>8.3944326382302079E-2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356739.33457052911</v>
      </c>
      <c r="D13" s="3056" t="s">
        <v>97</v>
      </c>
      <c r="E13" s="1938">
        <f t="shared" si="2"/>
        <v>51.412949956639501</v>
      </c>
      <c r="F13" s="1938">
        <f t="shared" si="1"/>
        <v>0.97932433077421899</v>
      </c>
      <c r="G13" s="1938">
        <f t="shared" si="1"/>
        <v>0.550129670821076</v>
      </c>
      <c r="H13" s="1938">
        <f t="shared" ref="H13:K14" si="3">IF(SUM(H20,H27,H34,H41,H48,H55,H70,H77,H84,H91,H98,H105,H122,H115)=0,"NO",SUM(H20,H27,H34,H41,H48,H55,H70,H77,H84,H91,H98,H105,H122,H115))</f>
        <v>18341.021555839488</v>
      </c>
      <c r="I13" s="1938">
        <f t="shared" si="3"/>
        <v>0.34936351008912364</v>
      </c>
      <c r="J13" s="1938">
        <f t="shared" si="3"/>
        <v>0.1962528926962149</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106498.69149746632</v>
      </c>
      <c r="D16" s="3071" t="s">
        <v>97</v>
      </c>
      <c r="E16" s="1938">
        <f t="shared" si="2"/>
        <v>94.369628871224648</v>
      </c>
      <c r="F16" s="1938">
        <f t="shared" si="1"/>
        <v>9.0685506194803978</v>
      </c>
      <c r="G16" s="1938">
        <f t="shared" si="1"/>
        <v>5.7831537390240149</v>
      </c>
      <c r="H16" s="1938">
        <f>IF(SUM(H23,H30,H37,H44,H51,H58,H73,H80,H87,H94,H101,H108,H125,H117)=0,"NO",SUM(H23,H30,H37,H44,H51,H58,H73,H80,H87,H94,H101,H108,H125,H117))</f>
        <v>10050.241991886945</v>
      </c>
      <c r="I16" s="1938">
        <f>IF(SUM(I23,I30,I37,I44,I51,I58,I73,I80,I87,I94,I101,I108,I125,I117)=0,"NO",SUM(I23,I30,I37,I44,I51,I58,I73,I80,I87,I94,I101,I108,I125,I117))</f>
        <v>0.96578877475320002</v>
      </c>
      <c r="J16" s="1938">
        <f>IF(SUM(J23,J30,J37,J44,J51,J58,J73,J80,J87,J94,J101,J108,J125,J117)=0,"NO",SUM(J23,J30,J37,J44,J51,J58,J73,J80,J87,J94,J101,J108,J125,J117))</f>
        <v>0.61589830593473749</v>
      </c>
      <c r="K16" s="3044" t="str">
        <f>IF(SUM(K23,K30,K37,K44,K51,K58,K73,K80,K87,K94,K101,K108,K125,K117)=0,"NO",SUM(K23,K30,K37,K44,K51,K58,K73,K80,K87,K94,K101,K108,K125,K117))</f>
        <v>NO</v>
      </c>
    </row>
    <row r="17" spans="2:11" ht="18" customHeight="1" x14ac:dyDescent="0.2">
      <c r="B17" s="1240" t="s">
        <v>264</v>
      </c>
      <c r="C17" s="1938">
        <f>IF(SUM(C18:C23)=0,"NO",SUM(C18:C23))</f>
        <v>33405.144529189216</v>
      </c>
      <c r="D17" s="3055" t="s">
        <v>97</v>
      </c>
      <c r="E17" s="615"/>
      <c r="F17" s="615"/>
      <c r="G17" s="615"/>
      <c r="H17" s="1938">
        <f>IF(SUM(H18:H22)=0,"NO",SUM(H18:H22))</f>
        <v>1529.7471033351994</v>
      </c>
      <c r="I17" s="1938">
        <f t="shared" ref="I17:K17" si="4">IF(SUM(I18:I23)=0,"NO",SUM(I18:I23))</f>
        <v>3.436724100330589E-2</v>
      </c>
      <c r="J17" s="1938">
        <f t="shared" si="4"/>
        <v>1.9623742350736155E-2</v>
      </c>
      <c r="K17" s="3044" t="str">
        <f t="shared" si="4"/>
        <v>NO</v>
      </c>
    </row>
    <row r="18" spans="2:11" ht="18" customHeight="1" x14ac:dyDescent="0.2">
      <c r="B18" s="282" t="s">
        <v>243</v>
      </c>
      <c r="C18" s="699">
        <v>780.37262697777783</v>
      </c>
      <c r="D18" s="3056" t="s">
        <v>97</v>
      </c>
      <c r="E18" s="1938">
        <f>IFERROR(H18*1000/$C18,"NA")</f>
        <v>71.283069030089081</v>
      </c>
      <c r="F18" s="1938">
        <f t="shared" ref="F18:G23" si="5">IFERROR(I18*1000000/$C18,"NA")</f>
        <v>4.1174177325756682</v>
      </c>
      <c r="G18" s="1938">
        <f t="shared" si="5"/>
        <v>1.403532152261014</v>
      </c>
      <c r="H18" s="699">
        <v>55.627355838048899</v>
      </c>
      <c r="I18" s="699">
        <v>3.2131200923349599E-3</v>
      </c>
      <c r="J18" s="699">
        <v>1.0952780727077019E-3</v>
      </c>
      <c r="K18" s="3072" t="s">
        <v>199</v>
      </c>
    </row>
    <row r="19" spans="2:11" ht="18" customHeight="1" x14ac:dyDescent="0.2">
      <c r="B19" s="282" t="s">
        <v>245</v>
      </c>
      <c r="C19" s="699">
        <v>19221.61090221144</v>
      </c>
      <c r="D19" s="3056" t="s">
        <v>97</v>
      </c>
      <c r="E19" s="1938">
        <f t="shared" ref="E19:E23" si="6">IFERROR(H19*1000/$C19,"NA")</f>
        <v>40.841401517851494</v>
      </c>
      <c r="F19" s="1938">
        <f t="shared" si="5"/>
        <v>0.9551246328125389</v>
      </c>
      <c r="G19" s="1938">
        <f t="shared" si="5"/>
        <v>0.57540320669389822</v>
      </c>
      <c r="H19" s="699">
        <v>785.0375286771291</v>
      </c>
      <c r="I19" s="699">
        <v>1.8359034055040198E-2</v>
      </c>
      <c r="J19" s="699">
        <v>1.1060176550954856E-2</v>
      </c>
      <c r="K19" s="3072" t="s">
        <v>199</v>
      </c>
    </row>
    <row r="20" spans="2:11" ht="18" customHeight="1" x14ac:dyDescent="0.2">
      <c r="B20" s="282" t="s">
        <v>246</v>
      </c>
      <c r="C20" s="699">
        <v>13403.161000000002</v>
      </c>
      <c r="D20" s="3056" t="s">
        <v>97</v>
      </c>
      <c r="E20" s="1938">
        <f t="shared" si="6"/>
        <v>51.411918339265007</v>
      </c>
      <c r="F20" s="1938">
        <f t="shared" si="5"/>
        <v>0.9546320346320345</v>
      </c>
      <c r="G20" s="1938">
        <f t="shared" si="5"/>
        <v>0.55720346320346326</v>
      </c>
      <c r="H20" s="699">
        <v>689.08221882002158</v>
      </c>
      <c r="I20" s="699">
        <v>1.2795086855930737E-2</v>
      </c>
      <c r="J20" s="699">
        <v>7.4682877270735954E-3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239054.29706461218</v>
      </c>
      <c r="D24" s="3056" t="s">
        <v>97</v>
      </c>
      <c r="E24" s="615"/>
      <c r="F24" s="615"/>
      <c r="G24" s="615"/>
      <c r="H24" s="1938">
        <f>IF(SUM(H25:H29)=0,"NO",SUM(H25:H29))</f>
        <v>15073.265901481445</v>
      </c>
      <c r="I24" s="1938">
        <f t="shared" ref="I24:K24" si="7">IF(SUM(I25:I30)=0,"NO",SUM(I25:I30))</f>
        <v>0.26961534259405712</v>
      </c>
      <c r="J24" s="1938">
        <f t="shared" si="7"/>
        <v>0.1670074098626044</v>
      </c>
      <c r="K24" s="3044" t="str">
        <f t="shared" si="7"/>
        <v>NO</v>
      </c>
    </row>
    <row r="25" spans="2:11" ht="18" customHeight="1" x14ac:dyDescent="0.2">
      <c r="B25" s="282" t="s">
        <v>243</v>
      </c>
      <c r="C25" s="699">
        <v>31790.858364399999</v>
      </c>
      <c r="D25" s="3056" t="s">
        <v>97</v>
      </c>
      <c r="E25" s="1938">
        <f>IFERROR(H25*1000/$C25,"NA")</f>
        <v>72.078436321081767</v>
      </c>
      <c r="F25" s="1938">
        <f t="shared" ref="F25:G30" si="8">IFERROR(I25*1000000/$C25,"NA")</f>
        <v>1.7589647898430469</v>
      </c>
      <c r="G25" s="1938">
        <f t="shared" si="8"/>
        <v>0.98080123131408847</v>
      </c>
      <c r="H25" s="699">
        <v>2291.435360210935</v>
      </c>
      <c r="I25" s="699">
        <v>5.591900050186692E-2</v>
      </c>
      <c r="J25" s="699">
        <v>3.1180513028335306E-2</v>
      </c>
      <c r="K25" s="3072" t="s">
        <v>199</v>
      </c>
    </row>
    <row r="26" spans="2:11" ht="18" customHeight="1" x14ac:dyDescent="0.2">
      <c r="B26" s="282" t="s">
        <v>245</v>
      </c>
      <c r="C26" s="699">
        <v>56250.401247842936</v>
      </c>
      <c r="D26" s="3056" t="s">
        <v>97</v>
      </c>
      <c r="E26" s="1938">
        <f t="shared" ref="E26:E30" si="9">IFERROR(H26*1000/$C26,"NA")</f>
        <v>90.946907064807874</v>
      </c>
      <c r="F26" s="1938">
        <f t="shared" si="8"/>
        <v>0.952380952380952</v>
      </c>
      <c r="G26" s="1938">
        <f t="shared" si="8"/>
        <v>0.706095238095238</v>
      </c>
      <c r="H26" s="699">
        <v>5115.8000146457243</v>
      </c>
      <c r="I26" s="699">
        <v>5.3571810712231348E-2</v>
      </c>
      <c r="J26" s="699">
        <v>3.9718140462048329E-2</v>
      </c>
      <c r="K26" s="3072" t="s">
        <v>199</v>
      </c>
    </row>
    <row r="27" spans="2:11" ht="18" customHeight="1" x14ac:dyDescent="0.2">
      <c r="B27" s="282" t="s">
        <v>246</v>
      </c>
      <c r="C27" s="699">
        <v>149109.98800000001</v>
      </c>
      <c r="D27" s="3056" t="s">
        <v>97</v>
      </c>
      <c r="E27" s="1938">
        <f t="shared" si="9"/>
        <v>51.411918339265007</v>
      </c>
      <c r="F27" s="1938">
        <f t="shared" si="8"/>
        <v>0.9572727272727275</v>
      </c>
      <c r="G27" s="1938">
        <f t="shared" si="8"/>
        <v>0.57027272727272738</v>
      </c>
      <c r="H27" s="699">
        <v>7666.030526624786</v>
      </c>
      <c r="I27" s="699">
        <v>0.14273892487636369</v>
      </c>
      <c r="J27" s="699">
        <v>8.5033359520363658E-2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1903.0494523692439</v>
      </c>
      <c r="D30" s="3056" t="s">
        <v>97</v>
      </c>
      <c r="E30" s="1938">
        <f t="shared" si="9"/>
        <v>93.863490888340195</v>
      </c>
      <c r="F30" s="1938">
        <f t="shared" si="8"/>
        <v>9.1356567124151979</v>
      </c>
      <c r="G30" s="1938">
        <f t="shared" si="8"/>
        <v>5.8198155797100135</v>
      </c>
      <c r="H30" s="699">
        <v>178.62686493252133</v>
      </c>
      <c r="I30" s="699">
        <v>1.738560650359515E-2</v>
      </c>
      <c r="J30" s="699">
        <v>1.1075396851857135E-2</v>
      </c>
      <c r="K30" s="3072" t="s">
        <v>199</v>
      </c>
    </row>
    <row r="31" spans="2:11" ht="18" customHeight="1" x14ac:dyDescent="0.2">
      <c r="B31" s="1240" t="s">
        <v>266</v>
      </c>
      <c r="C31" s="1938">
        <f>IF(SUM(C32:C37)=0,"NO",SUM(C32:C37))</f>
        <v>151517.62756134235</v>
      </c>
      <c r="D31" s="3056" t="s">
        <v>97</v>
      </c>
      <c r="E31" s="615"/>
      <c r="F31" s="615"/>
      <c r="G31" s="615"/>
      <c r="H31" s="1938">
        <f>IF(SUM(H32:H36)=0,"NO",SUM(H32:H36))</f>
        <v>9146.7726074241727</v>
      </c>
      <c r="I31" s="1938">
        <f t="shared" ref="I31:K31" si="10">IF(SUM(I32:I37)=0,"NO",SUM(I32:I37))</f>
        <v>0.27994470701572027</v>
      </c>
      <c r="J31" s="1938">
        <f t="shared" si="10"/>
        <v>0.10485673758052844</v>
      </c>
      <c r="K31" s="3044" t="str">
        <f t="shared" si="10"/>
        <v>NO</v>
      </c>
    </row>
    <row r="32" spans="2:11" ht="18" customHeight="1" x14ac:dyDescent="0.2">
      <c r="B32" s="282" t="s">
        <v>243</v>
      </c>
      <c r="C32" s="699">
        <v>74113.085219646629</v>
      </c>
      <c r="D32" s="3056" t="s">
        <v>97</v>
      </c>
      <c r="E32" s="1938">
        <f>IFERROR(H32*1000/$C32,"NA")</f>
        <v>68.055611047098893</v>
      </c>
      <c r="F32" s="1938">
        <f t="shared" ref="F32:G37" si="11">IFERROR(I32*1000000/$C32,"NA")</f>
        <v>2.7233726978093169</v>
      </c>
      <c r="G32" s="1938">
        <f t="shared" si="11"/>
        <v>0.80098337936296915</v>
      </c>
      <c r="H32" s="699">
        <v>5043.8113012087651</v>
      </c>
      <c r="I32" s="699">
        <v>0.20183755283760085</v>
      </c>
      <c r="J32" s="699">
        <v>5.9363349454248281E-2</v>
      </c>
      <c r="K32" s="3072" t="s">
        <v>199</v>
      </c>
    </row>
    <row r="33" spans="2:11" ht="18" customHeight="1" x14ac:dyDescent="0.2">
      <c r="B33" s="282" t="s">
        <v>245</v>
      </c>
      <c r="C33" s="699">
        <v>4859.6879999999992</v>
      </c>
      <c r="D33" s="3056" t="s">
        <v>97</v>
      </c>
      <c r="E33" s="1938">
        <f t="shared" ref="E33:E37" si="12">IFERROR(H33*1000/$C33,"NA")</f>
        <v>84.931529317161704</v>
      </c>
      <c r="F33" s="1938">
        <f t="shared" si="11"/>
        <v>0.88950847011068157</v>
      </c>
      <c r="G33" s="1938">
        <f t="shared" si="11"/>
        <v>0.64082028350477682</v>
      </c>
      <c r="H33" s="699">
        <v>412.7407338442589</v>
      </c>
      <c r="I33" s="699">
        <v>4.3227336380952377E-3</v>
      </c>
      <c r="J33" s="699">
        <v>3.1141866419047617E-3</v>
      </c>
      <c r="K33" s="3072" t="s">
        <v>199</v>
      </c>
    </row>
    <row r="34" spans="2:11" ht="18" customHeight="1" x14ac:dyDescent="0.2">
      <c r="B34" s="282" t="s">
        <v>246</v>
      </c>
      <c r="C34" s="699">
        <v>71777.507947484977</v>
      </c>
      <c r="D34" s="3056" t="s">
        <v>97</v>
      </c>
      <c r="E34" s="1938">
        <f t="shared" si="12"/>
        <v>51.4119349904297</v>
      </c>
      <c r="F34" s="1938">
        <f t="shared" si="11"/>
        <v>0.95087863047477728</v>
      </c>
      <c r="G34" s="1938">
        <f t="shared" si="11"/>
        <v>0.53718018877448237</v>
      </c>
      <c r="H34" s="699">
        <v>3690.2205723711486</v>
      </c>
      <c r="I34" s="699">
        <v>6.8251698455996962E-2</v>
      </c>
      <c r="J34" s="699">
        <v>3.8557455268991889E-2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767.34639421073098</v>
      </c>
      <c r="D37" s="3056" t="s">
        <v>97</v>
      </c>
      <c r="E37" s="1938">
        <f t="shared" si="12"/>
        <v>88.203591904671299</v>
      </c>
      <c r="F37" s="1938">
        <f t="shared" si="11"/>
        <v>7.2102014497872657</v>
      </c>
      <c r="G37" s="1938">
        <f t="shared" si="11"/>
        <v>4.9804706768895812</v>
      </c>
      <c r="H37" s="699">
        <v>67.682708204484342</v>
      </c>
      <c r="I37" s="699">
        <v>5.532722084027243E-3</v>
      </c>
      <c r="J37" s="699">
        <v>3.8217462153834984E-3</v>
      </c>
      <c r="K37" s="3072" t="s">
        <v>199</v>
      </c>
    </row>
    <row r="38" spans="2:11" ht="18" customHeight="1" x14ac:dyDescent="0.2">
      <c r="B38" s="1240" t="s">
        <v>267</v>
      </c>
      <c r="C38" s="1938">
        <f>IF(SUM(C39:C44)=0,"NO",SUM(C39:C44))</f>
        <v>36476.729039999998</v>
      </c>
      <c r="D38" s="3056" t="s">
        <v>97</v>
      </c>
      <c r="E38" s="615"/>
      <c r="F38" s="615"/>
      <c r="G38" s="615"/>
      <c r="H38" s="1938">
        <f>IF(SUM(H39:H43)=0,"NO",SUM(H39:H43))</f>
        <v>957.39519302849635</v>
      </c>
      <c r="I38" s="1938">
        <f t="shared" ref="I38:K38" si="13">IF(SUM(I39:I44)=0,"NO",SUM(I39:I44))</f>
        <v>0.19832974854337662</v>
      </c>
      <c r="J38" s="1938">
        <f t="shared" si="13"/>
        <v>0.13104922374145145</v>
      </c>
      <c r="K38" s="3044" t="str">
        <f t="shared" si="13"/>
        <v>NO</v>
      </c>
    </row>
    <row r="39" spans="2:11" ht="18" customHeight="1" x14ac:dyDescent="0.2">
      <c r="B39" s="282" t="s">
        <v>243</v>
      </c>
      <c r="C39" s="699">
        <v>533.97203999999999</v>
      </c>
      <c r="D39" s="3056" t="s">
        <v>97</v>
      </c>
      <c r="E39" s="1938">
        <f>IFERROR(H39*1000/$C39,"NA")</f>
        <v>67.173097384339343</v>
      </c>
      <c r="F39" s="1938">
        <f t="shared" ref="F39:G44" si="14">IFERROR(I39*1000000/$C39,"NA")</f>
        <v>0.95979024121486389</v>
      </c>
      <c r="G39" s="1938">
        <f t="shared" si="14"/>
        <v>1.1974200079586439</v>
      </c>
      <c r="H39" s="699">
        <v>35.868555843434343</v>
      </c>
      <c r="I39" s="699">
        <v>5.1250115307359292E-4</v>
      </c>
      <c r="J39" s="699">
        <v>6.3938880438649335E-4</v>
      </c>
      <c r="K39" s="3072" t="s">
        <v>199</v>
      </c>
    </row>
    <row r="40" spans="2:11" ht="18" customHeight="1" x14ac:dyDescent="0.2">
      <c r="B40" s="282" t="s">
        <v>245</v>
      </c>
      <c r="C40" s="699">
        <v>3373.3309999999997</v>
      </c>
      <c r="D40" s="3056" t="s">
        <v>97</v>
      </c>
      <c r="E40" s="1938">
        <f t="shared" ref="E40:E44" si="15">IFERROR(H40*1000/$C40,"NA")</f>
        <v>89.806750514550743</v>
      </c>
      <c r="F40" s="1938">
        <f t="shared" si="14"/>
        <v>0.9400538405228428</v>
      </c>
      <c r="G40" s="1938">
        <f t="shared" si="14"/>
        <v>0.65844859209459361</v>
      </c>
      <c r="H40" s="699">
        <v>302.94789551999997</v>
      </c>
      <c r="I40" s="699">
        <v>3.1711127619047617E-3</v>
      </c>
      <c r="J40" s="699">
        <v>2.2211650476190474E-3</v>
      </c>
      <c r="K40" s="3072" t="s">
        <v>199</v>
      </c>
    </row>
    <row r="41" spans="2:11" ht="18" customHeight="1" x14ac:dyDescent="0.2">
      <c r="B41" s="282" t="s">
        <v>246</v>
      </c>
      <c r="C41" s="699">
        <v>12031.816000000003</v>
      </c>
      <c r="D41" s="3056" t="s">
        <v>97</v>
      </c>
      <c r="E41" s="1938">
        <f t="shared" si="15"/>
        <v>51.411918339264986</v>
      </c>
      <c r="F41" s="1938">
        <f t="shared" si="14"/>
        <v>0.91363636363636347</v>
      </c>
      <c r="G41" s="1938">
        <f t="shared" si="14"/>
        <v>0.86863636363636343</v>
      </c>
      <c r="H41" s="699">
        <v>618.57874166506201</v>
      </c>
      <c r="I41" s="699">
        <v>1.0992704618181819E-2</v>
      </c>
      <c r="J41" s="699">
        <v>1.0451272898181818E-2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20537.609999999997</v>
      </c>
      <c r="D44" s="3055" t="s">
        <v>97</v>
      </c>
      <c r="E44" s="1938">
        <f t="shared" si="15"/>
        <v>93.391433017760448</v>
      </c>
      <c r="F44" s="1938">
        <f t="shared" si="14"/>
        <v>8.9422980575742006</v>
      </c>
      <c r="G44" s="1938">
        <f t="shared" si="14"/>
        <v>5.7327701222909626</v>
      </c>
      <c r="H44" s="699">
        <v>1918.0368286598869</v>
      </c>
      <c r="I44" s="699">
        <v>0.18365343001021645</v>
      </c>
      <c r="J44" s="699">
        <v>0.11773739699126408</v>
      </c>
      <c r="K44" s="3072" t="s">
        <v>199</v>
      </c>
    </row>
    <row r="45" spans="2:11" ht="18" customHeight="1" x14ac:dyDescent="0.2">
      <c r="B45" s="1240" t="s">
        <v>268</v>
      </c>
      <c r="C45" s="1938">
        <f>IF(SUM(C46:C51)=0,"NO",SUM(C46:C51))</f>
        <v>128352.1593528387</v>
      </c>
      <c r="D45" s="3055" t="s">
        <v>97</v>
      </c>
      <c r="E45" s="615"/>
      <c r="F45" s="615"/>
      <c r="G45" s="615"/>
      <c r="H45" s="1938">
        <f>IF(SUM(H46:H50)=0,"NO",SUM(H46:H50))</f>
        <v>2835.1928317492066</v>
      </c>
      <c r="I45" s="1938">
        <f t="shared" ref="I45:K45" si="16">IF(SUM(I46:I51)=0,"NO",SUM(I46:I51))</f>
        <v>0.81342958337079063</v>
      </c>
      <c r="J45" s="1938">
        <f t="shared" si="16"/>
        <v>0.5183074117645875</v>
      </c>
      <c r="K45" s="3044" t="str">
        <f t="shared" si="16"/>
        <v>NO</v>
      </c>
    </row>
    <row r="46" spans="2:11" ht="18" customHeight="1" x14ac:dyDescent="0.2">
      <c r="B46" s="282" t="s">
        <v>243</v>
      </c>
      <c r="C46" s="699">
        <v>4036.861050710419</v>
      </c>
      <c r="D46" s="3055" t="s">
        <v>97</v>
      </c>
      <c r="E46" s="1938">
        <f>IFERROR(H46*1000/$C46,"NA")</f>
        <v>67.233832519691603</v>
      </c>
      <c r="F46" s="1938">
        <f t="shared" ref="F46:G51" si="17">IFERROR(I46*1000000/$C46,"NA")</f>
        <v>7.7617865979061644</v>
      </c>
      <c r="G46" s="1938">
        <f t="shared" si="17"/>
        <v>2.5469341172816686</v>
      </c>
      <c r="H46" s="699">
        <v>271.41363978873062</v>
      </c>
      <c r="I46" s="699">
        <v>3.1333254001013527E-2</v>
      </c>
      <c r="J46" s="699">
        <v>1.0281619136779892E-2</v>
      </c>
      <c r="K46" s="3072" t="s">
        <v>199</v>
      </c>
    </row>
    <row r="47" spans="2:11" ht="18" customHeight="1" x14ac:dyDescent="0.2">
      <c r="B47" s="282" t="s">
        <v>245</v>
      </c>
      <c r="C47" s="699">
        <v>9065.2939999999999</v>
      </c>
      <c r="D47" s="3055" t="s">
        <v>97</v>
      </c>
      <c r="E47" s="1938">
        <f t="shared" ref="E47:E51" si="18">IFERROR(H47*1000/$C47,"NA")</f>
        <v>90.949024901513567</v>
      </c>
      <c r="F47" s="1938">
        <f t="shared" si="17"/>
        <v>0.95238095238095211</v>
      </c>
      <c r="G47" s="1938">
        <f t="shared" si="17"/>
        <v>0.67523809523809519</v>
      </c>
      <c r="H47" s="699">
        <v>824.47964974554156</v>
      </c>
      <c r="I47" s="699">
        <v>8.6336133333333315E-3</v>
      </c>
      <c r="J47" s="699">
        <v>6.1212318533333324E-3</v>
      </c>
      <c r="K47" s="3072" t="s">
        <v>199</v>
      </c>
    </row>
    <row r="48" spans="2:11" ht="18" customHeight="1" x14ac:dyDescent="0.2">
      <c r="B48" s="282" t="s">
        <v>246</v>
      </c>
      <c r="C48" s="699">
        <v>33830.668031824309</v>
      </c>
      <c r="D48" s="3055" t="s">
        <v>97</v>
      </c>
      <c r="E48" s="1938">
        <f t="shared" si="18"/>
        <v>51.411918339265</v>
      </c>
      <c r="F48" s="1938">
        <f t="shared" si="17"/>
        <v>0.91409090909090918</v>
      </c>
      <c r="G48" s="1938">
        <f t="shared" si="17"/>
        <v>0.86459090909090874</v>
      </c>
      <c r="H48" s="699">
        <v>1739.2995422149343</v>
      </c>
      <c r="I48" s="699">
        <v>3.0924306096363041E-2</v>
      </c>
      <c r="J48" s="699">
        <v>2.9249688028787725E-2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81419.336270303975</v>
      </c>
      <c r="D51" s="3055" t="s">
        <v>97</v>
      </c>
      <c r="E51" s="1938">
        <f t="shared" si="18"/>
        <v>94.721056684724672</v>
      </c>
      <c r="F51" s="1938">
        <f t="shared" si="17"/>
        <v>9.1199270831062567</v>
      </c>
      <c r="G51" s="1938">
        <f t="shared" si="17"/>
        <v>5.8051919162853407</v>
      </c>
      <c r="H51" s="699">
        <v>7712.1255660921224</v>
      </c>
      <c r="I51" s="699">
        <v>0.74253840994008069</v>
      </c>
      <c r="J51" s="699">
        <v>0.47265487274568652</v>
      </c>
      <c r="K51" s="3072" t="s">
        <v>199</v>
      </c>
    </row>
    <row r="52" spans="2:11" ht="18" customHeight="1" x14ac:dyDescent="0.2">
      <c r="B52" s="1240" t="s">
        <v>269</v>
      </c>
      <c r="C52" s="3073">
        <f>IF(SUM(C53:C58)=0,"NO",SUM(C53:C58))</f>
        <v>85970.120193612674</v>
      </c>
      <c r="D52" s="3055" t="s">
        <v>97</v>
      </c>
      <c r="E52" s="615"/>
      <c r="F52" s="615"/>
      <c r="G52" s="615"/>
      <c r="H52" s="1938">
        <f>IF(SUM(H53:H57)=0,"NO",SUM(H53:H57))</f>
        <v>5283.012068012391</v>
      </c>
      <c r="I52" s="1938">
        <f t="shared" ref="I52:K52" si="19">IF(SUM(I53:I58)=0,"NO",SUM(I53:I58))</f>
        <v>0.28788387358400225</v>
      </c>
      <c r="J52" s="1938">
        <f t="shared" si="19"/>
        <v>4.7727144567141437E-2</v>
      </c>
      <c r="K52" s="3044" t="str">
        <f t="shared" si="19"/>
        <v>NO</v>
      </c>
    </row>
    <row r="53" spans="2:11" ht="18" customHeight="1" x14ac:dyDescent="0.2">
      <c r="B53" s="282" t="s">
        <v>243</v>
      </c>
      <c r="C53" s="2173">
        <v>6748.2549990313109</v>
      </c>
      <c r="D53" s="3055" t="s">
        <v>97</v>
      </c>
      <c r="E53" s="1938">
        <f>IFERROR(H53*1000/$C53,"NA")</f>
        <v>63.91049202017232</v>
      </c>
      <c r="F53" s="1938">
        <f t="shared" ref="F53:G58" si="20">IFERROR(I53*1000000/$C53,"NA")</f>
        <v>28.928105457326893</v>
      </c>
      <c r="G53" s="1938">
        <f t="shared" si="20"/>
        <v>1.801190572696074</v>
      </c>
      <c r="H53" s="699">
        <v>431.28429726567856</v>
      </c>
      <c r="I53" s="699">
        <v>0.19521423226491114</v>
      </c>
      <c r="J53" s="699">
        <v>1.2154893286404352E-2</v>
      </c>
      <c r="K53" s="3072" t="s">
        <v>199</v>
      </c>
    </row>
    <row r="54" spans="2:11" ht="18" customHeight="1" x14ac:dyDescent="0.2">
      <c r="B54" s="282" t="s">
        <v>245</v>
      </c>
      <c r="C54" s="699">
        <v>22860.261226236446</v>
      </c>
      <c r="D54" s="3055" t="s">
        <v>97</v>
      </c>
      <c r="E54" s="1938">
        <f t="shared" ref="E54:E58" si="21">IFERROR(H54*1000/$C54,"NA")</f>
        <v>89.652109600178676</v>
      </c>
      <c r="F54" s="1938">
        <f t="shared" si="20"/>
        <v>0.94651875329127277</v>
      </c>
      <c r="G54" s="1938">
        <f t="shared" si="20"/>
        <v>0.81908682589530335</v>
      </c>
      <c r="H54" s="699">
        <v>2049.4706449432647</v>
      </c>
      <c r="I54" s="699">
        <v>2.1637665955770144E-2</v>
      </c>
      <c r="J54" s="699">
        <v>1.8724538806935486E-2</v>
      </c>
      <c r="K54" s="3072" t="s">
        <v>199</v>
      </c>
    </row>
    <row r="55" spans="2:11" ht="18" customHeight="1" x14ac:dyDescent="0.2">
      <c r="B55" s="282" t="s">
        <v>246</v>
      </c>
      <c r="C55" s="699">
        <v>54505.982587762541</v>
      </c>
      <c r="D55" s="3055" t="s">
        <v>97</v>
      </c>
      <c r="E55" s="1938">
        <f t="shared" si="21"/>
        <v>51.411918339264993</v>
      </c>
      <c r="F55" s="1938">
        <f t="shared" si="20"/>
        <v>0.99825816843741588</v>
      </c>
      <c r="G55" s="1938">
        <f t="shared" si="20"/>
        <v>0.11550230090699619</v>
      </c>
      <c r="H55" s="699">
        <v>2802.2571258034473</v>
      </c>
      <c r="I55" s="699">
        <v>5.4411042346941517E-2</v>
      </c>
      <c r="J55" s="699">
        <v>6.2955664020832441E-3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1855.6213805823777</v>
      </c>
      <c r="D58" s="3055" t="s">
        <v>97</v>
      </c>
      <c r="E58" s="3074">
        <f t="shared" si="21"/>
        <v>93.06748035181468</v>
      </c>
      <c r="F58" s="3074">
        <f t="shared" si="20"/>
        <v>8.9570713025321158</v>
      </c>
      <c r="G58" s="3074">
        <f t="shared" si="20"/>
        <v>5.6865835790308781</v>
      </c>
      <c r="H58" s="2215">
        <v>172.69800637775768</v>
      </c>
      <c r="I58" s="699">
        <v>1.662093301637944E-2</v>
      </c>
      <c r="J58" s="699">
        <v>1.0552146071718357E-2</v>
      </c>
      <c r="K58" s="3072" t="s">
        <v>199</v>
      </c>
    </row>
    <row r="59" spans="2:11" ht="18" customHeight="1" x14ac:dyDescent="0.2">
      <c r="B59" s="1240" t="s">
        <v>270</v>
      </c>
      <c r="C59" s="3073">
        <f>IF(SUM(C60:C65)=0,"NO",SUM(C60:C65))</f>
        <v>161250.61102631062</v>
      </c>
      <c r="D59" s="4224" t="s">
        <v>97</v>
      </c>
      <c r="E59" s="4225"/>
      <c r="F59" s="4225"/>
      <c r="G59" s="4225"/>
      <c r="H59" s="1938">
        <f>IF(SUM(H60:H64)=0,"NO",SUM(H60:H64))</f>
        <v>10907.845647817307</v>
      </c>
      <c r="I59" s="1938">
        <f t="shared" ref="I59:K59" si="22">IF(SUM(I60:I65)=0,"NO",SUM(I60:I65))</f>
        <v>0.56905291221633036</v>
      </c>
      <c r="J59" s="1938">
        <f t="shared" si="22"/>
        <v>0.48849870138190477</v>
      </c>
      <c r="K59" s="3044" t="str">
        <f t="shared" si="22"/>
        <v>NO</v>
      </c>
    </row>
    <row r="60" spans="2:11" ht="18" customHeight="1" x14ac:dyDescent="0.2">
      <c r="B60" s="282" t="s">
        <v>243</v>
      </c>
      <c r="C60" s="4223">
        <f>IF(SUM(C68,C75,C82,C89,C96,C103,C110,C111,C111,C112,C113,C120)=0,"NO",SUM(C68,C75,C82,C89,C96,C103,C110,C111,C111,C112,C113,C120))</f>
        <v>135149.49499016532</v>
      </c>
      <c r="D60" s="4224" t="s">
        <v>97</v>
      </c>
      <c r="E60" s="3074">
        <f t="shared" ref="E60:E65" si="23">IFERROR(H60*1000/$C60,"NA")</f>
        <v>69.599205053061709</v>
      </c>
      <c r="F60" s="3074">
        <f t="shared" ref="F60:F65" si="24">IFERROR(I60*1000000/$C60,"NA")</f>
        <v>3.9654518505089027</v>
      </c>
      <c r="G60" s="3074">
        <f t="shared" ref="G60:G65" si="25">IFERROR(J60*1000000/$C60,"NA")</f>
        <v>3.449955950532904</v>
      </c>
      <c r="H60" s="3074">
        <f>IF(SUM(H68,H75,H82,H89,H96,H103,H110,H111,H111,H112,H113,H120)=0,"NO",SUM(H68,H75,H82,H89,H96,H103,H110,H111,H111,H112,H113,H120))</f>
        <v>9406.297414638253</v>
      </c>
      <c r="I60" s="3074">
        <f>IF(SUM(I68,I75,I82,I89,I96,I103,I110,I111,I111,I112,I113,I120)=0,"NO",SUM(I68,I75,I82,I89,I96,I103,I110,I111,I111,I112,I113,I120))</f>
        <v>0.53592881500409473</v>
      </c>
      <c r="J60" s="3074">
        <f>IF(SUM(J68,J75,J82,J89,J96,J103,J110,J111,J111,J112,J113,J120)=0,"NO",SUM(J68,J75,J82,J89,J96,J103,J110,J111,J111,J112,J113,J120))</f>
        <v>0.46625980445283771</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4005.1770326879682</v>
      </c>
      <c r="D61" s="4224" t="s">
        <v>97</v>
      </c>
      <c r="E61" s="3074">
        <f t="shared" si="23"/>
        <v>91.380581145831243</v>
      </c>
      <c r="F61" s="3074">
        <f t="shared" si="24"/>
        <v>0.95293594835858741</v>
      </c>
      <c r="G61" s="3074">
        <f t="shared" si="25"/>
        <v>0.74525719965567583</v>
      </c>
      <c r="H61" s="3074">
        <f>IF(SUM(H69,H76,H83,H90,H97,H104,H121)=0,"NO",SUM(H69,H76,H83,H90,H97,H104,H121))</f>
        <v>365.99540483896249</v>
      </c>
      <c r="I61" s="3074">
        <f>IF(SUM(I69,I76,I83,I90,I97,I104,I121)=0,"NO",SUM(I69,I76,I83,I90,I97,I104,I121))</f>
        <v>3.816677173988542E-3</v>
      </c>
      <c r="J61" s="3074">
        <f>IF(SUM(J69,J76,J83,J90,J97,J104,J121)=0,"NO",SUM(J69,J76,J83,J90,J97,J104,J121))</f>
        <v>2.9848870195062645E-3</v>
      </c>
      <c r="K61" s="3044" t="str">
        <f>IF(SUM(K69,K76,K83,K90,K97,K104,K121)=0,"NO",SUM(K69,K76,K83,K90,K97,K104,K121))</f>
        <v>NO</v>
      </c>
    </row>
    <row r="62" spans="2:11" ht="18" customHeight="1" x14ac:dyDescent="0.2">
      <c r="B62" s="282" t="s">
        <v>246</v>
      </c>
      <c r="C62" s="4223">
        <f>IF(SUM(C70,C77,C84,C91,C98,C105,C115,C122)=0,"NO",SUM(C70,C77,C84,C91,C98,C105,C115,C122))</f>
        <v>22080.211003457352</v>
      </c>
      <c r="D62" s="4224" t="s">
        <v>97</v>
      </c>
      <c r="E62" s="3074">
        <f t="shared" si="23"/>
        <v>51.428531555349899</v>
      </c>
      <c r="F62" s="3074">
        <f t="shared" si="24"/>
        <v>1.324704135968896</v>
      </c>
      <c r="G62" s="3074">
        <f t="shared" si="25"/>
        <v>0.86943294372173241</v>
      </c>
      <c r="H62" s="3074">
        <f t="shared" ref="H62:K63" si="26">IF(SUM(H70,H77,H84,H91,H98,H105,H115,H122)=0,"NO",SUM(H70,H77,H84,H91,H98,H105,H115,H122))</f>
        <v>1135.5528283400906</v>
      </c>
      <c r="I62" s="3074">
        <f t="shared" si="26"/>
        <v>2.9249746839345885E-2</v>
      </c>
      <c r="J62" s="3074">
        <f t="shared" si="26"/>
        <v>1.9197262850732914E-2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15.728000000000002</v>
      </c>
      <c r="D65" s="4224" t="s">
        <v>97</v>
      </c>
      <c r="E65" s="3074">
        <f t="shared" si="23"/>
        <v>68.159818169707535</v>
      </c>
      <c r="F65" s="3074">
        <f t="shared" si="24"/>
        <v>3.6669124428470807</v>
      </c>
      <c r="G65" s="3074">
        <f t="shared" si="25"/>
        <v>3.6080276467344112</v>
      </c>
      <c r="H65" s="1938">
        <f>IF(SUM(H73,H80,H87,H94,H101,H108,H117,H125)=0,"NO",SUM(H73,H80,H87,H94,H101,H108,H117,H125))</f>
        <v>1.0720176201731602</v>
      </c>
      <c r="I65" s="1938">
        <f>IF(SUM(I73,I80,I87,I94,I101,I108,I117,I125)=0,"NO",SUM(I73,I80,I87,I94,I101,I108,I117,I125))</f>
        <v>5.7673198901098894E-5</v>
      </c>
      <c r="J65" s="1938">
        <f>IF(SUM(J73,J80,J87,J94,J101,J108,J117,J125)=0,"NO",SUM(J73,J80,J87,J94,J101,J108,J117,J125))</f>
        <v>5.6747058827838831E-5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4925.725427043817</v>
      </c>
      <c r="D67" s="3055" t="s">
        <v>97</v>
      </c>
      <c r="E67" s="615"/>
      <c r="F67" s="615"/>
      <c r="G67" s="615"/>
      <c r="H67" s="1938">
        <f>IF(SUM(H68:H72)=0,"NO",SUM(H68:H72))</f>
        <v>272.56066574411807</v>
      </c>
      <c r="I67" s="1938">
        <f t="shared" ref="I67:K67" si="27">IF(SUM(I68:I73)=0,"NO",SUM(I68:I73))</f>
        <v>4.2298568702542068E-2</v>
      </c>
      <c r="J67" s="1938">
        <f t="shared" si="27"/>
        <v>6.586191345309275E-3</v>
      </c>
      <c r="K67" s="3044" t="str">
        <f t="shared" si="27"/>
        <v>NO</v>
      </c>
    </row>
    <row r="68" spans="2:11" ht="18" customHeight="1" x14ac:dyDescent="0.2">
      <c r="B68" s="158" t="s">
        <v>243</v>
      </c>
      <c r="C68" s="699">
        <v>1433.071068512277</v>
      </c>
      <c r="D68" s="3055" t="s">
        <v>97</v>
      </c>
      <c r="E68" s="1938">
        <f>IFERROR(H68*1000/$C68,"NA")</f>
        <v>64.904742231914383</v>
      </c>
      <c r="F68" s="1938">
        <f t="shared" ref="F68:G73" si="28">IFERROR(I68*1000000/$C68,"NA")</f>
        <v>27.249019531731658</v>
      </c>
      <c r="G68" s="1938">
        <f t="shared" si="28"/>
        <v>2.6144836627965238</v>
      </c>
      <c r="H68" s="699">
        <v>93.013108301803456</v>
      </c>
      <c r="I68" s="699">
        <v>3.9049781536250591E-2</v>
      </c>
      <c r="J68" s="699">
        <v>3.7467408962517058E-3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3492.3333585315399</v>
      </c>
      <c r="D70" s="3055" t="s">
        <v>97</v>
      </c>
      <c r="E70" s="1938">
        <f t="shared" si="29"/>
        <v>51.411918339265</v>
      </c>
      <c r="F70" s="1938">
        <f t="shared" si="28"/>
        <v>0.92999999999999994</v>
      </c>
      <c r="G70" s="1938">
        <f t="shared" si="28"/>
        <v>0.81299999999999983</v>
      </c>
      <c r="H70" s="699">
        <v>179.5475574423146</v>
      </c>
      <c r="I70" s="699">
        <v>3.2478700234343321E-3</v>
      </c>
      <c r="J70" s="699">
        <v>2.8392670204861413E-3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v>0.32100000000000001</v>
      </c>
      <c r="D73" s="3055" t="s">
        <v>97</v>
      </c>
      <c r="E73" s="1938">
        <f t="shared" si="29"/>
        <v>67.260000000000005</v>
      </c>
      <c r="F73" s="1938">
        <f t="shared" si="28"/>
        <v>2.8571428571428568</v>
      </c>
      <c r="G73" s="1938">
        <f t="shared" si="28"/>
        <v>0.5714285714285714</v>
      </c>
      <c r="H73" s="699">
        <v>2.1590460000000002E-2</v>
      </c>
      <c r="I73" s="699">
        <v>9.1714285714285709E-7</v>
      </c>
      <c r="J73" s="699">
        <v>1.8342857142857141E-7</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122464.48356000002</v>
      </c>
      <c r="D81" s="3056" t="s">
        <v>97</v>
      </c>
      <c r="E81" s="615"/>
      <c r="F81" s="615"/>
      <c r="G81" s="615"/>
      <c r="H81" s="1938">
        <f>IF(SUM(H82:H86)=0,"NO",SUM(H82:H86))</f>
        <v>8452.6327218928236</v>
      </c>
      <c r="I81" s="1938">
        <f t="shared" ref="I81:K81" si="33">IF(SUM(I82:I87)=0,"NO",SUM(I82:I87))</f>
        <v>0.40543606779479835</v>
      </c>
      <c r="J81" s="1938">
        <f t="shared" si="33"/>
        <v>0.39377016869572784</v>
      </c>
      <c r="K81" s="3044" t="str">
        <f t="shared" si="33"/>
        <v>NO</v>
      </c>
    </row>
    <row r="82" spans="2:11" ht="18" customHeight="1" x14ac:dyDescent="0.2">
      <c r="B82" s="158" t="s">
        <v>243</v>
      </c>
      <c r="C82" s="699">
        <v>110551.46600000001</v>
      </c>
      <c r="D82" s="3056" t="s">
        <v>97</v>
      </c>
      <c r="E82" s="1938">
        <f>IFERROR(H82*1000/$C82,"NA")</f>
        <v>69.692994934671816</v>
      </c>
      <c r="F82" s="1938">
        <f t="shared" ref="F82:G87" si="34">IFERROR(I82*1000000/$C82,"NA")</f>
        <v>3.4858427019812313</v>
      </c>
      <c r="G82" s="1938">
        <f t="shared" si="34"/>
        <v>3.4701310392091846</v>
      </c>
      <c r="H82" s="699">
        <v>7704.6627599585445</v>
      </c>
      <c r="I82" s="699">
        <v>0.38536502094942626</v>
      </c>
      <c r="J82" s="699">
        <v>0.38362807359667889</v>
      </c>
      <c r="K82" s="3072" t="s">
        <v>199</v>
      </c>
    </row>
    <row r="83" spans="2:11" ht="18" customHeight="1" x14ac:dyDescent="0.2">
      <c r="B83" s="158" t="s">
        <v>245</v>
      </c>
      <c r="C83" s="699">
        <v>3401.4830000000002</v>
      </c>
      <c r="D83" s="3056" t="s">
        <v>97</v>
      </c>
      <c r="E83" s="1938">
        <f t="shared" ref="E83:E87" si="35">IFERROR(H83*1000/$C83,"NA")</f>
        <v>91.40239536901673</v>
      </c>
      <c r="F83" s="1938">
        <f t="shared" si="34"/>
        <v>0.95238095238095255</v>
      </c>
      <c r="G83" s="1938">
        <f t="shared" si="34"/>
        <v>0.75923809523809527</v>
      </c>
      <c r="H83" s="699">
        <v>310.9036940069891</v>
      </c>
      <c r="I83" s="699">
        <v>3.2395076190476196E-3</v>
      </c>
      <c r="J83" s="699">
        <v>2.5825354739047622E-3</v>
      </c>
      <c r="K83" s="3072" t="s">
        <v>199</v>
      </c>
    </row>
    <row r="84" spans="2:11" ht="18" customHeight="1" x14ac:dyDescent="0.2">
      <c r="B84" s="158" t="s">
        <v>246</v>
      </c>
      <c r="C84" s="699">
        <v>8501.2635600000012</v>
      </c>
      <c r="D84" s="3056" t="s">
        <v>97</v>
      </c>
      <c r="E84" s="1938">
        <f t="shared" si="35"/>
        <v>51.411918339264993</v>
      </c>
      <c r="F84" s="1938">
        <f t="shared" si="34"/>
        <v>1.9754545454545449</v>
      </c>
      <c r="G84" s="1938">
        <f t="shared" si="34"/>
        <v>0.88481818181818161</v>
      </c>
      <c r="H84" s="699">
        <v>437.06626792728923</v>
      </c>
      <c r="I84" s="699">
        <v>1.6793859741709091E-2</v>
      </c>
      <c r="J84" s="699">
        <v>7.522072566316363E-3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10.271000000000001</v>
      </c>
      <c r="D87" s="3055" t="s">
        <v>97</v>
      </c>
      <c r="E87" s="1938">
        <f t="shared" si="35"/>
        <v>68.213017696612283</v>
      </c>
      <c r="F87" s="1938">
        <f t="shared" si="34"/>
        <v>3.6685312642765666</v>
      </c>
      <c r="G87" s="1938">
        <f t="shared" si="34"/>
        <v>3.6497964003348096</v>
      </c>
      <c r="H87" s="699">
        <v>0.70061590476190472</v>
      </c>
      <c r="I87" s="699">
        <v>3.7679484615384615E-5</v>
      </c>
      <c r="J87" s="699">
        <v>3.7487058827838829E-5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24388.336863234774</v>
      </c>
      <c r="D95" s="3056" t="s">
        <v>97</v>
      </c>
      <c r="E95" s="615"/>
      <c r="F95" s="615"/>
      <c r="G95" s="615"/>
      <c r="H95" s="1938">
        <f>IF(SUM(H96:H100)=0,"NO",SUM(H96:H100))</f>
        <v>1648.6139715412585</v>
      </c>
      <c r="I95" s="1938">
        <f t="shared" ref="I95:K95" si="41">IF(SUM(I96:I101)=0,"NO",SUM(I96:I101))</f>
        <v>8.1554331181962036E-2</v>
      </c>
      <c r="J95" s="1938">
        <f t="shared" si="41"/>
        <v>7.9092952111457754E-2</v>
      </c>
      <c r="K95" s="3044" t="str">
        <f t="shared" si="41"/>
        <v>NO</v>
      </c>
    </row>
    <row r="96" spans="2:11" ht="18" customHeight="1" x14ac:dyDescent="0.2">
      <c r="B96" s="158" t="s">
        <v>243</v>
      </c>
      <c r="C96" s="699">
        <v>21419.731439685002</v>
      </c>
      <c r="D96" s="3056" t="s">
        <v>97</v>
      </c>
      <c r="E96" s="1938">
        <f>IFERROR(H96*1000/$C96,"NA")</f>
        <v>69.837040062012207</v>
      </c>
      <c r="F96" s="1938">
        <f t="shared" ref="F96:G101" si="42">IFERROR(I96*1000000/$C96,"NA")</f>
        <v>3.6807740433264238</v>
      </c>
      <c r="G96" s="1938">
        <f t="shared" si="42"/>
        <v>3.565862281830479</v>
      </c>
      <c r="H96" s="699">
        <v>1495.890642670824</v>
      </c>
      <c r="I96" s="699">
        <v>7.8841191498215488E-2</v>
      </c>
      <c r="J96" s="699">
        <v>7.6379812427711205E-2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2963.4694235497723</v>
      </c>
      <c r="D98" s="3056" t="s">
        <v>97</v>
      </c>
      <c r="E98" s="1938">
        <f t="shared" si="43"/>
        <v>51.535314539367114</v>
      </c>
      <c r="F98" s="1938">
        <f t="shared" si="42"/>
        <v>0.90909090909090906</v>
      </c>
      <c r="G98" s="1938">
        <f t="shared" si="42"/>
        <v>0.90909090909090906</v>
      </c>
      <c r="H98" s="699">
        <v>152.72332887043447</v>
      </c>
      <c r="I98" s="699">
        <v>2.6940631123179748E-3</v>
      </c>
      <c r="J98" s="699">
        <v>2.6940631123179748E-3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5.1360000000000001</v>
      </c>
      <c r="D101" s="3055" t="s">
        <v>97</v>
      </c>
      <c r="E101" s="1938">
        <f t="shared" si="43"/>
        <v>68.109668109668092</v>
      </c>
      <c r="F101" s="1938">
        <f t="shared" si="42"/>
        <v>3.714285714285714</v>
      </c>
      <c r="G101" s="1938">
        <f t="shared" si="42"/>
        <v>3.714285714285714</v>
      </c>
      <c r="H101" s="699">
        <v>0.34981125541125535</v>
      </c>
      <c r="I101" s="699">
        <v>1.9076571428571428E-5</v>
      </c>
      <c r="J101" s="699">
        <v>1.9076571428571428E-5</v>
      </c>
      <c r="K101" s="3072" t="s">
        <v>199</v>
      </c>
    </row>
    <row r="102" spans="2:11" ht="18" customHeight="1" x14ac:dyDescent="0.2">
      <c r="B102" s="1241" t="s">
        <v>279</v>
      </c>
      <c r="C102" s="1938">
        <f>IF(SUM(C103:C108)=0,"NO",SUM(C103:C108))</f>
        <v>6516.7708332169586</v>
      </c>
      <c r="D102" s="3055" t="s">
        <v>97</v>
      </c>
      <c r="E102" s="615"/>
      <c r="F102" s="615"/>
      <c r="G102" s="615"/>
      <c r="H102" s="1938">
        <f>IF(SUM(H103:H107)=0,"NO",SUM(H103:H107))</f>
        <v>373.34346275612097</v>
      </c>
      <c r="I102" s="1938">
        <f t="shared" ref="I102:K102" si="47">IF(SUM(I103:I108)=0,"NO",SUM(I103:I108))</f>
        <v>5.8955125669174846E-3</v>
      </c>
      <c r="J102" s="1938">
        <f t="shared" si="47"/>
        <v>5.7787169649602234E-3</v>
      </c>
      <c r="K102" s="3044" t="str">
        <f t="shared" si="47"/>
        <v>NO</v>
      </c>
    </row>
    <row r="103" spans="2:11" ht="18" customHeight="1" x14ac:dyDescent="0.2">
      <c r="B103" s="158" t="s">
        <v>243</v>
      </c>
      <c r="C103" s="699">
        <v>907.70046341710133</v>
      </c>
      <c r="D103" s="3055" t="s">
        <v>97</v>
      </c>
      <c r="E103" s="1938">
        <f>IFERROR(H103*1000/$C103,"NA")</f>
        <v>67.133484084780505</v>
      </c>
      <c r="F103" s="1938">
        <f t="shared" ref="F103:G108" si="48">IFERROR(I103*1000000/$C103,"NA")</f>
        <v>0.80848591496823019</v>
      </c>
      <c r="G103" s="1938">
        <f t="shared" si="48"/>
        <v>1.2665952977897166</v>
      </c>
      <c r="H103" s="699">
        <v>60.937094614559868</v>
      </c>
      <c r="I103" s="699">
        <v>7.3386303968286178E-4</v>
      </c>
      <c r="J103" s="699">
        <v>1.1496891387656472E-3</v>
      </c>
      <c r="K103" s="3072" t="s">
        <v>199</v>
      </c>
    </row>
    <row r="104" spans="2:11" ht="18" customHeight="1" x14ac:dyDescent="0.2">
      <c r="B104" s="158" t="s">
        <v>245</v>
      </c>
      <c r="C104" s="699">
        <v>602.52703268796824</v>
      </c>
      <c r="D104" s="3055" t="s">
        <v>97</v>
      </c>
      <c r="E104" s="1938">
        <f t="shared" ref="E104:E108" si="49">IFERROR(H104*1000/$C104,"NA")</f>
        <v>91.299423839231608</v>
      </c>
      <c r="F104" s="1938">
        <f t="shared" si="48"/>
        <v>0.95238095238095222</v>
      </c>
      <c r="G104" s="1938">
        <f t="shared" si="48"/>
        <v>0.66666666666666663</v>
      </c>
      <c r="H104" s="699">
        <v>55.01037093197337</v>
      </c>
      <c r="I104" s="699">
        <v>5.738352692266364E-4</v>
      </c>
      <c r="J104" s="699">
        <v>4.0168468845864548E-4</v>
      </c>
      <c r="K104" s="3072" t="s">
        <v>199</v>
      </c>
    </row>
    <row r="105" spans="2:11" ht="18" customHeight="1" x14ac:dyDescent="0.2">
      <c r="B105" s="158" t="s">
        <v>246</v>
      </c>
      <c r="C105" s="699">
        <v>5006.5433371118888</v>
      </c>
      <c r="D105" s="3055" t="s">
        <v>97</v>
      </c>
      <c r="E105" s="1938">
        <f t="shared" si="49"/>
        <v>51.411918339265007</v>
      </c>
      <c r="F105" s="1938">
        <f t="shared" si="48"/>
        <v>0.9163636363636366</v>
      </c>
      <c r="G105" s="1938">
        <f t="shared" si="48"/>
        <v>0.84436363636363676</v>
      </c>
      <c r="H105" s="699">
        <v>257.39599720958773</v>
      </c>
      <c r="I105" s="699">
        <v>4.5878142580079865E-3</v>
      </c>
      <c r="J105" s="699">
        <v>4.2273431377359309E-3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2955.2943428150656</v>
      </c>
      <c r="D118" s="3055" t="s">
        <v>97</v>
      </c>
      <c r="E118" s="615"/>
      <c r="F118" s="615"/>
      <c r="G118" s="615"/>
      <c r="H118" s="1938">
        <f>H119</f>
        <v>160.6948258829872</v>
      </c>
      <c r="I118" s="1938">
        <f>I119</f>
        <v>3.3868431970110378E-2</v>
      </c>
      <c r="J118" s="1938">
        <f>J119</f>
        <v>3.270672264449668E-3</v>
      </c>
      <c r="K118" s="3044" t="str">
        <f>K119</f>
        <v>NO</v>
      </c>
    </row>
    <row r="119" spans="2:11" ht="18" customHeight="1" x14ac:dyDescent="0.2">
      <c r="B119" s="3069" t="s">
        <v>286</v>
      </c>
      <c r="C119" s="3077">
        <f>IF(SUM(C120:C125)=0,"NO",SUM(C120:C125))</f>
        <v>2955.2943428150656</v>
      </c>
      <c r="D119" s="3055" t="s">
        <v>97</v>
      </c>
      <c r="E119" s="615"/>
      <c r="F119" s="615"/>
      <c r="G119" s="615"/>
      <c r="H119" s="3077">
        <f>IF(SUM(H120:H124)=0,"NO",SUM(H120:H124))</f>
        <v>160.6948258829872</v>
      </c>
      <c r="I119" s="3077">
        <f t="shared" ref="I119" si="56">IF(SUM(I120:I125)=0,"NO",SUM(I120:I125))</f>
        <v>3.3868431970110378E-2</v>
      </c>
      <c r="J119" s="3077">
        <f t="shared" ref="J119" si="57">IF(SUM(J120:J125)=0,"NO",SUM(J120:J125))</f>
        <v>3.270672264449668E-3</v>
      </c>
      <c r="K119" s="3078" t="str">
        <f t="shared" ref="K119" si="58">IF(SUM(K120:K125)=0,"NO",SUM(K120:K125))</f>
        <v>NO</v>
      </c>
    </row>
    <row r="120" spans="2:11" ht="18" customHeight="1" x14ac:dyDescent="0.2">
      <c r="B120" s="158" t="s">
        <v>243</v>
      </c>
      <c r="C120" s="699">
        <v>837.52601855091143</v>
      </c>
      <c r="D120" s="3055" t="s">
        <v>97</v>
      </c>
      <c r="E120" s="1938">
        <f>IFERROR(H120*1000/$C120,"NA")</f>
        <v>61.841432917076602</v>
      </c>
      <c r="F120" s="1938">
        <f t="shared" ref="F120:G125" si="59">IFERROR(I120*1000000/$C120,"NA")</f>
        <v>38.13488449681887</v>
      </c>
      <c r="G120" s="1938">
        <f t="shared" si="59"/>
        <v>1.6184433240361593</v>
      </c>
      <c r="H120" s="699">
        <v>51.793809092522444</v>
      </c>
      <c r="I120" s="699">
        <v>3.1938957980519586E-2</v>
      </c>
      <c r="J120" s="699">
        <v>1.355488393430307E-3</v>
      </c>
      <c r="K120" s="3072" t="s">
        <v>199</v>
      </c>
    </row>
    <row r="121" spans="2:11" ht="18" customHeight="1" x14ac:dyDescent="0.2">
      <c r="B121" s="158" t="s">
        <v>245</v>
      </c>
      <c r="C121" s="699">
        <v>1.167</v>
      </c>
      <c r="D121" s="3055" t="s">
        <v>97</v>
      </c>
      <c r="E121" s="1938">
        <f t="shared" ref="E121:E125" si="60">IFERROR(H121*1000/$C121,"NA")</f>
        <v>69.7</v>
      </c>
      <c r="F121" s="1938">
        <f t="shared" si="59"/>
        <v>2.8571428571428572</v>
      </c>
      <c r="G121" s="1938">
        <f t="shared" si="59"/>
        <v>0.5714285714285714</v>
      </c>
      <c r="H121" s="699">
        <v>8.1339900000000007E-2</v>
      </c>
      <c r="I121" s="699">
        <v>3.3342857142857144E-6</v>
      </c>
      <c r="J121" s="699">
        <v>6.668571428571428E-7</v>
      </c>
      <c r="K121" s="3072" t="s">
        <v>199</v>
      </c>
    </row>
    <row r="122" spans="2:11" ht="18" customHeight="1" x14ac:dyDescent="0.2">
      <c r="B122" s="158" t="s">
        <v>246</v>
      </c>
      <c r="C122" s="699">
        <v>2116.6013242641543</v>
      </c>
      <c r="D122" s="3055" t="s">
        <v>97</v>
      </c>
      <c r="E122" s="1938">
        <f t="shared" si="60"/>
        <v>51.412458096375993</v>
      </c>
      <c r="F122" s="1938">
        <f t="shared" si="59"/>
        <v>0.91001535423593971</v>
      </c>
      <c r="G122" s="1938">
        <f t="shared" si="59"/>
        <v>0.90452415007445675</v>
      </c>
      <c r="H122" s="699">
        <v>108.81967689046476</v>
      </c>
      <c r="I122" s="699">
        <v>1.9261397038765036E-3</v>
      </c>
      <c r="J122" s="699">
        <v>1.9145170138765038E-3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4867.800124244819</v>
      </c>
      <c r="D10" s="695">
        <f t="shared" ref="D10:F10" si="0">SUM(D11:D16)</f>
        <v>28319.384248345872</v>
      </c>
      <c r="E10" s="695">
        <f t="shared" si="0"/>
        <v>1904.5359180585983</v>
      </c>
      <c r="F10" s="695">
        <f t="shared" si="0"/>
        <v>3503.9016775335872</v>
      </c>
      <c r="G10" s="696" t="s">
        <v>199</v>
      </c>
      <c r="H10" s="697" t="s">
        <v>2035</v>
      </c>
      <c r="I10" s="698" t="s">
        <v>2036</v>
      </c>
    </row>
    <row r="11" spans="2:9" ht="18" customHeight="1" x14ac:dyDescent="0.2">
      <c r="B11" s="1561" t="s">
        <v>1921</v>
      </c>
      <c r="C11" s="3696">
        <f>Table1!D10</f>
        <v>1298.9942524423438</v>
      </c>
      <c r="D11" s="3697">
        <f>Table1!G10</f>
        <v>2411.5458656527189</v>
      </c>
      <c r="E11" s="3697">
        <f>Table1!H10</f>
        <v>744.01905638427991</v>
      </c>
      <c r="F11" s="3697">
        <f>Table1!F10</f>
        <v>2499.0341473869494</v>
      </c>
      <c r="G11" s="3698" t="s">
        <v>199</v>
      </c>
      <c r="H11" s="3699" t="s">
        <v>221</v>
      </c>
      <c r="I11" s="3700" t="s">
        <v>221</v>
      </c>
    </row>
    <row r="12" spans="2:9" ht="18" customHeight="1" x14ac:dyDescent="0.2">
      <c r="B12" s="2419" t="s">
        <v>2037</v>
      </c>
      <c r="C12" s="3149">
        <f>'Table2(I)'!D10</f>
        <v>2.6007179785275616</v>
      </c>
      <c r="D12" s="699">
        <f>'Table2(I)'!L10</f>
        <v>15.078320432952427</v>
      </c>
      <c r="E12" s="699">
        <f>'Table2(I)'!M10</f>
        <v>236.99285335702208</v>
      </c>
      <c r="F12" s="699">
        <f>'Table2(I)'!K10</f>
        <v>6.1612072033099388</v>
      </c>
      <c r="G12" s="3125" t="s">
        <v>199</v>
      </c>
      <c r="H12" s="3701" t="s">
        <v>199</v>
      </c>
      <c r="I12" s="2921" t="s">
        <v>199</v>
      </c>
    </row>
    <row r="13" spans="2:9" ht="18" customHeight="1" x14ac:dyDescent="0.2">
      <c r="B13" s="2419" t="s">
        <v>2038</v>
      </c>
      <c r="C13" s="3149">
        <f>Table3!D10</f>
        <v>2390.6462979289076</v>
      </c>
      <c r="D13" s="699">
        <f>Table3!G10</f>
        <v>345.20827867991829</v>
      </c>
      <c r="E13" s="699">
        <f>Table3!H10</f>
        <v>20.137149589661902</v>
      </c>
      <c r="F13" s="699">
        <f>Table3!F10</f>
        <v>21.49924125390076</v>
      </c>
      <c r="G13" s="3702"/>
      <c r="H13" s="3701" t="s">
        <v>221</v>
      </c>
      <c r="I13" s="2921" t="s">
        <v>274</v>
      </c>
    </row>
    <row r="14" spans="2:9" ht="18" customHeight="1" x14ac:dyDescent="0.2">
      <c r="B14" s="2419" t="s">
        <v>2039</v>
      </c>
      <c r="C14" s="3149">
        <f>Table4!D10</f>
        <v>716.15556938461111</v>
      </c>
      <c r="D14" s="699">
        <f>Table4!G10</f>
        <v>25547.551783580282</v>
      </c>
      <c r="E14" s="3125">
        <f>Table4!H10</f>
        <v>649.88541874072564</v>
      </c>
      <c r="F14" s="3125">
        <f>Table4!F10</f>
        <v>977.2070816894269</v>
      </c>
      <c r="G14" s="3702"/>
      <c r="H14" s="3703" t="s">
        <v>221</v>
      </c>
      <c r="I14" s="2921" t="s">
        <v>221</v>
      </c>
    </row>
    <row r="15" spans="2:9" ht="18" customHeight="1" x14ac:dyDescent="0.2">
      <c r="B15" s="2419" t="s">
        <v>2040</v>
      </c>
      <c r="C15" s="3149">
        <f>Table5!D10</f>
        <v>459.4032865104287</v>
      </c>
      <c r="D15" s="699" t="str">
        <f>Table5!G10</f>
        <v>NO</v>
      </c>
      <c r="E15" s="3125">
        <f>Table5!H10</f>
        <v>253.50143998690862</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2014</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389471.72227860283</v>
      </c>
      <c r="D10" s="3840">
        <f>SUM(D11,D22,D30,D41,D50,D56)</f>
        <v>372214.73728483124</v>
      </c>
      <c r="E10" s="3842">
        <f>IF(D10="NO",IF(C10="NO","NA",-C10),IF(C10="NO",D10,D10-C10))</f>
        <v>-17256.984993771592</v>
      </c>
      <c r="F10" s="3840">
        <f>IF(E10="NA","NA",E10/C10*100)</f>
        <v>-4.4308698184324316</v>
      </c>
      <c r="G10" s="3843">
        <f>IF(E10="NA","NA",E10/Table8s2!$G$35*100)</f>
        <v>-3.2310882011477418</v>
      </c>
      <c r="H10" s="3844">
        <f>IF(E10="NA","NA",E10/Table8s2!$G$34*100)</f>
        <v>-3.2057156505315989</v>
      </c>
      <c r="I10" s="4488">
        <f>SUM(I11,I22,I30,I41,I50,I56)</f>
        <v>135298.48807745604</v>
      </c>
      <c r="J10" s="3840">
        <f>SUM(J11,J22,J30,J41,J50,J56)</f>
        <v>136298.40347885492</v>
      </c>
      <c r="K10" s="3842">
        <f t="shared" ref="K10:K12" si="0">IF(J10="NO",IF(I10="NO","NA",-I10),IF(I10="NO",J10,J10-I10))</f>
        <v>999.91540139887366</v>
      </c>
      <c r="L10" s="3840">
        <f t="shared" ref="L10:L12" si="1">IF(K10="NA","NA",K10/I10*100)</f>
        <v>0.73904403190850099</v>
      </c>
      <c r="M10" s="3843">
        <f>IF(K10="NA","NA",K10/Table8s2!$G$35*100)</f>
        <v>0.18721780524071135</v>
      </c>
      <c r="N10" s="3844">
        <f>IF(K10="NA","NA",K10/Table8s2!$G$34*100)</f>
        <v>0.18574765247978522</v>
      </c>
      <c r="O10" s="4488">
        <f>SUM(O11,O22,O30,O41,O50,O56)</f>
        <v>21927.908506415071</v>
      </c>
      <c r="P10" s="3840">
        <f>SUM(P11,P22,P30,P41,P50,P56)</f>
        <v>20693.480404516056</v>
      </c>
      <c r="Q10" s="3842">
        <f t="shared" ref="Q10:Q12" si="2">IF(P10="NO",IF(O10="NO","NA",-O10),IF(O10="NO",P10,P10-O10))</f>
        <v>-1234.428101899015</v>
      </c>
      <c r="R10" s="3840">
        <f t="shared" ref="R10:R12" si="3">IF(Q10="NA","NA",Q10/O10*100)</f>
        <v>-5.62948400454097</v>
      </c>
      <c r="S10" s="3843">
        <f>IF(Q10="NA","NA",Q10/Table8s2!$G$35*100)</f>
        <v>-0.23112647294128486</v>
      </c>
      <c r="T10" s="3844">
        <f>IF(Q10="NA","NA",Q10/Table8s2!$G$34*100)</f>
        <v>-0.22931152151676165</v>
      </c>
    </row>
    <row r="11" spans="2:20" ht="18" customHeight="1" x14ac:dyDescent="0.2">
      <c r="B11" s="1404" t="s">
        <v>1921</v>
      </c>
      <c r="C11" s="3841">
        <f>SUM(C12,C18,C21)</f>
        <v>371356.50764914241</v>
      </c>
      <c r="D11" s="3841">
        <f>Summary2!C11</f>
        <v>371036.04992430686</v>
      </c>
      <c r="E11" s="3845">
        <f t="shared" ref="E11:E38" si="4">IF(D11="NO",IF(C11="NO","NA",-C11),IF(C11="NO",D11,D11-C11))</f>
        <v>-320.45772483554902</v>
      </c>
      <c r="F11" s="3841">
        <f t="shared" ref="F11:F38" si="5">IF(E11="NA","NA",E11/C11*100)</f>
        <v>-8.6293822306816134E-2</v>
      </c>
      <c r="G11" s="3846">
        <f>IF(E11="NA","NA",E11/Table8s2!$G$35*100)</f>
        <v>-6.0000467871792161E-2</v>
      </c>
      <c r="H11" s="3847">
        <f>IF(E11="NA","NA",E11/Table8s2!$G$34*100)</f>
        <v>-5.952930620324702E-2</v>
      </c>
      <c r="I11" s="3848">
        <f>SUM(I12,I18,I21)</f>
        <v>36093.997737116886</v>
      </c>
      <c r="J11" s="3841">
        <f>Summary2!D11</f>
        <v>36371.839068385627</v>
      </c>
      <c r="K11" s="3845">
        <f t="shared" si="0"/>
        <v>277.84133126874076</v>
      </c>
      <c r="L11" s="3841">
        <f t="shared" si="1"/>
        <v>0.76977156504618915</v>
      </c>
      <c r="M11" s="3846">
        <f>IF(K11="NA","NA",K11/Table8s2!$G$35*100)</f>
        <v>5.2021245169861292E-2</v>
      </c>
      <c r="N11" s="3847">
        <f>IF(K11="NA","NA",K11/Table8s2!$G$34*100)</f>
        <v>5.161274141075059E-2</v>
      </c>
      <c r="O11" s="3848">
        <f>SUM(O12,O18,O21)</f>
        <v>3115.8874733933549</v>
      </c>
      <c r="P11" s="3841">
        <f>Summary2!E11</f>
        <v>3114.5028192180157</v>
      </c>
      <c r="Q11" s="3845">
        <f t="shared" si="2"/>
        <v>-1.3846541753391648</v>
      </c>
      <c r="R11" s="3841">
        <f t="shared" si="3"/>
        <v>-4.4438516703917047E-2</v>
      </c>
      <c r="S11" s="3846">
        <f>IF(Q11="NA","NA",Q11/Table8s2!$G$35*100)</f>
        <v>-2.5925384823728302E-4</v>
      </c>
      <c r="T11" s="3847">
        <f>IF(Q11="NA","NA",Q11/Table8s2!$G$34*100)</f>
        <v>-2.5721802285050044E-4</v>
      </c>
    </row>
    <row r="12" spans="2:20" ht="18" customHeight="1" x14ac:dyDescent="0.2">
      <c r="B12" s="606" t="s">
        <v>242</v>
      </c>
      <c r="C12" s="3841">
        <f>SUM(C13:C17)</f>
        <v>362083.79998832312</v>
      </c>
      <c r="D12" s="3841">
        <f>Summary2!C12</f>
        <v>361755.42857504578</v>
      </c>
      <c r="E12" s="3841">
        <f t="shared" si="4"/>
        <v>-328.37141327734571</v>
      </c>
      <c r="F12" s="3849">
        <f t="shared" si="5"/>
        <v>-9.0689341331463988E-2</v>
      </c>
      <c r="G12" s="3846">
        <f>IF(E12="NA","NA",E12/Table8s2!$G$35*100)</f>
        <v>-6.1482176603710123E-2</v>
      </c>
      <c r="H12" s="3847">
        <f>IF(E12="NA","NA",E12/Table8s2!$G$34*100)</f>
        <v>-6.0999379619921773E-2</v>
      </c>
      <c r="I12" s="3848">
        <f>SUM(I13:I17)</f>
        <v>2297.2456963792019</v>
      </c>
      <c r="J12" s="3841">
        <f>Summary2!D12</f>
        <v>2297.6049007608281</v>
      </c>
      <c r="K12" s="3841">
        <f t="shared" si="0"/>
        <v>0.3592043816261139</v>
      </c>
      <c r="L12" s="3849">
        <f t="shared" si="1"/>
        <v>1.5636306651581632E-2</v>
      </c>
      <c r="M12" s="3846">
        <f>IF(K12="NA","NA",K12/Table8s2!$G$35*100)</f>
        <v>6.7255145652128669E-5</v>
      </c>
      <c r="N12" s="3847">
        <f>IF(K12="NA","NA",K12/Table8s2!$G$34*100)</f>
        <v>6.6727015659685706E-5</v>
      </c>
      <c r="O12" s="3850">
        <f>SUM(O13:O17)</f>
        <v>3084.4944895814842</v>
      </c>
      <c r="P12" s="3849">
        <f>Summary2!E12</f>
        <v>3083.1098354061455</v>
      </c>
      <c r="Q12" s="3841">
        <f t="shared" si="2"/>
        <v>-1.38465417533871</v>
      </c>
      <c r="R12" s="3849">
        <f t="shared" si="3"/>
        <v>-4.4890797503956151E-2</v>
      </c>
      <c r="S12" s="3846">
        <f>IF(Q12="NA","NA",Q12/Table8s2!$G$35*100)</f>
        <v>-2.5925384823719791E-4</v>
      </c>
      <c r="T12" s="3847">
        <f>IF(Q12="NA","NA",Q12/Table8s2!$G$34*100)</f>
        <v>-2.5721802285041593E-4</v>
      </c>
    </row>
    <row r="13" spans="2:20" ht="18" customHeight="1" x14ac:dyDescent="0.2">
      <c r="B13" s="1391" t="s">
        <v>1923</v>
      </c>
      <c r="C13" s="3849">
        <v>203812.67589945492</v>
      </c>
      <c r="D13" s="3841">
        <f>Summary2!C13</f>
        <v>203661.98819126311</v>
      </c>
      <c r="E13" s="3841">
        <f t="shared" si="4"/>
        <v>-150.68770819180645</v>
      </c>
      <c r="F13" s="3849">
        <f t="shared" si="5"/>
        <v>-7.3934414298227391E-2</v>
      </c>
      <c r="G13" s="3846">
        <f>IF(E13="NA","NA",E13/Table8s2!$G$35*100)</f>
        <v>-2.8213808853184186E-2</v>
      </c>
      <c r="H13" s="3847">
        <f>IF(E13="NA","NA",E13/Table8s2!$G$34*100)</f>
        <v>-2.7992256159900451E-2</v>
      </c>
      <c r="I13" s="3848">
        <v>726.04915248687541</v>
      </c>
      <c r="J13" s="3841">
        <f>Summary2!D13</f>
        <v>725.76846100990372</v>
      </c>
      <c r="K13" s="3841">
        <f t="shared" ref="K13" si="6">IF(J13="NO",IF(I13="NO","NA",-I13),IF(I13="NO",J13,J13-I13))</f>
        <v>-0.28069147697169683</v>
      </c>
      <c r="L13" s="3849">
        <f t="shared" ref="L13" si="7">IF(K13="NA","NA",K13/I13*100)</f>
        <v>-3.8660120462955957E-2</v>
      </c>
      <c r="M13" s="3846">
        <f>IF(K13="NA","NA",K13/Table8s2!$G$35*100)</f>
        <v>-5.2554888338450541E-5</v>
      </c>
      <c r="N13" s="3847">
        <f>IF(K13="NA","NA",K13/Table8s2!$G$34*100)</f>
        <v>-5.2142194075254805E-5</v>
      </c>
      <c r="O13" s="3850">
        <v>1036.2972626830308</v>
      </c>
      <c r="P13" s="3849">
        <f>Summary2!E13</f>
        <v>1035.5905286121069</v>
      </c>
      <c r="Q13" s="3841">
        <f t="shared" ref="Q13" si="8">IF(P13="NO",IF(O13="NO","NA",-O13),IF(O13="NO",P13,P13-O13))</f>
        <v>-0.70673407092385787</v>
      </c>
      <c r="R13" s="3849">
        <f t="shared" ref="R13" si="9">IF(Q13="NA","NA",Q13/O13*100)</f>
        <v>-6.8198006148745813E-2</v>
      </c>
      <c r="S13" s="3846">
        <f>IF(Q13="NA","NA",Q13/Table8s2!$G$35*100)</f>
        <v>-1.3232439610600337E-4</v>
      </c>
      <c r="T13" s="3847">
        <f>IF(Q13="NA","NA",Q13/Table8s2!$G$34*100)</f>
        <v>-1.3128530115441475E-4</v>
      </c>
    </row>
    <row r="14" spans="2:20" ht="18" customHeight="1" x14ac:dyDescent="0.2">
      <c r="B14" s="1391" t="s">
        <v>1976</v>
      </c>
      <c r="C14" s="3849">
        <v>45880.881345598231</v>
      </c>
      <c r="D14" s="3841">
        <f>Summary2!C14</f>
        <v>45733.231352848219</v>
      </c>
      <c r="E14" s="3841">
        <f t="shared" si="4"/>
        <v>-147.64999275001173</v>
      </c>
      <c r="F14" s="3849">
        <f t="shared" si="5"/>
        <v>-0.32181158778933777</v>
      </c>
      <c r="G14" s="3846">
        <f>IF(E14="NA","NA",E14/Table8s2!$G$35*100)</f>
        <v>-2.7645046318710779E-2</v>
      </c>
      <c r="H14" s="3847">
        <f>IF(E14="NA","NA",E14/Table8s2!$G$34*100)</f>
        <v>-2.7427959909012044E-2</v>
      </c>
      <c r="I14" s="3848">
        <v>68.70204743521596</v>
      </c>
      <c r="J14" s="3841">
        <f>Summary2!D14</f>
        <v>68.673455433172336</v>
      </c>
      <c r="K14" s="3841">
        <f t="shared" ref="K14:K20" si="10">IF(J14="NO",IF(I14="NO","NA",-I14),IF(I14="NO",J14,J14-I14))</f>
        <v>-2.8592002043623665E-2</v>
      </c>
      <c r="L14" s="3849">
        <f t="shared" ref="L14:L20" si="11">IF(K14="NA","NA",K14/I14*100)</f>
        <v>-4.1617394402379486E-2</v>
      </c>
      <c r="M14" s="3846">
        <f>IF(K14="NA","NA",K14/Table8s2!$G$35*100)</f>
        <v>-5.3533847589070506E-6</v>
      </c>
      <c r="N14" s="3847">
        <f>IF(K14="NA","NA",K14/Table8s2!$G$34*100)</f>
        <v>-5.3113465917920813E-6</v>
      </c>
      <c r="O14" s="3850">
        <v>391.64642242498132</v>
      </c>
      <c r="P14" s="3849">
        <f>Summary2!E14</f>
        <v>391.42364838097285</v>
      </c>
      <c r="Q14" s="3841">
        <f t="shared" ref="Q14:Q20" si="12">IF(P14="NO",IF(O14="NO","NA",-O14),IF(O14="NO",P14,P14-O14))</f>
        <v>-0.22277404400847445</v>
      </c>
      <c r="R14" s="3849">
        <f t="shared" ref="R14:R20" si="13">IF(Q14="NA","NA",Q14/O14*100)</f>
        <v>-5.6881419375443457E-2</v>
      </c>
      <c r="S14" s="3846">
        <f>IF(Q14="NA","NA",Q14/Table8s2!$G$35*100)</f>
        <v>-4.1710796258879597E-5</v>
      </c>
      <c r="T14" s="3847">
        <f>IF(Q14="NA","NA",Q14/Table8s2!$G$34*100)</f>
        <v>-4.1383256673627136E-5</v>
      </c>
    </row>
    <row r="15" spans="2:20" ht="18" customHeight="1" x14ac:dyDescent="0.2">
      <c r="B15" s="1391" t="s">
        <v>1925</v>
      </c>
      <c r="C15" s="3849">
        <v>91221.431392901024</v>
      </c>
      <c r="D15" s="3841">
        <f>Summary2!C15</f>
        <v>91191.407059096789</v>
      </c>
      <c r="E15" s="3841">
        <f t="shared" si="4"/>
        <v>-30.024333804234629</v>
      </c>
      <c r="F15" s="3849">
        <f t="shared" si="5"/>
        <v>-3.2913684148318641E-2</v>
      </c>
      <c r="G15" s="3846">
        <f>IF(E15="NA","NA",E15/Table8s2!$G$35*100)</f>
        <v>-5.6215654552169573E-3</v>
      </c>
      <c r="H15" s="3847">
        <f>IF(E15="NA","NA",E15/Table8s2!$G$34*100)</f>
        <v>-5.5774213634512829E-3</v>
      </c>
      <c r="I15" s="3848">
        <v>424.22225484190534</v>
      </c>
      <c r="J15" s="3841">
        <f>Summary2!D15</f>
        <v>424.50329802529433</v>
      </c>
      <c r="K15" s="3841">
        <f t="shared" si="10"/>
        <v>0.28104318338898793</v>
      </c>
      <c r="L15" s="3849">
        <f t="shared" si="11"/>
        <v>6.6249042849891054E-2</v>
      </c>
      <c r="M15" s="3846">
        <f>IF(K15="NA","NA",K15/Table8s2!$G$35*100)</f>
        <v>5.262073961291055E-5</v>
      </c>
      <c r="N15" s="3847">
        <f>IF(K15="NA","NA",K15/Table8s2!$G$34*100)</f>
        <v>5.2207528243807966E-5</v>
      </c>
      <c r="O15" s="3850">
        <v>1474.6283604546882</v>
      </c>
      <c r="P15" s="3849">
        <f>Summary2!E15</f>
        <v>1474.1314895860744</v>
      </c>
      <c r="Q15" s="3841">
        <f t="shared" si="12"/>
        <v>-0.49687086861376883</v>
      </c>
      <c r="R15" s="3849">
        <f t="shared" si="13"/>
        <v>-3.3694650254831884E-2</v>
      </c>
      <c r="S15" s="3846">
        <f>IF(Q15="NA","NA",Q15/Table8s2!$G$35*100)</f>
        <v>-9.3030943797622393E-5</v>
      </c>
      <c r="T15" s="3847">
        <f>IF(Q15="NA","NA",Q15/Table8s2!$G$34*100)</f>
        <v>-9.2300405915823246E-5</v>
      </c>
    </row>
    <row r="16" spans="2:20" ht="18" customHeight="1" x14ac:dyDescent="0.2">
      <c r="B16" s="1391" t="s">
        <v>1926</v>
      </c>
      <c r="C16" s="3849">
        <v>20151.753283622373</v>
      </c>
      <c r="D16" s="3841">
        <f>Summary2!C16</f>
        <v>20151.743905091054</v>
      </c>
      <c r="E16" s="3841">
        <f t="shared" si="4"/>
        <v>-9.3785313183616381E-3</v>
      </c>
      <c r="F16" s="3849">
        <f t="shared" si="5"/>
        <v>-4.6539530265010283E-5</v>
      </c>
      <c r="G16" s="3846">
        <f>IF(E16="NA","NA",E16/Table8s2!$G$35*100)</f>
        <v>-1.7559766029691629E-6</v>
      </c>
      <c r="H16" s="3847">
        <f>IF(E16="NA","NA",E16/Table8s2!$G$34*100)</f>
        <v>-1.7421875627245259E-6</v>
      </c>
      <c r="I16" s="3848">
        <v>1077.3324567354609</v>
      </c>
      <c r="J16" s="3841">
        <f>Summary2!D16</f>
        <v>1077.7199510802532</v>
      </c>
      <c r="K16" s="3841">
        <f t="shared" si="10"/>
        <v>0.38749434479223055</v>
      </c>
      <c r="L16" s="3849">
        <f t="shared" si="11"/>
        <v>3.5967944933768932E-2</v>
      </c>
      <c r="M16" s="3846">
        <f>IF(K16="NA","NA",K16/Table8s2!$G$35*100)</f>
        <v>7.255197857108494E-5</v>
      </c>
      <c r="N16" s="3847">
        <f>IF(K16="NA","NA",K16/Table8s2!$G$34*100)</f>
        <v>7.1982254492385298E-5</v>
      </c>
      <c r="O16" s="3850">
        <v>174.35394066934126</v>
      </c>
      <c r="P16" s="3849">
        <f>Summary2!E16</f>
        <v>174.39566725586334</v>
      </c>
      <c r="Q16" s="3841">
        <f t="shared" si="12"/>
        <v>4.1726586522088382E-2</v>
      </c>
      <c r="R16" s="3849">
        <f t="shared" si="13"/>
        <v>2.3932115535732004E-2</v>
      </c>
      <c r="S16" s="3846">
        <f>IF(Q16="NA","NA",Q16/Table8s2!$G$35*100)</f>
        <v>7.8126208856500908E-6</v>
      </c>
      <c r="T16" s="3847">
        <f>IF(Q16="NA","NA",Q16/Table8s2!$G$34*100)</f>
        <v>7.7512712391763482E-6</v>
      </c>
    </row>
    <row r="17" spans="2:20" ht="18" customHeight="1" x14ac:dyDescent="0.2">
      <c r="B17" s="1391" t="s">
        <v>1927</v>
      </c>
      <c r="C17" s="3849">
        <v>1017.0580667465537</v>
      </c>
      <c r="D17" s="3841">
        <f>Summary2!C17</f>
        <v>1017.0580667465537</v>
      </c>
      <c r="E17" s="3841">
        <f t="shared" si="4"/>
        <v>0</v>
      </c>
      <c r="F17" s="3849">
        <f t="shared" si="5"/>
        <v>0</v>
      </c>
      <c r="G17" s="3846">
        <f>IF(E17="NA","NA",E17/Table8s2!$G$35*100)</f>
        <v>0</v>
      </c>
      <c r="H17" s="3847">
        <f>IF(E17="NA","NA",E17/Table8s2!$G$34*100)</f>
        <v>0</v>
      </c>
      <c r="I17" s="3848">
        <v>0.93978487974435854</v>
      </c>
      <c r="J17" s="3841">
        <f>Summary2!D17</f>
        <v>0.93973521220449241</v>
      </c>
      <c r="K17" s="3841">
        <f t="shared" si="10"/>
        <v>-4.9667539866127264E-5</v>
      </c>
      <c r="L17" s="3849">
        <f t="shared" si="11"/>
        <v>-5.2849903139150197E-3</v>
      </c>
      <c r="M17" s="3846">
        <f>IF(K17="NA","NA",K17/Table8s2!$G$35*100)</f>
        <v>-9.2994345245939282E-9</v>
      </c>
      <c r="N17" s="3847">
        <f>IF(K17="NA","NA",K17/Table8s2!$G$34*100)</f>
        <v>-9.2264094759143675E-9</v>
      </c>
      <c r="O17" s="3850">
        <v>7.5685033494421656</v>
      </c>
      <c r="P17" s="3849">
        <f>Summary2!E17</f>
        <v>7.5685015711277117</v>
      </c>
      <c r="Q17" s="3841">
        <f t="shared" si="12"/>
        <v>-1.7783144539151863E-6</v>
      </c>
      <c r="R17" s="3849">
        <f t="shared" si="13"/>
        <v>-2.3496249810687557E-5</v>
      </c>
      <c r="S17" s="3846">
        <f>IF(Q17="NA","NA",Q17/Table8s2!$G$35*100)</f>
        <v>-3.3296029706519762E-10</v>
      </c>
      <c r="T17" s="3847">
        <f>IF(Q17="NA","NA",Q17/Table8s2!$G$34*100)</f>
        <v>-3.3034568196819974E-10</v>
      </c>
    </row>
    <row r="18" spans="2:20" ht="18" customHeight="1" x14ac:dyDescent="0.2">
      <c r="B18" s="606" t="s">
        <v>201</v>
      </c>
      <c r="C18" s="3849">
        <f>SUM(C19:C20)</f>
        <v>9272.7076608192638</v>
      </c>
      <c r="D18" s="3841">
        <f>Summary2!C18</f>
        <v>9280.6213492610786</v>
      </c>
      <c r="E18" s="3841">
        <f t="shared" si="4"/>
        <v>7.9136884418148838</v>
      </c>
      <c r="F18" s="3849">
        <f t="shared" si="5"/>
        <v>8.5343879385449031E-2</v>
      </c>
      <c r="G18" s="3846">
        <f>IF(E18="NA","NA",E18/Table8s2!$G$35*100)</f>
        <v>1.4817087319213646E-3</v>
      </c>
      <c r="H18" s="3847">
        <f>IF(E18="NA","NA",E18/Table8s2!$G$34*100)</f>
        <v>1.4700734166781283E-3</v>
      </c>
      <c r="I18" s="3848">
        <f>SUM(I19:I20)</f>
        <v>33796.752040737687</v>
      </c>
      <c r="J18" s="3841">
        <f>Summary2!D18</f>
        <v>34074.234167624796</v>
      </c>
      <c r="K18" s="3841">
        <f t="shared" si="10"/>
        <v>277.48212688710919</v>
      </c>
      <c r="L18" s="3849">
        <f t="shared" si="11"/>
        <v>0.82103193393447926</v>
      </c>
      <c r="M18" s="3846">
        <f>IF(K18="NA","NA",K18/Table8s2!$G$35*100)</f>
        <v>5.1953990024208148E-2</v>
      </c>
      <c r="N18" s="3847">
        <f>IF(K18="NA","NA",K18/Table8s2!$G$34*100)</f>
        <v>5.1546014395089899E-2</v>
      </c>
      <c r="O18" s="3850">
        <f>SUM(O19:O20)</f>
        <v>31.392983811870607</v>
      </c>
      <c r="P18" s="3849">
        <f>Summary2!E18</f>
        <v>31.392983811870611</v>
      </c>
      <c r="Q18" s="3841">
        <f t="shared" si="12"/>
        <v>3.5527136788005009E-15</v>
      </c>
      <c r="R18" s="3849">
        <f t="shared" si="13"/>
        <v>1.131690348420183E-14</v>
      </c>
      <c r="S18" s="3846">
        <f>IF(Q18="NA","NA",Q18/Table8s2!$G$35*100)</f>
        <v>6.6518753152833732E-19</v>
      </c>
      <c r="T18" s="3847">
        <f>IF(Q18="NA","NA",Q18/Table8s2!$G$34*100)</f>
        <v>6.5996405780609886E-19</v>
      </c>
    </row>
    <row r="19" spans="2:20" ht="18" customHeight="1" x14ac:dyDescent="0.2">
      <c r="B19" s="1391" t="s">
        <v>1928</v>
      </c>
      <c r="C19" s="3849">
        <v>1837.8700527484675</v>
      </c>
      <c r="D19" s="3841">
        <f>Summary2!C19</f>
        <v>1837.8700527484677</v>
      </c>
      <c r="E19" s="3841">
        <f t="shared" si="4"/>
        <v>2.2737367544323206E-13</v>
      </c>
      <c r="F19" s="3849">
        <f t="shared" si="5"/>
        <v>1.2371586070691072E-14</v>
      </c>
      <c r="G19" s="3846">
        <f>IF(E19="NA","NA",E19/Table8s2!$G$35*100)</f>
        <v>4.2572002017813589E-17</v>
      </c>
      <c r="H19" s="3847">
        <f>IF(E19="NA","NA",E19/Table8s2!$G$34*100)</f>
        <v>4.2237699699590327E-17</v>
      </c>
      <c r="I19" s="3848">
        <v>27834.785566266528</v>
      </c>
      <c r="J19" s="3841">
        <f>Summary2!D19</f>
        <v>27834.785566266528</v>
      </c>
      <c r="K19" s="3841">
        <f t="shared" si="10"/>
        <v>0</v>
      </c>
      <c r="L19" s="3849">
        <f t="shared" si="11"/>
        <v>0</v>
      </c>
      <c r="M19" s="3846">
        <f>IF(K19="NA","NA",K19/Table8s2!$G$35*100)</f>
        <v>0</v>
      </c>
      <c r="N19" s="3847">
        <f>IF(K19="NA","NA",K19/Table8s2!$G$34*100)</f>
        <v>0</v>
      </c>
      <c r="O19" s="3850">
        <v>0.3889235366231662</v>
      </c>
      <c r="P19" s="3849">
        <f>Summary2!E19</f>
        <v>0.3889235366231662</v>
      </c>
      <c r="Q19" s="3841">
        <f t="shared" si="12"/>
        <v>0</v>
      </c>
      <c r="R19" s="3849">
        <f t="shared" si="13"/>
        <v>0</v>
      </c>
      <c r="S19" s="3846">
        <f>IF(Q19="NA","NA",Q19/Table8s2!$G$35*100)</f>
        <v>0</v>
      </c>
      <c r="T19" s="3847">
        <f>IF(Q19="NA","NA",Q19/Table8s2!$G$34*100)</f>
        <v>0</v>
      </c>
    </row>
    <row r="20" spans="2:20" ht="18" customHeight="1" x14ac:dyDescent="0.2">
      <c r="B20" s="1392" t="s">
        <v>1929</v>
      </c>
      <c r="C20" s="3851">
        <v>7434.8376080707958</v>
      </c>
      <c r="D20" s="3852">
        <f>Summary2!C20</f>
        <v>7442.7512965126107</v>
      </c>
      <c r="E20" s="3852">
        <f t="shared" si="4"/>
        <v>7.9136884418148838</v>
      </c>
      <c r="F20" s="3851">
        <f t="shared" si="5"/>
        <v>0.10644063608362177</v>
      </c>
      <c r="G20" s="3853">
        <f>IF(E20="NA","NA",E20/Table8s2!$G$35*100)</f>
        <v>1.4817087319213646E-3</v>
      </c>
      <c r="H20" s="3854">
        <f>IF(E20="NA","NA",E20/Table8s2!$G$34*100)</f>
        <v>1.4700734166781283E-3</v>
      </c>
      <c r="I20" s="3855">
        <v>5961.9664744711627</v>
      </c>
      <c r="J20" s="3852">
        <f>Summary2!D20</f>
        <v>6239.4486013582691</v>
      </c>
      <c r="K20" s="3841">
        <f t="shared" si="10"/>
        <v>277.48212688710646</v>
      </c>
      <c r="L20" s="3849">
        <f t="shared" si="11"/>
        <v>4.6542047506518331</v>
      </c>
      <c r="M20" s="3846">
        <f>IF(K20="NA","NA",K20/Table8s2!$G$35*100)</f>
        <v>5.1953990024207634E-2</v>
      </c>
      <c r="N20" s="3847">
        <f>IF(K20="NA","NA",K20/Table8s2!$G$34*100)</f>
        <v>5.1546014395089386E-2</v>
      </c>
      <c r="O20" s="3856">
        <v>31.00406027524744</v>
      </c>
      <c r="P20" s="3851">
        <f>Summary2!E20</f>
        <v>31.004060275247443</v>
      </c>
      <c r="Q20" s="3841">
        <f t="shared" si="12"/>
        <v>3.5527136788005009E-15</v>
      </c>
      <c r="R20" s="3849">
        <f t="shared" si="13"/>
        <v>1.1458865862278249E-14</v>
      </c>
      <c r="S20" s="3846">
        <f>IF(Q20="NA","NA",Q20/Table8s2!$G$35*100)</f>
        <v>6.6518753152833732E-19</v>
      </c>
      <c r="T20" s="3847">
        <f>IF(Q20="NA","NA",Q20/Table8s2!$G$34*100)</f>
        <v>6.5996405780609886E-19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19170.454777412677</v>
      </c>
      <c r="D22" s="3841">
        <f>Summary2!C22</f>
        <v>19170.429333493204</v>
      </c>
      <c r="E22" s="3863">
        <f t="shared" si="4"/>
        <v>-2.5443919472309062E-2</v>
      </c>
      <c r="F22" s="3863">
        <f t="shared" si="5"/>
        <v>-1.3272465242863203E-4</v>
      </c>
      <c r="G22" s="3864">
        <f>IF(E22="NA","NA",E22/Table8s2!$G$35*100)</f>
        <v>-4.763957784491494E-6</v>
      </c>
      <c r="H22" s="3865">
        <f>IF(E22="NA","NA",E22/Table8s2!$G$34*100)</f>
        <v>-4.7265481712295467E-6</v>
      </c>
      <c r="I22" s="3841">
        <f>SUM(I23:I29)</f>
        <v>72.820103398771721</v>
      </c>
      <c r="J22" s="3841">
        <f>Summary2!D22</f>
        <v>72.820103398771721</v>
      </c>
      <c r="K22" s="3863">
        <f t="shared" ref="K22" si="14">IF(J22="NO",IF(I22="NO","NA",-I22),IF(I22="NO",J22,J22-I22))</f>
        <v>0</v>
      </c>
      <c r="L22" s="3863">
        <f t="shared" ref="L22" si="15">IF(K22="NA","NA",K22/I22*100)</f>
        <v>0</v>
      </c>
      <c r="M22" s="3864">
        <f>IF(K22="NA","NA",K22/Table8s2!$G$35*100)</f>
        <v>0</v>
      </c>
      <c r="N22" s="3865">
        <f>IF(K22="NA","NA",K22/Table8s2!$G$34*100)</f>
        <v>0</v>
      </c>
      <c r="O22" s="3841">
        <f>SUM(O23:O29)</f>
        <v>1256.5185121665736</v>
      </c>
      <c r="P22" s="3841">
        <f>Summary2!E22</f>
        <v>1256.5185121665734</v>
      </c>
      <c r="Q22" s="3863">
        <f t="shared" ref="Q22" si="16">IF(P22="NO",IF(O22="NO","NA",-O22),IF(O22="NO",P22,P22-O22))</f>
        <v>-2.2737367544323206E-13</v>
      </c>
      <c r="R22" s="3866">
        <f t="shared" ref="R22" si="17">IF(Q22="NA","NA",Q22/O22*100)</f>
        <v>-1.8095529293172059E-14</v>
      </c>
      <c r="S22" s="3867">
        <f>IF(Q22="NA","NA",Q22/Table8s2!$G$35*100)</f>
        <v>-4.2572002017813589E-17</v>
      </c>
      <c r="T22" s="3868">
        <f>IF(Q22="NA","NA",Q22/Table8s2!$G$34*100)</f>
        <v>-4.2237699699590327E-17</v>
      </c>
    </row>
    <row r="23" spans="2:20" ht="18" customHeight="1" x14ac:dyDescent="0.2">
      <c r="B23" s="1393" t="s">
        <v>1932</v>
      </c>
      <c r="C23" s="3841">
        <v>6004.4700119044583</v>
      </c>
      <c r="D23" s="3841">
        <f>Summary2!C23</f>
        <v>6004.4444739685987</v>
      </c>
      <c r="E23" s="3841">
        <f t="shared" si="4"/>
        <v>-2.5537935859574645E-2</v>
      </c>
      <c r="F23" s="3849">
        <f t="shared" si="5"/>
        <v>-4.2531540350677324E-4</v>
      </c>
      <c r="G23" s="3846">
        <f>IF(E23="NA","NA",E23/Table8s2!$G$35*100)</f>
        <v>-4.7815608153638048E-6</v>
      </c>
      <c r="H23" s="3847">
        <f>IF(E23="NA","NA",E23/Table8s2!$G$34*100)</f>
        <v>-4.74401297195647E-6</v>
      </c>
      <c r="I23" s="1950"/>
      <c r="J23" s="1950"/>
      <c r="K23" s="1950"/>
      <c r="L23" s="1950"/>
      <c r="M23" s="1950"/>
      <c r="N23" s="1950"/>
      <c r="O23" s="1950"/>
      <c r="P23" s="1950"/>
      <c r="Q23" s="1950"/>
      <c r="R23" s="1950"/>
      <c r="S23" s="1950"/>
      <c r="T23" s="1950"/>
    </row>
    <row r="24" spans="2:20" ht="18" customHeight="1" x14ac:dyDescent="0.2">
      <c r="B24" s="1393" t="s">
        <v>846</v>
      </c>
      <c r="C24" s="3841">
        <v>3127.379500017169</v>
      </c>
      <c r="D24" s="3841">
        <f>Summary2!C24</f>
        <v>3127.379594033554</v>
      </c>
      <c r="E24" s="3841">
        <f t="shared" si="4"/>
        <v>9.401638499184628E-5</v>
      </c>
      <c r="F24" s="3849">
        <f t="shared" si="5"/>
        <v>3.0062352519523181E-6</v>
      </c>
      <c r="G24" s="3846">
        <f>IF(E24="NA","NA",E24/Table8s2!$G$35*100)</f>
        <v>1.7603030446590583E-8</v>
      </c>
      <c r="H24" s="3847">
        <f>IF(E24="NA","NA",E24/Table8s2!$G$34*100)</f>
        <v>1.7464800304545876E-8</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1243.8286050423719</v>
      </c>
      <c r="P24" s="3849">
        <f>Summary2!E24</f>
        <v>1243.8286050423719</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9608.8558369057628</v>
      </c>
      <c r="D25" s="3841">
        <f>Summary2!C25</f>
        <v>9608.8558369057646</v>
      </c>
      <c r="E25" s="3841">
        <f t="shared" si="4"/>
        <v>1.8189894035458565E-12</v>
      </c>
      <c r="F25" s="3849">
        <f t="shared" si="5"/>
        <v>1.8930343366787428E-14</v>
      </c>
      <c r="G25" s="3846">
        <f>IF(E25="NA","NA",E25/Table8s2!$G$35*100)</f>
        <v>3.4057601614250871E-16</v>
      </c>
      <c r="H25" s="3847">
        <f>IF(E25="NA","NA",E25/Table8s2!$G$34*100)</f>
        <v>3.3790159759672262E-16</v>
      </c>
      <c r="I25" s="3848">
        <v>56.642722598771719</v>
      </c>
      <c r="J25" s="3841">
        <f>Summary2!D25</f>
        <v>56.642722598771726</v>
      </c>
      <c r="K25" s="3841">
        <f t="shared" ref="K25:K26" si="22">IF(J25="NO",IF(I25="NO","NA",-I25),IF(I25="NO",J25,J25-I25))</f>
        <v>7.1054273576010019E-15</v>
      </c>
      <c r="L25" s="3849">
        <f t="shared" ref="L25:L26" si="23">IF(K25="NA","NA",K25/I25*100)</f>
        <v>1.2544289948652787E-14</v>
      </c>
      <c r="M25" s="3846">
        <f>IF(K25="NA","NA",K25/Table8s2!$G$35*100)</f>
        <v>1.3303750630566746E-18</v>
      </c>
      <c r="N25" s="3847">
        <f>IF(K25="NA","NA",K25/Table8s2!$G$34*100)</f>
        <v>1.3199281156121977E-18</v>
      </c>
      <c r="O25" s="3850">
        <v>12.689907124201605</v>
      </c>
      <c r="P25" s="3849">
        <f>Summary2!E25</f>
        <v>12.689907124201603</v>
      </c>
      <c r="Q25" s="3841">
        <f t="shared" ref="Q25:Q29" si="24">IF(P25="NO",IF(O25="NO","NA",-O25),IF(O25="NO",P25,P25-O25))</f>
        <v>-1.7763568394002505E-15</v>
      </c>
      <c r="R25" s="3849">
        <f t="shared" ref="R25:R29" si="25">IF(Q25="NA","NA",Q25/O25*100)</f>
        <v>-1.3998186290997076E-14</v>
      </c>
      <c r="S25" s="3846">
        <f>IF(Q25="NA","NA",Q25/Table8s2!$G$35*100)</f>
        <v>-3.3259376576416866E-19</v>
      </c>
      <c r="T25" s="3847">
        <f>IF(Q25="NA","NA",Q25/Table8s2!$G$34*100)</f>
        <v>-3.2998202890304943E-19</v>
      </c>
    </row>
    <row r="26" spans="2:20" ht="18" customHeight="1" x14ac:dyDescent="0.2">
      <c r="B26" s="1394" t="s">
        <v>1978</v>
      </c>
      <c r="C26" s="3841">
        <v>228.05065580499999</v>
      </c>
      <c r="D26" s="3841">
        <f>Summary2!C26</f>
        <v>228.05065580499999</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201.69877278028781</v>
      </c>
      <c r="D29" s="3857">
        <f>Summary2!C30</f>
        <v>201.69877278028781</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2490.9097255348615</v>
      </c>
      <c r="D30" s="3877">
        <f>Summary2!C31</f>
        <v>2490.9097255348615</v>
      </c>
      <c r="E30" s="3863">
        <f t="shared" si="4"/>
        <v>0</v>
      </c>
      <c r="F30" s="3878">
        <f t="shared" si="5"/>
        <v>0</v>
      </c>
      <c r="G30" s="3879">
        <f>IF(E30="NA","NA",E30/Table8s2!$G$35*100)</f>
        <v>0</v>
      </c>
      <c r="H30" s="3880">
        <f>IF(E30="NA","NA",E30/Table8s2!$G$34*100)</f>
        <v>0</v>
      </c>
      <c r="I30" s="3876">
        <f>SUM(I31:I40)</f>
        <v>66918.325193440061</v>
      </c>
      <c r="J30" s="3877">
        <f>Summary2!D31</f>
        <v>66938.096342009419</v>
      </c>
      <c r="K30" s="3863">
        <f t="shared" ref="K30" si="28">IF(J30="NO",IF(I30="NO","NA",-I30),IF(I30="NO",J30,J30-I30))</f>
        <v>19.771148569358047</v>
      </c>
      <c r="L30" s="3878">
        <f t="shared" ref="L30" si="29">IF(K30="NA","NA",K30/I30*100)</f>
        <v>2.9545193356536957E-2</v>
      </c>
      <c r="M30" s="3879">
        <f>IF(K30="NA","NA",K30/Table8s2!$G$35*100)</f>
        <v>3.7018242113931433E-3</v>
      </c>
      <c r="N30" s="3880">
        <f>IF(K30="NA","NA",K30/Table8s2!$G$34*100)</f>
        <v>3.6727551435347446E-3</v>
      </c>
      <c r="O30" s="3876">
        <f>SUM(O31:O40)</f>
        <v>12618.782494778954</v>
      </c>
      <c r="P30" s="3877">
        <f>Summary2!E31</f>
        <v>11304.733311531303</v>
      </c>
      <c r="Q30" s="3863">
        <f t="shared" ref="Q30" si="30">IF(P30="NO",IF(O30="NO","NA",-O30),IF(O30="NO",P30,P30-O30))</f>
        <v>-1314.0491832476509</v>
      </c>
      <c r="R30" s="3882">
        <f t="shared" ref="R30" si="31">IF(Q30="NA","NA",Q30/O30*100)</f>
        <v>-10.41343872747899</v>
      </c>
      <c r="S30" s="3883">
        <f>IF(Q30="NA","NA",Q30/Table8s2!$G$35*100)</f>
        <v>-0.24603421821666488</v>
      </c>
      <c r="T30" s="3884">
        <f>IF(Q30="NA","NA",Q30/Table8s2!$G$34*100)</f>
        <v>-0.24410220173602903</v>
      </c>
    </row>
    <row r="31" spans="2:20" ht="18" customHeight="1" x14ac:dyDescent="0.2">
      <c r="B31" s="606" t="s">
        <v>1938</v>
      </c>
      <c r="C31" s="3869"/>
      <c r="D31" s="3869"/>
      <c r="E31" s="3870"/>
      <c r="F31" s="3870"/>
      <c r="G31" s="3871"/>
      <c r="H31" s="3872"/>
      <c r="I31" s="3848">
        <v>59312.623537164523</v>
      </c>
      <c r="J31" s="3841">
        <f>Summary2!D32</f>
        <v>59312.623537164523</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7016.6397221400002</v>
      </c>
      <c r="J32" s="3849">
        <f>Summary2!D33</f>
        <v>7036.4108707093565</v>
      </c>
      <c r="K32" s="3895">
        <f t="shared" si="32"/>
        <v>19.771148569356228</v>
      </c>
      <c r="L32" s="3895">
        <f t="shared" si="33"/>
        <v>0.28177517091224175</v>
      </c>
      <c r="M32" s="3886">
        <f>IF(K32="NA","NA",K32/Table8s2!$G$35*100)</f>
        <v>3.7018242113928024E-3</v>
      </c>
      <c r="N32" s="3887">
        <f>IF(K32="NA","NA",K32/Table8s2!$G$34*100)</f>
        <v>3.6727551435344064E-3</v>
      </c>
      <c r="O32" s="3850">
        <v>451.38439599590197</v>
      </c>
      <c r="P32" s="3849">
        <f>Summary2!E33</f>
        <v>510.61715739843515</v>
      </c>
      <c r="Q32" s="3895">
        <f t="shared" ref="Q32" si="34">IF(P32="NO",IF(O32="NO","NA",-O32),IF(O32="NO",P32,P32-O32))</f>
        <v>59.232761402533185</v>
      </c>
      <c r="R32" s="3896">
        <f t="shared" ref="R32" si="35">IF(Q32="NA","NA",Q32/O32*100)</f>
        <v>13.122465448068112</v>
      </c>
      <c r="S32" s="3897">
        <f>IF(Q32="NA","NA",Q32/Table8s2!$G$35*100)</f>
        <v>1.1090365817563128E-2</v>
      </c>
      <c r="T32" s="3898">
        <f>IF(Q32="NA","NA",Q32/Table8s2!$G$34*100)</f>
        <v>1.1003277242278274E-2</v>
      </c>
    </row>
    <row r="33" spans="2:21" ht="18" customHeight="1" x14ac:dyDescent="0.2">
      <c r="B33" s="606" t="s">
        <v>1940</v>
      </c>
      <c r="C33" s="3893"/>
      <c r="D33" s="3893"/>
      <c r="E33" s="3894"/>
      <c r="F33" s="3894"/>
      <c r="G33" s="3899"/>
      <c r="H33" s="3900"/>
      <c r="I33" s="3850">
        <v>341.22009303200002</v>
      </c>
      <c r="J33" s="3849">
        <f>Summary2!D34</f>
        <v>341.22009303200002</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12068.786465089695</v>
      </c>
      <c r="P34" s="3849">
        <f>Summary2!E35</f>
        <v>10695.50452043951</v>
      </c>
      <c r="Q34" s="3895">
        <f t="shared" ref="Q34" si="36">IF(P34="NO",IF(O34="NO","NA",-O34),IF(O34="NO",P34,P34-O34))</f>
        <v>-1373.2819446501853</v>
      </c>
      <c r="R34" s="3896">
        <f t="shared" ref="R34" si="37">IF(Q34="NA","NA",Q34/O34*100)</f>
        <v>-11.378790639991482</v>
      </c>
      <c r="S34" s="3897">
        <f>IF(Q34="NA","NA",Q34/Table8s2!$G$35*100)</f>
        <v>-0.25712458403422828</v>
      </c>
      <c r="T34" s="3898">
        <f>IF(Q34="NA","NA",Q34/Table8s2!$G$34*100)</f>
        <v>-0.25510547897830754</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247.84184110353104</v>
      </c>
      <c r="J36" s="3849">
        <f>Summary2!D37</f>
        <v>247.84184110353107</v>
      </c>
      <c r="K36" s="3895">
        <f t="shared" ref="K36" si="38">IF(J36="NO",IF(I36="NO","NA",-I36),IF(I36="NO",J36,J36-I36))</f>
        <v>2.8421709430404007E-14</v>
      </c>
      <c r="L36" s="3895">
        <f t="shared" ref="L36" si="39">IF(K36="NA","NA",K36/I36*100)</f>
        <v>1.1467680075266791E-14</v>
      </c>
      <c r="M36" s="3886">
        <f>IF(K36="NA","NA",K36/Table8s2!$G$35*100)</f>
        <v>5.3215002522266986E-18</v>
      </c>
      <c r="N36" s="3887">
        <f>IF(K36="NA","NA",K36/Table8s2!$G$34*100)</f>
        <v>5.2797124624487909E-18</v>
      </c>
      <c r="O36" s="3850">
        <v>98.61163369335766</v>
      </c>
      <c r="P36" s="3849">
        <f>Summary2!E37</f>
        <v>98.61163369335766</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1138.7434395518412</v>
      </c>
      <c r="D37" s="3849">
        <f>Summary2!C38</f>
        <v>1138.7434395518412</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1352.1662859830203</v>
      </c>
      <c r="D38" s="3849">
        <f>Summary2!C39</f>
        <v>1352.1662859830203</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-3577.6490938680108</v>
      </c>
      <c r="D41" s="3841">
        <f>Summary2!C42</f>
        <v>-20514.150918884588</v>
      </c>
      <c r="E41" s="3931">
        <f t="shared" ref="E41" si="42">IF(D41="NO",IF(C41="NO","NA",-C41),IF(C41="NO",D41,D41-C41))</f>
        <v>-16936.501825016578</v>
      </c>
      <c r="F41" s="3931">
        <f t="shared" ref="F41" si="43">IF(E41="NA","NA",E41/C41*100)</f>
        <v>473.39751274224352</v>
      </c>
      <c r="G41" s="3871"/>
      <c r="H41" s="3931">
        <f>IF(E41="NA","NA",E41/Table8s2!$G$34*100)</f>
        <v>-3.1461816177801811</v>
      </c>
      <c r="I41" s="3848">
        <f>SUM(I42:I49)</f>
        <v>19335.668945304344</v>
      </c>
      <c r="J41" s="3841">
        <f>Summary2!D42</f>
        <v>20052.355942769111</v>
      </c>
      <c r="K41" s="3931">
        <f t="shared" ref="K41:K46" si="44">IF(J41="NO",IF(I41="NO","NA",-I41),IF(I41="NO",J41,J41-I41))</f>
        <v>716.68699746476705</v>
      </c>
      <c r="L41" s="3931">
        <f t="shared" ref="L41:L46" si="45">IF(K41="NA","NA",K41/I41*100)</f>
        <v>3.7065539314522349</v>
      </c>
      <c r="M41" s="3891"/>
      <c r="N41" s="3932">
        <f>IF(K41="NA","NA",K41/Table8s2!$G$34*100)</f>
        <v>0.13313419030812845</v>
      </c>
      <c r="O41" s="3848">
        <f>SUM(O42:O49)</f>
        <v>4608.0130118634997</v>
      </c>
      <c r="P41" s="3841">
        <f>Summary2!E42</f>
        <v>4689.018747387473</v>
      </c>
      <c r="Q41" s="3931">
        <f t="shared" ref="Q41" si="46">IF(P41="NO",IF(O41="NO","NA",-O41),IF(O41="NO",P41,P41-O41))</f>
        <v>81.005735523973271</v>
      </c>
      <c r="R41" s="3931">
        <f t="shared" ref="R41" si="47">IF(Q41="NA","NA",Q41/O41*100)</f>
        <v>1.7579320048667617</v>
      </c>
      <c r="S41" s="3891"/>
      <c r="T41" s="3932">
        <f>IF(Q41="NA","NA",Q41/Table8s2!$G$34*100)</f>
        <v>1.5047898242117556E-2</v>
      </c>
      <c r="U41" s="721"/>
    </row>
    <row r="42" spans="2:21" ht="18" customHeight="1" x14ac:dyDescent="0.2">
      <c r="B42" s="606" t="s">
        <v>1252</v>
      </c>
      <c r="C42" s="3849">
        <v>-56210.407494995394</v>
      </c>
      <c r="D42" s="3849">
        <f>Summary2!C43</f>
        <v>-58758.565850955252</v>
      </c>
      <c r="E42" s="3933">
        <f t="shared" ref="E42:E50" si="48">IF(D42="NO",IF(C42="NO","NA",-C42),IF(C42="NO",D42,D42-C42))</f>
        <v>-2548.1583559598585</v>
      </c>
      <c r="F42" s="3933">
        <f t="shared" ref="F42:F50" si="49">IF(E42="NA","NA",E42/C42*100)</f>
        <v>4.5332501035270552</v>
      </c>
      <c r="G42" s="3891"/>
      <c r="H42" s="3933">
        <f>IF(E42="NA","NA",E42/Table8s2!$G$34*100)</f>
        <v>-0.47335447789295937</v>
      </c>
      <c r="I42" s="3850">
        <v>8354.3175965887131</v>
      </c>
      <c r="J42" s="3849">
        <f>Summary2!D43</f>
        <v>8755.0227328006004</v>
      </c>
      <c r="K42" s="3933">
        <f t="shared" si="44"/>
        <v>400.70513621188729</v>
      </c>
      <c r="L42" s="3933">
        <f t="shared" si="45"/>
        <v>4.7963838048903682</v>
      </c>
      <c r="M42" s="3891"/>
      <c r="N42" s="3934">
        <f>IF(K42="NA","NA",K42/Table8s2!$G$34*100)</f>
        <v>7.4436335597815192E-2</v>
      </c>
      <c r="O42" s="3850">
        <v>1567.8393456929189</v>
      </c>
      <c r="P42" s="3849">
        <f>Summary2!E43</f>
        <v>1671.5934273361702</v>
      </c>
      <c r="Q42" s="3933">
        <f t="shared" ref="Q42:Q46" si="50">IF(P42="NO",IF(O42="NO","NA",-O42),IF(O42="NO",P42,P42-O42))</f>
        <v>103.75408164325131</v>
      </c>
      <c r="R42" s="3933">
        <f t="shared" ref="R42:R46" si="51">IF(Q42="NA","NA",Q42/O42*100)</f>
        <v>6.6176475241725985</v>
      </c>
      <c r="S42" s="3891"/>
      <c r="T42" s="3934">
        <f>IF(Q42="NA","NA",Q42/Table8s2!$G$34*100)</f>
        <v>1.9273707629133854E-2</v>
      </c>
      <c r="U42" s="721"/>
    </row>
    <row r="43" spans="2:21" ht="18" customHeight="1" x14ac:dyDescent="0.2">
      <c r="B43" s="606" t="s">
        <v>1255</v>
      </c>
      <c r="C43" s="3849">
        <v>5946.5026159676063</v>
      </c>
      <c r="D43" s="3849">
        <f>Summary2!C44</f>
        <v>-398.44045443091727</v>
      </c>
      <c r="E43" s="3933">
        <f t="shared" si="48"/>
        <v>-6344.9430703985236</v>
      </c>
      <c r="F43" s="3933">
        <f t="shared" si="49"/>
        <v>-106.70041670142413</v>
      </c>
      <c r="G43" s="3891"/>
      <c r="H43" s="3933">
        <f>IF(E43="NA","NA",E43/Table8s2!$G$34*100)</f>
        <v>-1.1786579932618428</v>
      </c>
      <c r="I43" s="3850">
        <v>58.776681600000003</v>
      </c>
      <c r="J43" s="3849">
        <f>Summary2!D44</f>
        <v>57.990728215953602</v>
      </c>
      <c r="K43" s="3933">
        <f t="shared" si="44"/>
        <v>-0.78595338404640103</v>
      </c>
      <c r="L43" s="3933">
        <f t="shared" si="45"/>
        <v>-1.3371857046900739</v>
      </c>
      <c r="M43" s="3891"/>
      <c r="N43" s="3934">
        <f>IF(K43="NA","NA",K43/Table8s2!$G$34*100)</f>
        <v>-1.4600134755492778E-4</v>
      </c>
      <c r="O43" s="3850">
        <v>37.672757501752379</v>
      </c>
      <c r="P43" s="3849">
        <f>Summary2!E44</f>
        <v>35.358307152555945</v>
      </c>
      <c r="Q43" s="3933">
        <f t="shared" si="50"/>
        <v>-2.3144503491964343</v>
      </c>
      <c r="R43" s="3933">
        <f t="shared" si="51"/>
        <v>-6.1435650126985681</v>
      </c>
      <c r="S43" s="3891"/>
      <c r="T43" s="3934">
        <f>IF(Q43="NA","NA",Q43/Table8s2!$G$34*100)</f>
        <v>-4.2994009147456378E-4</v>
      </c>
      <c r="U43" s="721"/>
    </row>
    <row r="44" spans="2:21" ht="18" customHeight="1" x14ac:dyDescent="0.2">
      <c r="B44" s="606" t="s">
        <v>1258</v>
      </c>
      <c r="C44" s="3849">
        <v>46182.290146237407</v>
      </c>
      <c r="D44" s="3849">
        <f>Summary2!C45</f>
        <v>37625.096834691241</v>
      </c>
      <c r="E44" s="3933">
        <f t="shared" si="48"/>
        <v>-8557.1933115461652</v>
      </c>
      <c r="F44" s="3933">
        <f t="shared" si="49"/>
        <v>-18.529166233310633</v>
      </c>
      <c r="G44" s="3891"/>
      <c r="H44" s="3933">
        <f>IF(E44="NA","NA",E44/Table8s2!$G$34*100)</f>
        <v>-1.5896130484756532</v>
      </c>
      <c r="I44" s="3850">
        <v>8284.6773726433585</v>
      </c>
      <c r="J44" s="3849">
        <f>Summary2!D45</f>
        <v>8758.5822401242112</v>
      </c>
      <c r="K44" s="3933">
        <f t="shared" si="44"/>
        <v>473.90486748085277</v>
      </c>
      <c r="L44" s="3933">
        <f t="shared" si="45"/>
        <v>5.7202573638621477</v>
      </c>
      <c r="M44" s="3891"/>
      <c r="N44" s="3934">
        <f>IF(K44="NA","NA",K44/Table8s2!$G$34*100)</f>
        <v>8.8034164200454804E-2</v>
      </c>
      <c r="O44" s="3850">
        <v>2850.2303401136483</v>
      </c>
      <c r="P44" s="3849">
        <f>Summary2!E45</f>
        <v>2819.3700017679575</v>
      </c>
      <c r="Q44" s="3933">
        <f t="shared" si="50"/>
        <v>-30.860338345690707</v>
      </c>
      <c r="R44" s="3933">
        <f t="shared" si="51"/>
        <v>-1.0827313817893121</v>
      </c>
      <c r="S44" s="3891"/>
      <c r="T44" s="3934">
        <f>IF(Q44="NA","NA",Q44/Table8s2!$G$34*100)</f>
        <v>-5.7327203825689619E-3</v>
      </c>
      <c r="U44" s="721"/>
    </row>
    <row r="45" spans="2:21" ht="18" customHeight="1" x14ac:dyDescent="0.2">
      <c r="B45" s="606" t="s">
        <v>1984</v>
      </c>
      <c r="C45" s="3849">
        <v>315.42685009245645</v>
      </c>
      <c r="D45" s="3849">
        <f>Summary2!C46</f>
        <v>323.13814266130902</v>
      </c>
      <c r="E45" s="3933">
        <f t="shared" si="48"/>
        <v>7.7112925688525706</v>
      </c>
      <c r="F45" s="3933">
        <f t="shared" si="49"/>
        <v>2.4447166012000161</v>
      </c>
      <c r="G45" s="3891"/>
      <c r="H45" s="3933">
        <f>IF(E45="NA","NA",E45/Table8s2!$G$34*100)</f>
        <v>1.4324756776876576E-3</v>
      </c>
      <c r="I45" s="3850">
        <v>2599.0903024722684</v>
      </c>
      <c r="J45" s="3849">
        <f>Summary2!D46</f>
        <v>2442.4507956450307</v>
      </c>
      <c r="K45" s="3933">
        <f t="shared" si="44"/>
        <v>-156.63950682723771</v>
      </c>
      <c r="L45" s="3933">
        <f t="shared" si="45"/>
        <v>-6.0267050620842753</v>
      </c>
      <c r="M45" s="3891"/>
      <c r="N45" s="3934">
        <f>IF(K45="NA","NA",K45/Table8s2!$G$34*100)</f>
        <v>-2.9097882318890614E-2</v>
      </c>
      <c r="O45" s="3850">
        <v>96.134951575710431</v>
      </c>
      <c r="P45" s="3849">
        <f>Summary2!E46</f>
        <v>110.65888723112006</v>
      </c>
      <c r="Q45" s="3933">
        <f t="shared" si="50"/>
        <v>14.52393565540963</v>
      </c>
      <c r="R45" s="3933">
        <f t="shared" si="51"/>
        <v>15.107861831054652</v>
      </c>
      <c r="S45" s="3891"/>
      <c r="T45" s="3934">
        <f>IF(Q45="NA","NA",Q45/Table8s2!$G$34*100)</f>
        <v>2.6980152010716183E-3</v>
      </c>
      <c r="U45" s="721"/>
    </row>
    <row r="46" spans="2:21" ht="18" customHeight="1" x14ac:dyDescent="0.2">
      <c r="B46" s="606" t="s">
        <v>1985</v>
      </c>
      <c r="C46" s="3849">
        <v>4124.2236562394728</v>
      </c>
      <c r="D46" s="3849">
        <f>Summary2!C47</f>
        <v>4523.6301701224902</v>
      </c>
      <c r="E46" s="3933">
        <f t="shared" si="48"/>
        <v>399.4065138830174</v>
      </c>
      <c r="F46" s="3933">
        <f t="shared" si="49"/>
        <v>9.6844048037686221</v>
      </c>
      <c r="G46" s="3891"/>
      <c r="H46" s="3933">
        <f>IF(E46="NA","NA",E46/Table8s2!$G$34*100)</f>
        <v>7.4195099140502957E-2</v>
      </c>
      <c r="I46" s="3850">
        <v>38.806992000000001</v>
      </c>
      <c r="J46" s="3849">
        <f>Summary2!D47</f>
        <v>38.309445983311107</v>
      </c>
      <c r="K46" s="3933">
        <f t="shared" si="44"/>
        <v>-0.49754601668889364</v>
      </c>
      <c r="L46" s="3933">
        <f t="shared" si="45"/>
        <v>-1.2821040514783872</v>
      </c>
      <c r="M46" s="3891"/>
      <c r="N46" s="3934">
        <f>IF(K46="NA","NA",K46/Table8s2!$G$34*100)</f>
        <v>-9.2425823696022682E-5</v>
      </c>
      <c r="O46" s="3850">
        <v>16.29959240049752</v>
      </c>
      <c r="P46" s="3849">
        <f>Summary2!E47</f>
        <v>12.202099320696039</v>
      </c>
      <c r="Q46" s="3933">
        <f t="shared" si="50"/>
        <v>-4.097493079801481</v>
      </c>
      <c r="R46" s="3933">
        <f t="shared" si="51"/>
        <v>-25.13862297364204</v>
      </c>
      <c r="S46" s="3891"/>
      <c r="T46" s="3934">
        <f>IF(Q46="NA","NA",Q46/Table8s2!$G$34*100)</f>
        <v>-7.6116411404456615E-4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-3969.445746244367</v>
      </c>
      <c r="D48" s="3849">
        <f>Summary2!C49</f>
        <v>-3862.7706398082705</v>
      </c>
      <c r="E48" s="3933">
        <f t="shared" si="48"/>
        <v>106.67510643609648</v>
      </c>
      <c r="F48" s="3933">
        <f t="shared" si="49"/>
        <v>-2.6874055789029381</v>
      </c>
      <c r="G48" s="3891"/>
      <c r="H48" s="3933">
        <f>IF(E48="NA","NA",E48/Table8s2!$G$34*100)</f>
        <v>1.9816327032082526E-2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33.760878834808885</v>
      </c>
      <c r="D49" s="3857">
        <f>Summary2!C50</f>
        <v>33.760878834808885</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39.836024578973074</v>
      </c>
      <c r="P49" s="3857">
        <f>Summary2!E50</f>
        <v>39.836024578973074</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31.499220380900699</v>
      </c>
      <c r="D50" s="3841">
        <f>Summary2!C51</f>
        <v>31.499220380900699</v>
      </c>
      <c r="E50" s="3841">
        <f t="shared" si="48"/>
        <v>0</v>
      </c>
      <c r="F50" s="3841">
        <f t="shared" si="49"/>
        <v>0</v>
      </c>
      <c r="G50" s="3846">
        <f>IF(E50="NA","NA",E50/Table8s2!$G$35*100)</f>
        <v>0</v>
      </c>
      <c r="H50" s="3847">
        <f>IF(E50="NA","NA",E50/Table8s2!$G$34*100)</f>
        <v>0</v>
      </c>
      <c r="I50" s="3841">
        <f>SUM(I51:I55)</f>
        <v>12877.676098195985</v>
      </c>
      <c r="J50" s="3841">
        <f>Summary2!D51</f>
        <v>12863.292022292004</v>
      </c>
      <c r="K50" s="3841">
        <f t="shared" ref="K50" si="54">IF(J50="NO",IF(I50="NO","NA",-I50),IF(I50="NO",J50,J50-I50))</f>
        <v>-14.384075903981284</v>
      </c>
      <c r="L50" s="3841">
        <f t="shared" ref="L50" si="55">IF(K50="NA","NA",K50/I50*100)</f>
        <v>-0.11169776125986217</v>
      </c>
      <c r="M50" s="3846">
        <f>IF(K50="NA","NA",K50/Table8s2!$G$35*100)</f>
        <v>-2.6931829606702271E-3</v>
      </c>
      <c r="N50" s="3847">
        <f>IF(K50="NA","NA",K50/Table8s2!$G$34*100)</f>
        <v>-2.6720343826265001E-3</v>
      </c>
      <c r="O50" s="3841">
        <f>SUM(O51:O55)</f>
        <v>328.70701421268893</v>
      </c>
      <c r="P50" s="3841">
        <f>Summary2!E51</f>
        <v>328.70701421268893</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10260.410147935245</v>
      </c>
      <c r="J51" s="3841">
        <f>Summary2!D52</f>
        <v>10246.026072031262</v>
      </c>
      <c r="K51" s="3841">
        <f t="shared" ref="K51:K52" si="56">IF(J51="NO",IF(I51="NO","NA",-I51),IF(I51="NO",J51,J51-I51))</f>
        <v>-14.384075903983103</v>
      </c>
      <c r="L51" s="3841">
        <f t="shared" ref="L51:L52" si="57">IF(K51="NA","NA",K51/I51*100)</f>
        <v>-0.14019006742023549</v>
      </c>
      <c r="M51" s="3846">
        <f>IF(K51="NA","NA",K51/Table8s2!$G$35*100)</f>
        <v>-2.6931829606705675E-3</v>
      </c>
      <c r="N51" s="3847">
        <f>IF(K51="NA","NA",K51/Table8s2!$G$34*100)</f>
        <v>-2.672034382626838E-3</v>
      </c>
      <c r="O51" s="3888"/>
      <c r="P51" s="3889"/>
      <c r="Q51" s="3942"/>
      <c r="R51" s="3943"/>
      <c r="S51" s="3944"/>
      <c r="T51" s="3945"/>
    </row>
    <row r="52" spans="2:21" ht="18" customHeight="1" x14ac:dyDescent="0.2">
      <c r="B52" s="1395" t="s">
        <v>1990</v>
      </c>
      <c r="C52" s="3920"/>
      <c r="D52" s="3920"/>
      <c r="E52" s="3890"/>
      <c r="F52" s="3905"/>
      <c r="G52" s="3906"/>
      <c r="H52" s="3907"/>
      <c r="I52" s="3851">
        <v>116.22771783</v>
      </c>
      <c r="J52" s="3849">
        <f>Summary2!D53</f>
        <v>116.22771782999997</v>
      </c>
      <c r="K52" s="3841">
        <f t="shared" si="56"/>
        <v>-2.8421709430404007E-14</v>
      </c>
      <c r="L52" s="3841">
        <f t="shared" si="57"/>
        <v>-2.4453469414219167E-14</v>
      </c>
      <c r="M52" s="3846">
        <f>IF(K52="NA","NA",K52/Table8s2!$G$35*100)</f>
        <v>-5.3215002522266986E-18</v>
      </c>
      <c r="N52" s="3847">
        <f>IF(K52="NA","NA",K52/Table8s2!$G$34*100)</f>
        <v>-5.2797124624487909E-18</v>
      </c>
      <c r="O52" s="3841">
        <v>140.80157817120002</v>
      </c>
      <c r="P52" s="3841">
        <f>Summary2!E53</f>
        <v>140.80157817120002</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31.499220380900699</v>
      </c>
      <c r="D53" s="3841">
        <f>Summary2!C54</f>
        <v>31.499220380900699</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2501.0382324307411</v>
      </c>
      <c r="J54" s="3849">
        <f>Summary2!D55</f>
        <v>2501.0382324307416</v>
      </c>
      <c r="K54" s="3841">
        <f t="shared" ref="K54" si="62">IF(J54="NO",IF(I54="NO","NA",-I54),IF(I54="NO",J54,J54-I54))</f>
        <v>4.5474735088646412E-13</v>
      </c>
      <c r="L54" s="3841">
        <f t="shared" ref="L54" si="63">IF(K54="NA","NA",K54/I54*100)</f>
        <v>1.8182343036175756E-14</v>
      </c>
      <c r="M54" s="3846">
        <f>IF(K54="NA","NA",K54/Table8s2!$G$35*100)</f>
        <v>8.5144004035627178E-17</v>
      </c>
      <c r="N54" s="3847">
        <f>IF(K54="NA","NA",K54/Table8s2!$G$34*100)</f>
        <v>8.4475399399180654E-17</v>
      </c>
      <c r="O54" s="3841">
        <v>187.90543604148888</v>
      </c>
      <c r="P54" s="3841">
        <f>Summary2!E55</f>
        <v>187.90543604148888</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14128.3205</v>
      </c>
      <c r="D59" s="3849">
        <f>Summary2!C60</f>
        <v>14128.3205</v>
      </c>
      <c r="E59" s="3863">
        <f t="shared" ref="E59" si="66">IF(D59="NO",IF(C59="NO","NA",-C59),IF(C59="NO",D59,D59-C59))</f>
        <v>0</v>
      </c>
      <c r="F59" s="3863">
        <f t="shared" ref="F59" si="67">IF(E59="NA","NA",E59/C59*100)</f>
        <v>0</v>
      </c>
      <c r="G59" s="3864">
        <f>IF(E59="NA","NA",E59/Table8s2!$G$35*100)</f>
        <v>0</v>
      </c>
      <c r="H59" s="3865">
        <f>IF(E59="NA","NA",E59/Table8s2!$G$34*100)</f>
        <v>0</v>
      </c>
      <c r="I59" s="3849">
        <v>6.6447698800000001</v>
      </c>
      <c r="J59" s="3849">
        <f>Summary2!D60</f>
        <v>6.644769880000001</v>
      </c>
      <c r="K59" s="3863">
        <f t="shared" ref="K59:K61" si="68">IF(J59="NO",IF(I59="NO","NA",-I59),IF(I59="NO",J59,J59-I59))</f>
        <v>8.8817841970012523E-16</v>
      </c>
      <c r="L59" s="3863">
        <f t="shared" ref="L59:L61" si="69">IF(K59="NA","NA",K59/I59*100)</f>
        <v>1.3366579065039423E-14</v>
      </c>
      <c r="M59" s="3864">
        <f>IF(K59="NA","NA",K59/Table8s2!$G$35*100)</f>
        <v>1.6629688288208433E-19</v>
      </c>
      <c r="N59" s="3865">
        <f>IF(K59="NA","NA",K59/Table8s2!$G$34*100)</f>
        <v>1.6499101445152472E-19</v>
      </c>
      <c r="O59" s="3850">
        <v>32.046840324359152</v>
      </c>
      <c r="P59" s="3849">
        <f>Summary2!E60</f>
        <v>32.046840324357895</v>
      </c>
      <c r="Q59" s="3863">
        <f t="shared" ref="Q59" si="70">IF(P59="NO",IF(O59="NO","NA",-O59),IF(O59="NO",P59,P59-O59))</f>
        <v>-1.2576606422953773E-12</v>
      </c>
      <c r="R59" s="3968">
        <f t="shared" ref="R59" si="71">IF(Q59="NA","NA",Q59/O59*100)</f>
        <v>-3.9244450609360562E-12</v>
      </c>
      <c r="S59" s="3969">
        <f>IF(Q59="NA","NA",Q59/Table8s2!$G$35*100)</f>
        <v>-2.3547638616103142E-16</v>
      </c>
      <c r="T59" s="3970">
        <f>IF(Q59="NA","NA",Q59/Table8s2!$G$34*100)</f>
        <v>-2.3362727646335898E-16</v>
      </c>
    </row>
    <row r="60" spans="2:21" ht="18" customHeight="1" x14ac:dyDescent="0.2">
      <c r="B60" s="1409" t="s">
        <v>218</v>
      </c>
      <c r="C60" s="3849">
        <v>11893.248</v>
      </c>
      <c r="D60" s="3849">
        <f>Summary2!C61</f>
        <v>11893.248</v>
      </c>
      <c r="E60" s="3863">
        <f t="shared" ref="E60:E61" si="72">IF(D60="NO",IF(C60="NO","NA",-C60),IF(C60="NO",D60,D60-C60))</f>
        <v>0</v>
      </c>
      <c r="F60" s="3863">
        <f t="shared" ref="F60:F61" si="73">IF(E60="NA","NA",E60/C60*100)</f>
        <v>0</v>
      </c>
      <c r="G60" s="3864">
        <f>IF(E60="NA","NA",E60/Table8s2!$G$35*100)</f>
        <v>0</v>
      </c>
      <c r="H60" s="3865">
        <f>IF(E60="NA","NA",E60/Table8s2!$G$34*100)</f>
        <v>0</v>
      </c>
      <c r="I60" s="3849">
        <v>0.67754988000000005</v>
      </c>
      <c r="J60" s="3849">
        <f>Summary2!D61</f>
        <v>0.67754988000000016</v>
      </c>
      <c r="K60" s="3863">
        <f t="shared" si="68"/>
        <v>1.1102230246251565E-16</v>
      </c>
      <c r="L60" s="3863">
        <f t="shared" si="69"/>
        <v>1.6385849328541782E-14</v>
      </c>
      <c r="M60" s="3864">
        <f>IF(K60="NA","NA",K60/Table8s2!$G$35*100)</f>
        <v>2.0787110360260541E-20</v>
      </c>
      <c r="N60" s="3865">
        <f>IF(K60="NA","NA",K60/Table8s2!$G$34*100)</f>
        <v>2.0623876806440589E-20</v>
      </c>
      <c r="O60" s="3850">
        <v>15.910990324359149</v>
      </c>
      <c r="P60" s="3849">
        <f>Summary2!E61</f>
        <v>15.910990324357895</v>
      </c>
      <c r="Q60" s="3863">
        <f t="shared" ref="Q60:Q61" si="74">IF(P60="NO",IF(O60="NO","NA",-O60),IF(O60="NO",P60,P60-O60))</f>
        <v>-1.2541079286165768E-12</v>
      </c>
      <c r="R60" s="3968">
        <f t="shared" ref="R60:R61" si="75">IF(Q60="NA","NA",Q60/O60*100)</f>
        <v>-7.8820230736774643E-12</v>
      </c>
      <c r="S60" s="3969">
        <f>IF(Q60="NA","NA",Q60/Table8s2!$G$35*100)</f>
        <v>-2.3481119862950307E-16</v>
      </c>
      <c r="T60" s="3970">
        <f>IF(Q60="NA","NA",Q60/Table8s2!$G$34*100)</f>
        <v>-2.329673124055529E-16</v>
      </c>
    </row>
    <row r="61" spans="2:21" ht="18" customHeight="1" x14ac:dyDescent="0.2">
      <c r="B61" s="1410" t="s">
        <v>1963</v>
      </c>
      <c r="C61" s="3849">
        <v>2235.0724999999998</v>
      </c>
      <c r="D61" s="3849">
        <f>Summary2!C62</f>
        <v>2235.0724999999998</v>
      </c>
      <c r="E61" s="3863">
        <f t="shared" si="72"/>
        <v>0</v>
      </c>
      <c r="F61" s="3863">
        <f t="shared" si="73"/>
        <v>0</v>
      </c>
      <c r="G61" s="3864">
        <f>IF(E61="NA","NA",E61/Table8s2!$G$35*100)</f>
        <v>0</v>
      </c>
      <c r="H61" s="3865">
        <f>IF(E61="NA","NA",E61/Table8s2!$G$34*100)</f>
        <v>0</v>
      </c>
      <c r="I61" s="3849">
        <v>5.9672200000000002</v>
      </c>
      <c r="J61" s="3849">
        <f>Summary2!D62</f>
        <v>5.9672200000000011</v>
      </c>
      <c r="K61" s="3863">
        <f t="shared" si="68"/>
        <v>8.8817841970012523E-16</v>
      </c>
      <c r="L61" s="3863">
        <f t="shared" si="69"/>
        <v>1.4884291507605303E-14</v>
      </c>
      <c r="M61" s="3864">
        <f>IF(K61="NA","NA",K61/Table8s2!$G$35*100)</f>
        <v>1.6629688288208433E-19</v>
      </c>
      <c r="N61" s="3865">
        <f>IF(K61="NA","NA",K61/Table8s2!$G$34*100)</f>
        <v>1.6499101445152472E-19</v>
      </c>
      <c r="O61" s="3850">
        <v>16.135850000000001</v>
      </c>
      <c r="P61" s="3849">
        <f>Summary2!E62</f>
        <v>16.135850000000001</v>
      </c>
      <c r="Q61" s="3863">
        <f t="shared" si="74"/>
        <v>0</v>
      </c>
      <c r="R61" s="3968">
        <f t="shared" si="75"/>
        <v>0</v>
      </c>
      <c r="S61" s="3969">
        <f>IF(Q61="NA","NA",Q61/Table8s2!$G$35*100)</f>
        <v>0</v>
      </c>
      <c r="T61" s="3970">
        <f>IF(Q61="NA","NA",Q61/Table8s2!$G$34*100)</f>
        <v>0</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17928.421266022815</v>
      </c>
      <c r="D63" s="3849">
        <f>Summary2!C64</f>
        <v>17898.475606673015</v>
      </c>
      <c r="E63" s="3863">
        <f t="shared" ref="E63:E65" si="76">IF(D63="NO",IF(C63="NO","NA",-C63),IF(C63="NO",D63,D63-C63))</f>
        <v>-29.945659349799826</v>
      </c>
      <c r="F63" s="3863">
        <f t="shared" ref="F63:F65" si="77">IF(E63="NA","NA",E63/C63*100)</f>
        <v>-0.16702898099874289</v>
      </c>
      <c r="G63" s="3864">
        <f>IF(E63="NA","NA",E63/Table8s2!$G$35*100)</f>
        <v>-5.606834950349057E-3</v>
      </c>
      <c r="H63" s="3865">
        <f>IF(E63="NA","NA",E63/Table8s2!$G$34*100)</f>
        <v>-5.5628065318355799E-3</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295299.78759895614</v>
      </c>
      <c r="D65" s="3851">
        <f>Summary2!C66</f>
        <v>295510.11206349486</v>
      </c>
      <c r="E65" s="3979">
        <f t="shared" si="76"/>
        <v>210.32446453871671</v>
      </c>
      <c r="F65" s="3986">
        <f t="shared" si="77"/>
        <v>7.1224048702790255E-2</v>
      </c>
      <c r="G65" s="3987">
        <f>IF(E65="NA","NA",E65/Table8s2!$G$35*100)</f>
        <v>3.9379816116722456E-2</v>
      </c>
      <c r="H65" s="3988">
        <f>IF(E65="NA","NA",E65/Table8s2!$G$34*100)</f>
        <v>3.9070580863620724E-2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G1" workbookViewId="0">
      <selection activeCell="W27" sqref="W27"/>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8837.371668775806</v>
      </c>
      <c r="D10" s="4021">
        <f>IF(SUM(D11:D30)=0,"NO",SUM(D11:D30))</f>
        <v>8837.371668775806</v>
      </c>
      <c r="E10" s="4021">
        <f>IF(D10="NO",IF(C10="NO","NA",-C10),IF(C10="NO",D10,D10-C10))</f>
        <v>0</v>
      </c>
      <c r="F10" s="4021">
        <f>IF(E10="NA","NA",E10/C10*100)</f>
        <v>0</v>
      </c>
      <c r="G10" s="4022">
        <f>IF(E10="NA","NA",E10/$G$35*100)</f>
        <v>0</v>
      </c>
      <c r="H10" s="4023">
        <f>IF(E10="NA","NA",E10/$G$34*100)</f>
        <v>0</v>
      </c>
      <c r="I10" s="4024">
        <f>IF(SUM(I11:I30)=0,"NO",SUM(I11:I30))</f>
        <v>173.10697875319798</v>
      </c>
      <c r="J10" s="4024">
        <f>IF(SUM(J11:J30)=0,"NO",SUM(J11:J30))</f>
        <v>173.10697875319798</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108.87625703363453</v>
      </c>
      <c r="V10" s="4021">
        <f>IF(SUM(V11:V30)=0,"NO",SUM(V11:V30))</f>
        <v>102.16723809781716</v>
      </c>
      <c r="W10" s="4021">
        <f>IF(V10="NO",IF(U10="NO","NA",-U10),IF(U10="NO",V10,V10-U10))</f>
        <v>-6.7090189358173689</v>
      </c>
      <c r="X10" s="4025">
        <f>IF(W10="NA","NA",W10/U10*100)</f>
        <v>-6.1620587615762634</v>
      </c>
      <c r="Y10" s="4026">
        <f>IF(W10="NA","NA",W10/$G$35*100)</f>
        <v>-1.2561540693591677E-3</v>
      </c>
      <c r="Z10" s="4023">
        <f>IF(W10="NA","NA",W10/$G$34*100)</f>
        <v>-1.2462899521570535E-3</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173.10697875319798</v>
      </c>
      <c r="J13" s="3841">
        <f>'Table2(II)'!AH41</f>
        <v>173.10697875319798</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8462.9838296511753</v>
      </c>
      <c r="D21" s="3849">
        <f>'Table2(I)'!F46</f>
        <v>8462.9838296511753</v>
      </c>
      <c r="E21" s="3849">
        <f>IF(D21="NO",IF(C21="NO","NA",-C21),IF(C21="NO",D21,D21-C21))</f>
        <v>0</v>
      </c>
      <c r="F21" s="4018">
        <f>IF(E21="NA","NA",E21/C21*100)</f>
        <v>0</v>
      </c>
      <c r="G21" s="3873">
        <f>IF(E21="NA","NA",E21/$G$35*100)</f>
        <v>0</v>
      </c>
      <c r="H21" s="3874">
        <f>IF(E21="NA","NA",E21/$G$34*100)</f>
        <v>0</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70.641113130876164</v>
      </c>
      <c r="D22" s="3849">
        <f>'Table2(I)'!F47</f>
        <v>70.641113130876164</v>
      </c>
      <c r="E22" s="3849">
        <f t="shared" ref="E22:E25" si="0">IF(D22="NO",IF(C22="NO","NA",-C22),IF(C22="NO",D22,D22-C22))</f>
        <v>0</v>
      </c>
      <c r="F22" s="4018">
        <f t="shared" ref="F22:F25" si="1">IF(E22="NA","NA",E22/C22*100)</f>
        <v>0</v>
      </c>
      <c r="G22" s="3873">
        <f t="shared" ref="G22:G25" si="2">IF(E22="NA","NA",E22/$G$35*100)</f>
        <v>0</v>
      </c>
      <c r="H22" s="3874">
        <f t="shared" ref="H22:H25" si="3">IF(E22="NA","NA",E22/$G$34*100)</f>
        <v>0</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72.969348919314001</v>
      </c>
      <c r="D23" s="3849">
        <f>'Table2(I)'!F48</f>
        <v>72.969348919314001</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135.59134443225329</v>
      </c>
      <c r="D24" s="3849">
        <f>'Table2(I)'!F49</f>
        <v>135.59134443225327</v>
      </c>
      <c r="E24" s="3849">
        <f t="shared" si="0"/>
        <v>-2.8421709430404007E-14</v>
      </c>
      <c r="F24" s="4018">
        <f t="shared" si="1"/>
        <v>-2.0961300700580187E-14</v>
      </c>
      <c r="G24" s="3873">
        <f t="shared" si="2"/>
        <v>-5.3215002522266986E-18</v>
      </c>
      <c r="H24" s="3874">
        <f t="shared" si="3"/>
        <v>-5.2797124624487909E-18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95.186032642186618</v>
      </c>
      <c r="D25" s="3849">
        <f>'Table2(I)'!F50</f>
        <v>95.186032642186618</v>
      </c>
      <c r="E25" s="3849">
        <f t="shared" si="0"/>
        <v>0</v>
      </c>
      <c r="F25" s="4018">
        <f t="shared" si="1"/>
        <v>0</v>
      </c>
      <c r="G25" s="3873">
        <f t="shared" si="2"/>
        <v>0</v>
      </c>
      <c r="H25" s="3874">
        <f t="shared" si="3"/>
        <v>0</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89.783968701172569</v>
      </c>
      <c r="V27" s="3849">
        <f>IFERROR('Table2(I)'!I53*23500,'Table2(I)'!I53)</f>
        <v>83.074949765355214</v>
      </c>
      <c r="W27" s="3849">
        <f>IF(V27="NO",IF(U27="NO","NA",-U27),IF(U27="NO",V27,V27-U27))</f>
        <v>-6.7090189358173546</v>
      </c>
      <c r="X27" s="4018">
        <f>IF(W27="NA","NA",W27/U27*100)</f>
        <v>-7.4724018473130105</v>
      </c>
      <c r="Y27" s="3873">
        <f>IF(W27="NA","NA",W27/$G$35*100)</f>
        <v>-1.2561540693591649E-3</v>
      </c>
      <c r="Z27" s="3874">
        <f>IF(W27="NA","NA",W27/$G$34*100)</f>
        <v>-1.2462899521570509E-3</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19.092288332461962</v>
      </c>
      <c r="V28" s="3849">
        <f>IFERROR('Table2(I)'!I54*23500,'Table2(I)'!I54)</f>
        <v>19.092288332461948</v>
      </c>
      <c r="W28" s="3849">
        <f>IF(V28="NO",IF(U28="NO","NA",-U28),IF(U28="NO",V28,V28-U28))</f>
        <v>-1.4210854715202004E-14</v>
      </c>
      <c r="X28" s="4018">
        <f>IF(W28="NA","NA",W28/U28*100)</f>
        <v>-7.4432432968445048E-14</v>
      </c>
      <c r="Y28" s="3873">
        <f>IF(W28="NA","NA",W28/$G$35*100)</f>
        <v>-2.6607501261133493E-18</v>
      </c>
      <c r="Z28" s="3874">
        <f>IF(W28="NA","NA",W28/$G$34*100)</f>
        <v>-2.6398562312243954E-18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555817.47376703669</v>
      </c>
      <c r="F34" s="4548"/>
      <c r="G34" s="4547">
        <f>SUM(Table8s1!D10,Table8s1!J10,Table8s1!P10,D10,J10,P10,V10,AB10)</f>
        <v>538319.26705382916</v>
      </c>
      <c r="H34" s="4548"/>
      <c r="I34" s="3841">
        <f>G34-E34</f>
        <v>-17498.206713207532</v>
      </c>
      <c r="J34" s="4047">
        <f>IF(I34="NA","NA",I34/E34*100)</f>
        <v>-3.1481929840409562</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535451.44090373686</v>
      </c>
      <c r="F35" s="4550"/>
      <c r="G35" s="4551">
        <f>G34-SUM(Table8s1!D41,Table8s1!J41,Table8s1!P41)</f>
        <v>534092.04328255716</v>
      </c>
      <c r="H35" s="4552"/>
      <c r="I35" s="3857">
        <f>G35-E35</f>
        <v>-1359.397621179698</v>
      </c>
      <c r="J35" s="4048">
        <f>IF(I35="NA","NA",I35/E35*100)</f>
        <v>-0.25387878663381724</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K42" sqref="AK42"/>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1343924.338768794</v>
      </c>
      <c r="D10" s="1938" t="s">
        <v>97</v>
      </c>
      <c r="E10" s="615"/>
      <c r="F10" s="615"/>
      <c r="G10" s="615"/>
      <c r="H10" s="1851">
        <f>IF(SUM(H11:H14)=0,"NO",SUM(H11:H14))</f>
        <v>91191.407059096819</v>
      </c>
      <c r="I10" s="1851">
        <f>IF(SUM(I11:I15)=0,"NO",SUM(I11:I15))</f>
        <v>15.160832072331935</v>
      </c>
      <c r="J10" s="2217">
        <f>IF(SUM(J11:J15)=0,"NO",SUM(J11:J15))</f>
        <v>5.5627603380606594</v>
      </c>
    </row>
    <row r="11" spans="2:11" ht="18" customHeight="1" x14ac:dyDescent="0.2">
      <c r="B11" s="282" t="s">
        <v>243</v>
      </c>
      <c r="C11" s="1938">
        <f>IF(SUM(C17:C18,C21:C24,C82,C89:C92,C100)=0,"NO",SUM(C17:C18,C21:C24,C82,C89:C92,C100))</f>
        <v>1324506.0134420733</v>
      </c>
      <c r="D11" s="1934" t="s">
        <v>97</v>
      </c>
      <c r="E11" s="1938">
        <f>IFERROR(H11*1000/$C11,"NA")</f>
        <v>68.333398861016377</v>
      </c>
      <c r="F11" s="1938">
        <f t="shared" ref="F11:G15" si="0">IFERROR(I11*1000000/$C11,"NA")</f>
        <v>10.935581053048374</v>
      </c>
      <c r="G11" s="1938">
        <f t="shared" si="0"/>
        <v>4.1622467826159824</v>
      </c>
      <c r="H11" s="1938">
        <f>IF(SUM(H17:H18,H21:H24,H82,H89:H92,H100)=0,"NO",SUM(H17:H18,H21:H24,H82,H89:H92,H100))</f>
        <v>90507.99771035192</v>
      </c>
      <c r="I11" s="1938">
        <f>IF(SUM(I17:I18,I21:I24,I82,I89:I92,I100)=0,"NO",SUM(I17:I18,I21:I24,I82,I89:I92,I100))</f>
        <v>14.48424286524577</v>
      </c>
      <c r="J11" s="3064">
        <f>IF(SUM(J17:J18,J21:J24,J82,J89:J92,J100)=0,"NO",SUM(J17:J18,J21:J24,J82,J89:J92,J100))</f>
        <v>5.5129208930047913</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13267.310853779913</v>
      </c>
      <c r="D13" s="1934" t="s">
        <v>97</v>
      </c>
      <c r="E13" s="1938">
        <f t="shared" si="1"/>
        <v>51.411918339265</v>
      </c>
      <c r="F13" s="1938">
        <f t="shared" si="0"/>
        <v>32.859471841899563</v>
      </c>
      <c r="G13" s="1938">
        <f t="shared" si="0"/>
        <v>0.31879322798673265</v>
      </c>
      <c r="H13" s="1938">
        <f>IF(SUM(H26,H84,H94,H102)=0,"NO",SUM(H26,H84,H94,H102))</f>
        <v>682.09790219617707</v>
      </c>
      <c r="I13" s="1938">
        <f>IF(SUM(I26,I84,I94,I102)=0,"NO",SUM(I26,I84,I94,I102))</f>
        <v>0.43595682741750952</v>
      </c>
      <c r="J13" s="3064">
        <f>IF(SUM(J26,J84,J94,J102)=0,"NO",SUM(J26,J84,J94,J102))</f>
        <v>4.2295288537799128E-3</v>
      </c>
    </row>
    <row r="14" spans="2:11" ht="18" customHeight="1" x14ac:dyDescent="0.2">
      <c r="B14" s="282" t="s">
        <v>290</v>
      </c>
      <c r="C14" s="1938">
        <f>IF(SUM(C28,C86,C96,C103)=0,"NO",SUM(C28,C86,C96,C103))</f>
        <v>17.891494525456061</v>
      </c>
      <c r="D14" s="1934" t="s">
        <v>97</v>
      </c>
      <c r="E14" s="1938">
        <f t="shared" si="1"/>
        <v>73.300000000000011</v>
      </c>
      <c r="F14" s="1938" t="str">
        <f t="shared" si="0"/>
        <v>NA</v>
      </c>
      <c r="G14" s="1938" t="str">
        <f t="shared" si="0"/>
        <v>NA</v>
      </c>
      <c r="H14" s="1938">
        <f>IF(SUM(H28,H86,H96,H103)=0,"NO",SUM(H28,H86,H96,H103))</f>
        <v>1.3114465487159293</v>
      </c>
      <c r="I14" s="1938" t="str">
        <f>IF(SUM(I28,I86,I96,I103)=0,"NO",SUM(I28,I86,I96,I103))</f>
        <v>NO</v>
      </c>
      <c r="J14" s="3064" t="str">
        <f>IF(SUM(J28,J86,J96,J103)=0,"NO",SUM(J28,J86,J96,J103))</f>
        <v>NO</v>
      </c>
    </row>
    <row r="15" spans="2:11" ht="18" customHeight="1" x14ac:dyDescent="0.2">
      <c r="B15" s="282" t="s">
        <v>249</v>
      </c>
      <c r="C15" s="1938">
        <f>IF(SUM(C19,C27,C85,C95,C104)=0,"NO",SUM(C19,C27,C85,C95,C104))</f>
        <v>6133.1229784154448</v>
      </c>
      <c r="D15" s="1938" t="s">
        <v>97</v>
      </c>
      <c r="E15" s="1938">
        <f t="shared" si="1"/>
        <v>67.260000000000019</v>
      </c>
      <c r="F15" s="1938">
        <f t="shared" si="0"/>
        <v>39.234885802147389</v>
      </c>
      <c r="G15" s="1938">
        <f t="shared" si="0"/>
        <v>7.4366544356937139</v>
      </c>
      <c r="H15" s="1938">
        <f>IF(SUM(H19,H27,H85,H95,H104)=0,"NO",SUM(H19,H27,H85,H95,H104))</f>
        <v>412.51385152822292</v>
      </c>
      <c r="I15" s="1938">
        <f>IF(SUM(I19,I27,I85,I95,I104)=0,"NO",SUM(I19,I27,I85,I95,I104))</f>
        <v>0.24063237966865603</v>
      </c>
      <c r="J15" s="3064">
        <f>IF(SUM(J19,J27,J85,J95,J104)=0,"NO",SUM(J19,J27,J85,J95,J104))</f>
        <v>4.5609916202088256E-2</v>
      </c>
    </row>
    <row r="16" spans="2:11" ht="18" customHeight="1" x14ac:dyDescent="0.2">
      <c r="B16" s="1240" t="s">
        <v>291</v>
      </c>
      <c r="C16" s="1938">
        <f>IF(SUM(C17:C19)=0,"NO",SUM(C17:C19))</f>
        <v>122291.44269152233</v>
      </c>
      <c r="D16" s="1934" t="s">
        <v>97</v>
      </c>
      <c r="E16" s="615"/>
      <c r="F16" s="615"/>
      <c r="G16" s="615"/>
      <c r="H16" s="1938">
        <f>IF(SUM(H17:H18)=0,"NO",SUM(H17:H18))</f>
        <v>8505.1102057951139</v>
      </c>
      <c r="I16" s="1938">
        <f>IF(SUM(I17:I19)=0,"NO",SUM(I17:I19))</f>
        <v>3.6908683739032166E-2</v>
      </c>
      <c r="J16" s="3064">
        <f>IF(SUM(J17:J19)=0,"NO",SUM(J17:J19))</f>
        <v>6.2576058857170311E-2</v>
      </c>
    </row>
    <row r="17" spans="2:10" ht="18" customHeight="1" x14ac:dyDescent="0.2">
      <c r="B17" s="282" t="s">
        <v>292</v>
      </c>
      <c r="C17" s="699">
        <v>2451.6175134</v>
      </c>
      <c r="D17" s="1934" t="s">
        <v>97</v>
      </c>
      <c r="E17" s="1938">
        <f t="shared" ref="E17:E19" si="2">IFERROR(H17*1000/$C17,"NA")</f>
        <v>66.999999999999986</v>
      </c>
      <c r="F17" s="1938">
        <f t="shared" ref="F17:G19" si="3">IFERROR(I17*1000000/$C17,"NA")</f>
        <v>0.49999999999999989</v>
      </c>
      <c r="G17" s="1938">
        <f t="shared" si="3"/>
        <v>1.9999999999999996</v>
      </c>
      <c r="H17" s="699">
        <v>164.25837339779997</v>
      </c>
      <c r="I17" s="699">
        <v>1.2258087566999999E-3</v>
      </c>
      <c r="J17" s="2921">
        <v>4.9032350267999994E-3</v>
      </c>
    </row>
    <row r="18" spans="2:10" ht="18" customHeight="1" x14ac:dyDescent="0.2">
      <c r="B18" s="282" t="s">
        <v>293</v>
      </c>
      <c r="C18" s="699">
        <v>119839.82517812234</v>
      </c>
      <c r="D18" s="1934" t="s">
        <v>97</v>
      </c>
      <c r="E18" s="1938">
        <f t="shared" si="2"/>
        <v>69.59999999999998</v>
      </c>
      <c r="F18" s="1938">
        <f t="shared" si="3"/>
        <v>0.29775473161192778</v>
      </c>
      <c r="G18" s="1938">
        <f t="shared" si="3"/>
        <v>0.4812492320032099</v>
      </c>
      <c r="H18" s="699">
        <v>8340.851832397313</v>
      </c>
      <c r="I18" s="699">
        <v>3.5682874982332163E-2</v>
      </c>
      <c r="J18" s="2921">
        <v>5.7672823830370312E-2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1148536.3696719622</v>
      </c>
      <c r="D20" s="1934" t="s">
        <v>97</v>
      </c>
      <c r="E20" s="615"/>
      <c r="F20" s="615"/>
      <c r="G20" s="615"/>
      <c r="H20" s="1938">
        <f>IF(SUM(H21:H24,H26,H28)=0,"NO",SUM(H21:H24,H26,H28))</f>
        <v>77796.505089010418</v>
      </c>
      <c r="I20" s="1938">
        <f>IF(SUM(I21:I24,I26:I28)=0,"NO",SUM(I21:I24,I26:I28))</f>
        <v>10.358116051931258</v>
      </c>
      <c r="J20" s="3064">
        <f>IF(SUM(J21:J24,J26:J28)=0,"NO",SUM(J21:J24,J26:J28))</f>
        <v>4.1866787755220649</v>
      </c>
    </row>
    <row r="21" spans="2:10" ht="18" customHeight="1" x14ac:dyDescent="0.2">
      <c r="B21" s="282" t="s">
        <v>281</v>
      </c>
      <c r="C21" s="1938">
        <f>IF(SUM(C31,C41,C51,C61,C72)=0,"NO",SUM(C31,C41,C51,C61,C72))</f>
        <v>600608.94662811141</v>
      </c>
      <c r="D21" s="1934" t="s">
        <v>97</v>
      </c>
      <c r="E21" s="1938">
        <f t="shared" ref="E21:E23" si="4">IFERROR(H21*1000/$C21,"NA")</f>
        <v>67.399999999999991</v>
      </c>
      <c r="F21" s="1938">
        <f t="shared" ref="F21:G23" si="5">IFERROR(I21*1000000/$C21,"NA")</f>
        <v>9.80382457062246</v>
      </c>
      <c r="G21" s="1938">
        <f t="shared" si="5"/>
        <v>5.2874337129080695</v>
      </c>
      <c r="H21" s="1938">
        <f t="shared" ref="H21:J23" si="6">IF(SUM(H31,H41,H51,H61,H72)=0,"NO",SUM(H31,H41,H51,H61,H72))</f>
        <v>40481.043002734703</v>
      </c>
      <c r="I21" s="1938">
        <f t="shared" si="6"/>
        <v>5.8882647482883517</v>
      </c>
      <c r="J21" s="3064">
        <f t="shared" si="6"/>
        <v>3.1756799926756796</v>
      </c>
    </row>
    <row r="22" spans="2:10" ht="18" customHeight="1" x14ac:dyDescent="0.2">
      <c r="B22" s="282" t="s">
        <v>282</v>
      </c>
      <c r="C22" s="1938">
        <f>IF(SUM(C32,C42,C52,C62,C73)=0,"NO",SUM(C32,C42,C52,C62,C73))</f>
        <v>486593.57122877054</v>
      </c>
      <c r="D22" s="1934" t="s">
        <v>97</v>
      </c>
      <c r="E22" s="1938">
        <f t="shared" si="4"/>
        <v>69.899999999999991</v>
      </c>
      <c r="F22" s="1938">
        <f t="shared" si="5"/>
        <v>5.3046648540507588</v>
      </c>
      <c r="G22" s="1938">
        <f t="shared" si="5"/>
        <v>1.6946811944409268</v>
      </c>
      <c r="H22" s="1938">
        <f t="shared" si="6"/>
        <v>34012.890628891058</v>
      </c>
      <c r="I22" s="1938">
        <f t="shared" si="6"/>
        <v>2.5812158155043035</v>
      </c>
      <c r="J22" s="3064">
        <f t="shared" si="6"/>
        <v>0.82462097449724903</v>
      </c>
    </row>
    <row r="23" spans="2:10" ht="18" customHeight="1" x14ac:dyDescent="0.2">
      <c r="B23" s="282" t="s">
        <v>283</v>
      </c>
      <c r="C23" s="1938">
        <f>IF(SUM(C33,C43,C53,C63,C74)=0,"NO",SUM(C33,C43,C53,C63,C74))</f>
        <v>52186</v>
      </c>
      <c r="D23" s="1934" t="s">
        <v>97</v>
      </c>
      <c r="E23" s="1938">
        <f t="shared" si="4"/>
        <v>60.200000000000024</v>
      </c>
      <c r="F23" s="1938">
        <f t="shared" si="5"/>
        <v>26.832464855553742</v>
      </c>
      <c r="G23" s="1938">
        <f t="shared" si="5"/>
        <v>2.6482803338362499</v>
      </c>
      <c r="H23" s="1938">
        <f t="shared" si="6"/>
        <v>3141.5972000000011</v>
      </c>
      <c r="I23" s="1938">
        <f t="shared" si="6"/>
        <v>1.4002790109519276</v>
      </c>
      <c r="J23" s="3064">
        <f t="shared" si="6"/>
        <v>0.13820315750157852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3125.330853779913</v>
      </c>
      <c r="D26" s="1934" t="s">
        <v>97</v>
      </c>
      <c r="E26" s="1938">
        <f t="shared" si="7"/>
        <v>51.411918339264993</v>
      </c>
      <c r="F26" s="1938">
        <f t="shared" si="8"/>
        <v>106.51032861796287</v>
      </c>
      <c r="G26" s="1938">
        <f t="shared" si="8"/>
        <v>0.99999999999999989</v>
      </c>
      <c r="H26" s="1938">
        <f t="shared" ref="H26:J29" si="10">IF(SUM(H36,H46,H56,H66,H77)=0,"NO",SUM(H36,H46,H56,H66,H77))</f>
        <v>160.67925463771823</v>
      </c>
      <c r="I26" s="1938">
        <f t="shared" si="10"/>
        <v>0.33288001627595698</v>
      </c>
      <c r="J26" s="3064">
        <f t="shared" si="10"/>
        <v>3.1253308537799126E-3</v>
      </c>
    </row>
    <row r="27" spans="2:10" ht="18" customHeight="1" x14ac:dyDescent="0.2">
      <c r="B27" s="282" t="s">
        <v>249</v>
      </c>
      <c r="C27" s="1938">
        <f t="shared" si="9"/>
        <v>6018.4963672083941</v>
      </c>
      <c r="D27" s="1934" t="s">
        <v>97</v>
      </c>
      <c r="E27" s="1938">
        <f t="shared" si="7"/>
        <v>67.260000000000005</v>
      </c>
      <c r="F27" s="1938">
        <f t="shared" si="8"/>
        <v>25.833107046110086</v>
      </c>
      <c r="G27" s="1938">
        <f t="shared" si="8"/>
        <v>7.4851453328489477</v>
      </c>
      <c r="H27" s="1938">
        <f t="shared" si="10"/>
        <v>404.80406565843663</v>
      </c>
      <c r="I27" s="1938">
        <f t="shared" si="10"/>
        <v>0.15547646091071912</v>
      </c>
      <c r="J27" s="3064">
        <f t="shared" si="10"/>
        <v>4.5049319993778258E-2</v>
      </c>
    </row>
    <row r="28" spans="2:10" ht="18" customHeight="1" x14ac:dyDescent="0.2">
      <c r="B28" s="282" t="s">
        <v>290</v>
      </c>
      <c r="C28" s="1938">
        <f>C29</f>
        <v>4.0245940921589956</v>
      </c>
      <c r="D28" s="1934" t="s">
        <v>97</v>
      </c>
      <c r="E28" s="615"/>
      <c r="F28" s="615"/>
      <c r="G28" s="615"/>
      <c r="H28" s="1938">
        <f>H29</f>
        <v>0.29500274695525441</v>
      </c>
      <c r="I28" s="1938" t="str">
        <f>I29</f>
        <v>NE</v>
      </c>
      <c r="J28" s="3064" t="str">
        <f>J29</f>
        <v>NE</v>
      </c>
    </row>
    <row r="29" spans="2:10" ht="18" customHeight="1" x14ac:dyDescent="0.2">
      <c r="B29" s="3083" t="s">
        <v>297</v>
      </c>
      <c r="C29" s="1938">
        <f t="shared" si="9"/>
        <v>4.0245940921589956</v>
      </c>
      <c r="D29" s="1934" t="s">
        <v>97</v>
      </c>
      <c r="E29" s="3081">
        <f t="shared" ref="E29" si="11">IFERROR(H29*1000/$C29,"NA")</f>
        <v>73.300000000000011</v>
      </c>
      <c r="F29" s="3081" t="str">
        <f>IFERROR(I29*1000000/$C29,"NA")</f>
        <v>NA</v>
      </c>
      <c r="G29" s="3081" t="str">
        <f>IFERROR(J29*1000000/$C29,"NA")</f>
        <v>NA</v>
      </c>
      <c r="H29" s="1938">
        <f t="shared" si="10"/>
        <v>0.29500274695525441</v>
      </c>
      <c r="I29" s="1938" t="str">
        <f>IF(SUM(I39,I49,I59,I69,I80)=0,"NE",SUM(I39,I49,I59,I69,I80))</f>
        <v>NE</v>
      </c>
      <c r="J29" s="3064" t="str">
        <f>IF(SUM(J39,J49,J59,J69,J80)=0,"NE",SUM(J39,J49,J59,J69,J80))</f>
        <v>NE</v>
      </c>
    </row>
    <row r="30" spans="2:10" ht="18" customHeight="1" x14ac:dyDescent="0.2">
      <c r="B30" s="1241" t="s">
        <v>298</v>
      </c>
      <c r="C30" s="1938">
        <f>IF(SUM(C31:C34,C36:C38)=0,"NO",SUM(C31:C34,C36:C38))</f>
        <v>633935.64203640516</v>
      </c>
      <c r="D30" s="1934" t="s">
        <v>97</v>
      </c>
      <c r="E30" s="615"/>
      <c r="F30" s="615"/>
      <c r="G30" s="615"/>
      <c r="H30" s="1938">
        <f>IF(SUM(H31:H34,H36,H38)=0,"NO",SUM(H31:H34,H36,H38))</f>
        <v>42313.584487170505</v>
      </c>
      <c r="I30" s="1938">
        <f>IF(SUM(I31:I34,I36:I38)=0,"NO",SUM(I31:I34,I36:I38))</f>
        <v>6.2102404915998681</v>
      </c>
      <c r="J30" s="3064">
        <f>IF(SUM(J31:J34,J36:J38)=0,"NO",SUM(J31:J34,J36:J38))</f>
        <v>3.0755717704624228</v>
      </c>
    </row>
    <row r="31" spans="2:10" ht="18" customHeight="1" x14ac:dyDescent="0.2">
      <c r="B31" s="282" t="s">
        <v>281</v>
      </c>
      <c r="C31" s="699">
        <v>518501.83138699597</v>
      </c>
      <c r="D31" s="1934" t="s">
        <v>97</v>
      </c>
      <c r="E31" s="1938">
        <f t="shared" ref="E31:E33" si="12">IFERROR(H31*1000/$C31,"NA")</f>
        <v>67.400000000000006</v>
      </c>
      <c r="F31" s="1938">
        <f t="shared" ref="F31:G33" si="13">IFERROR(I31*1000000/$C31,"NA")</f>
        <v>9.0769386750695826</v>
      </c>
      <c r="G31" s="1938">
        <f t="shared" si="13"/>
        <v>5.506399547441533</v>
      </c>
      <c r="H31" s="699">
        <v>34947.023435483527</v>
      </c>
      <c r="I31" s="699">
        <v>4.7064093264110314</v>
      </c>
      <c r="J31" s="2921">
        <v>2.8550782496969607</v>
      </c>
    </row>
    <row r="32" spans="2:10" ht="18" customHeight="1" x14ac:dyDescent="0.2">
      <c r="B32" s="282" t="s">
        <v>282</v>
      </c>
      <c r="C32" s="699">
        <v>75532.407569302843</v>
      </c>
      <c r="D32" s="1934" t="s">
        <v>97</v>
      </c>
      <c r="E32" s="1938">
        <f t="shared" si="12"/>
        <v>69.90000000000002</v>
      </c>
      <c r="F32" s="1938">
        <f t="shared" si="13"/>
        <v>4.4866091383878359</v>
      </c>
      <c r="G32" s="1938">
        <f t="shared" si="13"/>
        <v>1.1977668681088189</v>
      </c>
      <c r="H32" s="699">
        <v>5279.7152890942698</v>
      </c>
      <c r="I32" s="699">
        <v>0.3388843900448687</v>
      </c>
      <c r="J32" s="2921">
        <v>9.0470215255002706E-2</v>
      </c>
    </row>
    <row r="33" spans="2:10" ht="18" customHeight="1" x14ac:dyDescent="0.2">
      <c r="B33" s="282" t="s">
        <v>283</v>
      </c>
      <c r="C33" s="699">
        <v>34627.501321792937</v>
      </c>
      <c r="D33" s="1934" t="s">
        <v>97</v>
      </c>
      <c r="E33" s="1938">
        <f t="shared" si="12"/>
        <v>60.200000000000024</v>
      </c>
      <c r="F33" s="1938">
        <f t="shared" si="13"/>
        <v>29.583554715006152</v>
      </c>
      <c r="G33" s="1938">
        <f t="shared" si="13"/>
        <v>2.7296427380569486</v>
      </c>
      <c r="H33" s="699">
        <v>2084.5755795719356</v>
      </c>
      <c r="I33" s="699">
        <v>1.0244045799972092</v>
      </c>
      <c r="J33" s="2921">
        <v>9.4520707520089481E-2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44.156746025220961</v>
      </c>
      <c r="D36" s="1934" t="s">
        <v>97</v>
      </c>
      <c r="E36" s="1938">
        <f t="shared" si="14"/>
        <v>51.411918339264993</v>
      </c>
      <c r="F36" s="1938">
        <f t="shared" si="15"/>
        <v>261.00000000000006</v>
      </c>
      <c r="G36" s="1938">
        <f t="shared" si="15"/>
        <v>1</v>
      </c>
      <c r="H36" s="699">
        <v>2.2701830207763241</v>
      </c>
      <c r="I36" s="699">
        <v>1.1524910712582673E-2</v>
      </c>
      <c r="J36" s="2921">
        <v>4.4156746025220964E-5</v>
      </c>
    </row>
    <row r="37" spans="2:10" ht="18" customHeight="1" x14ac:dyDescent="0.2">
      <c r="B37" s="282" t="s">
        <v>249</v>
      </c>
      <c r="C37" s="699">
        <v>5229.7450122882292</v>
      </c>
      <c r="D37" s="1934" t="s">
        <v>97</v>
      </c>
      <c r="E37" s="1938">
        <f t="shared" si="14"/>
        <v>67.260000000000005</v>
      </c>
      <c r="F37" s="1938">
        <f t="shared" si="15"/>
        <v>24.669899609068423</v>
      </c>
      <c r="G37" s="1938">
        <f t="shared" si="15"/>
        <v>6.7801472463818113</v>
      </c>
      <c r="H37" s="699">
        <v>351.75264952650633</v>
      </c>
      <c r="I37" s="699">
        <v>0.12901728443417693</v>
      </c>
      <c r="J37" s="2921">
        <v>3.5458441244345051E-2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202115.63360194565</v>
      </c>
      <c r="D40" s="1934" t="s">
        <v>97</v>
      </c>
      <c r="E40" s="615"/>
      <c r="F40" s="615"/>
      <c r="G40" s="615"/>
      <c r="H40" s="1938">
        <f>IF(SUM(H41:H44,H46,H48)=0,"NO",SUM(H41:H44,H46,H48))</f>
        <v>13755.176908871288</v>
      </c>
      <c r="I40" s="1938">
        <f>IF(SUM(I41:I44,I46:I48)=0,"NO",SUM(I41:I44,I46:I48))</f>
        <v>2.2311235721879537</v>
      </c>
      <c r="J40" s="3064">
        <f>IF(SUM(J41:J44,J46:J48)=0,"NO",SUM(J41:J44,J46:J48))</f>
        <v>0.53875522364350448</v>
      </c>
    </row>
    <row r="41" spans="2:10" ht="18" customHeight="1" x14ac:dyDescent="0.2">
      <c r="B41" s="282" t="s">
        <v>281</v>
      </c>
      <c r="C41" s="699">
        <v>76486.400667791095</v>
      </c>
      <c r="D41" s="1934" t="s">
        <v>97</v>
      </c>
      <c r="E41" s="1938">
        <f t="shared" ref="E41:E43" si="17">IFERROR(H41*1000/$C41,"NA")</f>
        <v>67.399999999999991</v>
      </c>
      <c r="F41" s="1938">
        <f t="shared" ref="F41:G43" si="18">IFERROR(I41*1000000/$C41,"NA")</f>
        <v>11.329970059086801</v>
      </c>
      <c r="G41" s="1938">
        <f t="shared" si="18"/>
        <v>4.1182566768435587</v>
      </c>
      <c r="H41" s="699">
        <v>5155.1834050091193</v>
      </c>
      <c r="I41" s="699">
        <v>0.86658862949338977</v>
      </c>
      <c r="J41" s="2921">
        <v>0.31499063023786228</v>
      </c>
    </row>
    <row r="42" spans="2:10" ht="18" customHeight="1" x14ac:dyDescent="0.2">
      <c r="B42" s="282" t="s">
        <v>282</v>
      </c>
      <c r="C42" s="699">
        <v>111871.58400765959</v>
      </c>
      <c r="D42" s="1934" t="s">
        <v>97</v>
      </c>
      <c r="E42" s="1938">
        <f t="shared" si="17"/>
        <v>69.899999999999991</v>
      </c>
      <c r="F42" s="1938">
        <f t="shared" si="18"/>
        <v>8.7983899996657104</v>
      </c>
      <c r="G42" s="1938">
        <f t="shared" si="18"/>
        <v>1.5749229387784565</v>
      </c>
      <c r="H42" s="699">
        <v>7819.8237221354038</v>
      </c>
      <c r="I42" s="699">
        <v>0.98428982597975456</v>
      </c>
      <c r="J42" s="2921">
        <v>0.17618912385114421</v>
      </c>
    </row>
    <row r="43" spans="2:10" ht="18" customHeight="1" x14ac:dyDescent="0.2">
      <c r="B43" s="282" t="s">
        <v>283</v>
      </c>
      <c r="C43" s="699">
        <v>12905.419317323865</v>
      </c>
      <c r="D43" s="1934" t="s">
        <v>97</v>
      </c>
      <c r="E43" s="1938">
        <f t="shared" si="17"/>
        <v>60.2</v>
      </c>
      <c r="F43" s="1938">
        <f t="shared" si="18"/>
        <v>26.129961963041321</v>
      </c>
      <c r="G43" s="1938">
        <f t="shared" si="18"/>
        <v>2.9383867054912112</v>
      </c>
      <c r="H43" s="699">
        <v>776.90624290289668</v>
      </c>
      <c r="I43" s="699">
        <v>0.33721811587877132</v>
      </c>
      <c r="J43" s="2921">
        <v>3.7921112550813908E-2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63.478254250940282</v>
      </c>
      <c r="D46" s="1934" t="s">
        <v>97</v>
      </c>
      <c r="E46" s="1938">
        <f t="shared" si="19"/>
        <v>51.411918339264986</v>
      </c>
      <c r="F46" s="1938">
        <f t="shared" si="20"/>
        <v>260.99999999999994</v>
      </c>
      <c r="G46" s="1938">
        <f t="shared" si="20"/>
        <v>0.99999999999999978</v>
      </c>
      <c r="H46" s="699">
        <v>3.2635388238684424</v>
      </c>
      <c r="I46" s="699">
        <v>1.6567824359495411E-2</v>
      </c>
      <c r="J46" s="2921">
        <v>6.3478254250940266E-5</v>
      </c>
    </row>
    <row r="47" spans="2:10" ht="18" customHeight="1" x14ac:dyDescent="0.2">
      <c r="B47" s="282" t="s">
        <v>249</v>
      </c>
      <c r="C47" s="699">
        <v>788.75135492016443</v>
      </c>
      <c r="D47" s="1934" t="s">
        <v>97</v>
      </c>
      <c r="E47" s="1938">
        <f t="shared" si="19"/>
        <v>67.260000000000019</v>
      </c>
      <c r="F47" s="1938">
        <f t="shared" si="20"/>
        <v>33.545649476849817</v>
      </c>
      <c r="G47" s="1938">
        <f t="shared" si="20"/>
        <v>12.159571821469605</v>
      </c>
      <c r="H47" s="699">
        <v>53.051416131930274</v>
      </c>
      <c r="I47" s="699">
        <v>2.6459176476542199E-2</v>
      </c>
      <c r="J47" s="2921">
        <v>9.5908787494332036E-3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308667.23829931166</v>
      </c>
      <c r="D50" s="1934" t="s">
        <v>97</v>
      </c>
      <c r="E50" s="615"/>
      <c r="F50" s="615"/>
      <c r="G50" s="615"/>
      <c r="H50" s="1938">
        <f>IF(SUM(H51:H54,H56,H58)=0,"NO",SUM(H51:H54,H56,H58))</f>
        <v>21470.396471371685</v>
      </c>
      <c r="I50" s="1938">
        <f>IF(SUM(I51:I54,I56:I58)=0,"NO",SUM(I51:I54,I56:I58))</f>
        <v>1.6332379277652285</v>
      </c>
      <c r="J50" s="3064">
        <f>IF(SUM(J51:J54,J56:J58)=0,"NO",SUM(J51:J54,J56:J58))</f>
        <v>0.56857159394442824</v>
      </c>
    </row>
    <row r="51" spans="2:10" ht="18" customHeight="1" x14ac:dyDescent="0.2">
      <c r="B51" s="282" t="s">
        <v>281</v>
      </c>
      <c r="C51" s="699">
        <v>1806.8834331165804</v>
      </c>
      <c r="D51" s="1934" t="s">
        <v>97</v>
      </c>
      <c r="E51" s="1938">
        <f t="shared" ref="E51:E53" si="22">IFERROR(H51*1000/$C51,"NA")</f>
        <v>67.399999999999991</v>
      </c>
      <c r="F51" s="1938">
        <f t="shared" ref="F51:G53" si="23">IFERROR(I51*1000000/$C51,"NA")</f>
        <v>17.573204460098268</v>
      </c>
      <c r="G51" s="1938">
        <f t="shared" si="23"/>
        <v>1.0133056928797581</v>
      </c>
      <c r="H51" s="699">
        <v>121.78394339205749</v>
      </c>
      <c r="I51" s="699">
        <v>3.1752732005721963E-2</v>
      </c>
      <c r="J51" s="2921">
        <v>1.8309252691471524E-3</v>
      </c>
    </row>
    <row r="52" spans="2:10" ht="18" customHeight="1" x14ac:dyDescent="0.2">
      <c r="B52" s="282" t="s">
        <v>282</v>
      </c>
      <c r="C52" s="699">
        <v>299189.57965180808</v>
      </c>
      <c r="D52" s="1934" t="s">
        <v>97</v>
      </c>
      <c r="E52" s="1938">
        <f t="shared" si="22"/>
        <v>69.899999999999991</v>
      </c>
      <c r="F52" s="1938">
        <f t="shared" si="23"/>
        <v>4.204830933429462</v>
      </c>
      <c r="G52" s="1938">
        <f t="shared" si="23"/>
        <v>1.8649099879763482</v>
      </c>
      <c r="H52" s="699">
        <v>20913.351617661385</v>
      </c>
      <c r="I52" s="699">
        <v>1.2580415994796803</v>
      </c>
      <c r="J52" s="2921">
        <v>0.55796163539110211</v>
      </c>
    </row>
    <row r="53" spans="2:10" ht="18" customHeight="1" x14ac:dyDescent="0.2">
      <c r="B53" s="282" t="s">
        <v>283</v>
      </c>
      <c r="C53" s="699">
        <v>4653.0793608831964</v>
      </c>
      <c r="D53" s="1934" t="s">
        <v>97</v>
      </c>
      <c r="E53" s="1938">
        <f t="shared" si="22"/>
        <v>60.200000000000024</v>
      </c>
      <c r="F53" s="1938">
        <f t="shared" si="23"/>
        <v>8.3076844553559734</v>
      </c>
      <c r="G53" s="1938">
        <f t="shared" si="23"/>
        <v>1.2381773410332719</v>
      </c>
      <c r="H53" s="699">
        <v>280.11537752516853</v>
      </c>
      <c r="I53" s="699">
        <v>3.8656315075947037E-2</v>
      </c>
      <c r="J53" s="2921">
        <v>5.7613374306751518E-3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3017.6958535037516</v>
      </c>
      <c r="D56" s="1934" t="s">
        <v>97</v>
      </c>
      <c r="E56" s="1938">
        <f t="shared" si="24"/>
        <v>51.411918339265</v>
      </c>
      <c r="F56" s="1938">
        <f t="shared" si="25"/>
        <v>100.99999999999999</v>
      </c>
      <c r="G56" s="1938">
        <f t="shared" si="25"/>
        <v>1</v>
      </c>
      <c r="H56" s="699">
        <v>155.14553279307347</v>
      </c>
      <c r="I56" s="699">
        <v>0.30478728120387888</v>
      </c>
      <c r="J56" s="2921">
        <v>3.0176958535037515E-3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3817.8557342998224</v>
      </c>
      <c r="D60" s="1934" t="s">
        <v>97</v>
      </c>
      <c r="E60" s="615"/>
      <c r="F60" s="615"/>
      <c r="G60" s="615"/>
      <c r="H60" s="1938">
        <f>IF(SUM(H61:H64,H66,H68)=0,"NO",SUM(H61:H64,H66,H68))</f>
        <v>257.34722159695178</v>
      </c>
      <c r="I60" s="1938">
        <f>IF(SUM(I61:I64,I66:I68)=0,"NO",SUM(I61:I64,I66:I68))</f>
        <v>0.2835140603782087</v>
      </c>
      <c r="J60" s="3064">
        <f>IF(SUM(J61:J64,J66:J68)=0,"NO",SUM(J61:J64,J66:J68))</f>
        <v>3.7801874717094492E-3</v>
      </c>
    </row>
    <row r="61" spans="2:10" ht="18" customHeight="1" x14ac:dyDescent="0.2">
      <c r="B61" s="282" t="s">
        <v>281</v>
      </c>
      <c r="C61" s="699">
        <v>3813.8311402076633</v>
      </c>
      <c r="D61" s="1934" t="s">
        <v>97</v>
      </c>
      <c r="E61" s="1938">
        <f t="shared" ref="E61:E63" si="27">IFERROR(H61*1000/$C61,"NA")</f>
        <v>67.400000000000006</v>
      </c>
      <c r="F61" s="1938">
        <f t="shared" ref="F61:G63" si="28">IFERROR(I61*1000000/$C61,"NA")</f>
        <v>74.338388343740704</v>
      </c>
      <c r="G61" s="1938">
        <f t="shared" si="28"/>
        <v>0.9911785112498761</v>
      </c>
      <c r="H61" s="699">
        <v>257.05221884999651</v>
      </c>
      <c r="I61" s="699">
        <v>0.2835140603782087</v>
      </c>
      <c r="J61" s="2921">
        <v>3.7801874717094492E-3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4.0245940921589956</v>
      </c>
      <c r="D68" s="1934" t="s">
        <v>97</v>
      </c>
      <c r="E68" s="615"/>
      <c r="F68" s="615"/>
      <c r="G68" s="615"/>
      <c r="H68" s="1938">
        <f>H69</f>
        <v>0.29500274695525441</v>
      </c>
      <c r="I68" s="1938" t="str">
        <f>I69</f>
        <v>NE</v>
      </c>
      <c r="J68" s="3064" t="str">
        <f>J69</f>
        <v>NE</v>
      </c>
    </row>
    <row r="69" spans="2:10" ht="18" customHeight="1" x14ac:dyDescent="0.2">
      <c r="B69" s="3083" t="s">
        <v>297</v>
      </c>
      <c r="C69" s="699">
        <v>4.0245940921589956</v>
      </c>
      <c r="D69" s="1934" t="s">
        <v>97</v>
      </c>
      <c r="E69" s="3081">
        <f t="shared" ref="E69" si="31">IFERROR(H69*1000/$C69,"NA")</f>
        <v>73.300000000000011</v>
      </c>
      <c r="F69" s="3081" t="str">
        <f>IFERROR(I69*1000000/$C69,"NA")</f>
        <v>NA</v>
      </c>
      <c r="G69" s="3081" t="str">
        <f>IFERROR(J69*1000000/$C69,"NA")</f>
        <v>NA</v>
      </c>
      <c r="H69" s="699">
        <v>0.29500274695525441</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42877.203000000001</v>
      </c>
      <c r="D81" s="1934" t="s">
        <v>97</v>
      </c>
      <c r="E81" s="615"/>
      <c r="F81" s="615"/>
      <c r="G81" s="615"/>
      <c r="H81" s="1938">
        <f>IF(SUM(H82:H84,H86)=0,"NO",SUM(H82:H84,H86))</f>
        <v>2997.1209408000004</v>
      </c>
      <c r="I81" s="1938">
        <f>IF(SUM(I82:I86)=0,"NO",SUM(I82:I86))</f>
        <v>0.17150399999999999</v>
      </c>
      <c r="J81" s="3064">
        <f>IF(SUM(J82:J86)=0,"NO",SUM(J82:J86))</f>
        <v>1.2862799999999999</v>
      </c>
    </row>
    <row r="82" spans="2:10" ht="18" customHeight="1" x14ac:dyDescent="0.2">
      <c r="B82" s="282" t="s">
        <v>243</v>
      </c>
      <c r="C82" s="699">
        <v>42877.203000000001</v>
      </c>
      <c r="D82" s="1934" t="s">
        <v>97</v>
      </c>
      <c r="E82" s="1938">
        <f t="shared" ref="E82:E85" si="37">IFERROR(H82*1000/$C82,"NA")</f>
        <v>69.900103810409476</v>
      </c>
      <c r="F82" s="1938">
        <f t="shared" ref="F82:G85" si="38">IFERROR(I82*1000000/$C82,"NA")</f>
        <v>3.9998877725303115</v>
      </c>
      <c r="G82" s="1938">
        <f t="shared" si="38"/>
        <v>29.999158293977331</v>
      </c>
      <c r="H82" s="699">
        <v>2997.1209408000004</v>
      </c>
      <c r="I82" s="699">
        <v>0.17150399999999999</v>
      </c>
      <c r="J82" s="2921">
        <v>1.2862799999999999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19533.451024601054</v>
      </c>
      <c r="D88" s="1934" t="s">
        <v>97</v>
      </c>
      <c r="E88" s="615"/>
      <c r="F88" s="615"/>
      <c r="G88" s="615"/>
      <c r="H88" s="1938">
        <f>IF(SUM(H89:H92,H94,H96)=0,"NO",SUM(H89:H92,H94,H96))</f>
        <v>1333.3462777598984</v>
      </c>
      <c r="I88" s="3299">
        <f>IF(SUM(I89:I92,I94:I96)=0,"NE",SUM(I89:I92,I94:I96))</f>
        <v>4.4792781566685722</v>
      </c>
      <c r="J88" s="3300">
        <f>IF(SUM(J89:J92,J94:J96)=0,"NE",SUM(J89:J92,J94:J96))</f>
        <v>2.6077390374921735E-2</v>
      </c>
    </row>
    <row r="89" spans="2:10" ht="18" customHeight="1" x14ac:dyDescent="0.2">
      <c r="B89" s="282" t="s">
        <v>306</v>
      </c>
      <c r="C89" s="699">
        <v>2000</v>
      </c>
      <c r="D89" s="1934" t="s">
        <v>97</v>
      </c>
      <c r="E89" s="1938">
        <f t="shared" ref="E89:E91" si="40">IFERROR(H89*1000/$C89,"NA")</f>
        <v>73.599999999999994</v>
      </c>
      <c r="F89" s="1938">
        <f t="shared" ref="F89:G91" si="41">IFERROR(I89*1000000/$C89,"NA")</f>
        <v>7</v>
      </c>
      <c r="G89" s="1938">
        <f t="shared" si="41"/>
        <v>2</v>
      </c>
      <c r="H89" s="699">
        <v>147.19999999999999</v>
      </c>
      <c r="I89" s="4435">
        <v>1.4E-2</v>
      </c>
      <c r="J89" s="4436">
        <v>4.0000000000000001E-3</v>
      </c>
    </row>
    <row r="90" spans="2:10" ht="18" customHeight="1" x14ac:dyDescent="0.2">
      <c r="B90" s="282" t="s">
        <v>307</v>
      </c>
      <c r="C90" s="699">
        <v>5313.2997190998094</v>
      </c>
      <c r="D90" s="1934" t="s">
        <v>97</v>
      </c>
      <c r="E90" s="1938">
        <f t="shared" si="40"/>
        <v>69.900000000000006</v>
      </c>
      <c r="F90" s="1938">
        <f t="shared" si="41"/>
        <v>7.0000000000000009</v>
      </c>
      <c r="G90" s="1938">
        <f t="shared" si="41"/>
        <v>2.0000000000000004</v>
      </c>
      <c r="H90" s="699">
        <v>371.39965036507675</v>
      </c>
      <c r="I90" s="4435">
        <v>3.719309803369867E-2</v>
      </c>
      <c r="J90" s="4436">
        <v>1.0626599438199621E-2</v>
      </c>
    </row>
    <row r="91" spans="2:10" ht="18" customHeight="1" x14ac:dyDescent="0.2">
      <c r="B91" s="282" t="s">
        <v>281</v>
      </c>
      <c r="C91" s="699">
        <v>12010</v>
      </c>
      <c r="D91" s="1934" t="s">
        <v>97</v>
      </c>
      <c r="E91" s="1938">
        <f t="shared" si="40"/>
        <v>67.400000000000006</v>
      </c>
      <c r="F91" s="1938">
        <f t="shared" si="41"/>
        <v>360</v>
      </c>
      <c r="G91" s="1938">
        <f t="shared" si="41"/>
        <v>0.9</v>
      </c>
      <c r="H91" s="699">
        <v>809.47400000000005</v>
      </c>
      <c r="I91" s="4435">
        <v>4.3235999999999999</v>
      </c>
      <c r="J91" s="4436">
        <v>1.0808999999999999E-2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100.00000000000001</v>
      </c>
      <c r="D94" s="1934" t="s">
        <v>97</v>
      </c>
      <c r="E94" s="1938">
        <f t="shared" ref="E94:E95" si="44">IFERROR(H94*1000/$C94,"NA")</f>
        <v>51.411918339265007</v>
      </c>
      <c r="F94" s="1938">
        <f t="shared" si="43"/>
        <v>243.00000000000003</v>
      </c>
      <c r="G94" s="1938">
        <f t="shared" si="43"/>
        <v>1</v>
      </c>
      <c r="H94" s="699">
        <v>5.1411918339265013</v>
      </c>
      <c r="I94" s="3301">
        <v>2.4300000000000006E-2</v>
      </c>
      <c r="J94" s="3302">
        <v>1.0000000000000002E-4</v>
      </c>
    </row>
    <row r="95" spans="2:10" ht="18" customHeight="1" x14ac:dyDescent="0.2">
      <c r="B95" s="282" t="s">
        <v>249</v>
      </c>
      <c r="C95" s="699">
        <v>108.35818734442316</v>
      </c>
      <c r="D95" s="1934" t="s">
        <v>97</v>
      </c>
      <c r="E95" s="1938">
        <f t="shared" si="44"/>
        <v>67.260000000000019</v>
      </c>
      <c r="F95" s="1938">
        <f t="shared" si="43"/>
        <v>739.99999999999989</v>
      </c>
      <c r="G95" s="1938">
        <f t="shared" si="43"/>
        <v>5</v>
      </c>
      <c r="H95" s="699">
        <v>7.2881716807859025</v>
      </c>
      <c r="I95" s="3301">
        <v>8.018505863487313E-2</v>
      </c>
      <c r="J95" s="3302">
        <v>5.4179093672211578E-4</v>
      </c>
    </row>
    <row r="96" spans="2:10" ht="18" customHeight="1" x14ac:dyDescent="0.2">
      <c r="B96" s="282" t="s">
        <v>299</v>
      </c>
      <c r="C96" s="1938">
        <f>IF(SUM(C97:C98)=0,"NO",SUM(C97:C98))</f>
        <v>1.7931181568200767</v>
      </c>
      <c r="D96" s="1934" t="s">
        <v>97</v>
      </c>
      <c r="E96" s="615"/>
      <c r="F96" s="615"/>
      <c r="G96" s="615"/>
      <c r="H96" s="1938">
        <f>IF(SUM(H97:H98)=0,"NO",SUM(H97:H98))</f>
        <v>0.1314355608949116</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1.7931181568200767</v>
      </c>
      <c r="D98" s="1934" t="s">
        <v>97</v>
      </c>
      <c r="E98" s="3081">
        <f t="shared" ref="E98" si="46">IFERROR(H98*1000/$C98,"NA")</f>
        <v>73.299999999999983</v>
      </c>
      <c r="F98" s="3081" t="str">
        <f>IFERROR(I98*1000000/$C98,"NA")</f>
        <v>NA</v>
      </c>
      <c r="G98" s="3081" t="str">
        <f>IFERROR(J98*1000000/$C98,"NA")</f>
        <v>NA</v>
      </c>
      <c r="H98" s="699">
        <v>0.1314355608949116</v>
      </c>
      <c r="I98" s="3301" t="s">
        <v>221</v>
      </c>
      <c r="J98" s="3302" t="s">
        <v>221</v>
      </c>
    </row>
    <row r="99" spans="2:10" ht="18" customHeight="1" x14ac:dyDescent="0.2">
      <c r="B99" s="1240" t="s">
        <v>310</v>
      </c>
      <c r="C99" s="1938">
        <f>IF(SUM(C100:C104)=0,"NO",SUM(C100:C104))</f>
        <v>10685.872380708313</v>
      </c>
      <c r="D99" s="1934" t="s">
        <v>97</v>
      </c>
      <c r="E99" s="615"/>
      <c r="F99" s="615"/>
      <c r="G99" s="615"/>
      <c r="H99" s="1938">
        <f>IF(SUM(H100:H103)=0,"NO",SUM(H100:H103))</f>
        <v>559.32454573136272</v>
      </c>
      <c r="I99" s="1938">
        <f>IF(SUM(I100:I104)=0,"NO",SUM(I100:I104))</f>
        <v>0.11502517999307672</v>
      </c>
      <c r="J99" s="3064">
        <f>IF(SUM(J100:J104)=0,"NO",SUM(J100:J104))</f>
        <v>1.1481133065017249E-3</v>
      </c>
    </row>
    <row r="100" spans="2:10" ht="18" customHeight="1" x14ac:dyDescent="0.2">
      <c r="B100" s="282" t="s">
        <v>243</v>
      </c>
      <c r="C100" s="1938">
        <f>IF(SUM(C106,C113:C116)=0,"NO",SUM(C106,C113:C116))</f>
        <v>625.55017456920825</v>
      </c>
      <c r="D100" s="1934" t="s">
        <v>97</v>
      </c>
      <c r="E100" s="3081">
        <f t="shared" ref="E100:E104" si="47">IFERROR(H100*1000/$C100,"NA")</f>
        <v>67.399999999999991</v>
      </c>
      <c r="F100" s="3081">
        <f t="shared" ref="F100:G104" si="48">IFERROR(I100*1000000/$C100,"NA")</f>
        <v>50</v>
      </c>
      <c r="G100" s="3081">
        <f t="shared" si="48"/>
        <v>0.19999999999999996</v>
      </c>
      <c r="H100" s="1938">
        <f>IF(SUM(H106,H113:H116)=0,"NO",SUM(H106,H113:H116))</f>
        <v>42.162081765964629</v>
      </c>
      <c r="I100" s="1938">
        <f>IF(SUM(I106,I113:I116)=0,"NO",SUM(I106,I113:I116))</f>
        <v>3.1277508728460413E-2</v>
      </c>
      <c r="J100" s="3064">
        <f>IF(SUM(J106,J113:J116)=0,"NO",SUM(J106,J113:J116))</f>
        <v>1.2511003491384162E-4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10041.98</v>
      </c>
      <c r="D102" s="1934" t="s">
        <v>97</v>
      </c>
      <c r="E102" s="3081">
        <f t="shared" si="47"/>
        <v>51.411918339264993</v>
      </c>
      <c r="F102" s="3081">
        <f t="shared" si="48"/>
        <v>7.84474885844749</v>
      </c>
      <c r="G102" s="3081">
        <f t="shared" si="48"/>
        <v>0.1</v>
      </c>
      <c r="H102" s="1938">
        <f t="shared" si="49"/>
        <v>516.27745572453227</v>
      </c>
      <c r="I102" s="1938">
        <f t="shared" si="49"/>
        <v>7.8776811141552522E-2</v>
      </c>
      <c r="J102" s="3064">
        <f t="shared" si="49"/>
        <v>1.004198E-3</v>
      </c>
    </row>
    <row r="103" spans="2:10" ht="18" customHeight="1" x14ac:dyDescent="0.2">
      <c r="B103" s="282" t="s">
        <v>290</v>
      </c>
      <c r="C103" s="1938">
        <f>IF(SUM(C109,C120)=0,"NO",SUM(C109,C120))</f>
        <v>12.073782276476987</v>
      </c>
      <c r="D103" s="1934" t="s">
        <v>97</v>
      </c>
      <c r="E103" s="3081">
        <f t="shared" si="47"/>
        <v>73.3</v>
      </c>
      <c r="F103" s="3081" t="str">
        <f t="shared" si="48"/>
        <v>NA</v>
      </c>
      <c r="G103" s="3081" t="str">
        <f t="shared" si="48"/>
        <v>NA</v>
      </c>
      <c r="H103" s="1938">
        <f t="shared" si="49"/>
        <v>0.88500824086576313</v>
      </c>
      <c r="I103" s="1938" t="str">
        <f t="shared" si="49"/>
        <v>NO</v>
      </c>
      <c r="J103" s="3064" t="str">
        <f t="shared" si="49"/>
        <v>NO</v>
      </c>
    </row>
    <row r="104" spans="2:10" ht="18" customHeight="1" x14ac:dyDescent="0.2">
      <c r="B104" s="282" t="s">
        <v>249</v>
      </c>
      <c r="C104" s="1938">
        <f>IF(SUM(C110,C121)=0,"NO",SUM(C110,C121))</f>
        <v>6.268423862627726</v>
      </c>
      <c r="D104" s="1934" t="s">
        <v>97</v>
      </c>
      <c r="E104" s="3081">
        <f t="shared" si="47"/>
        <v>67.260000000000005</v>
      </c>
      <c r="F104" s="3081">
        <f t="shared" si="48"/>
        <v>793</v>
      </c>
      <c r="G104" s="3081">
        <f t="shared" si="48"/>
        <v>3.0000000000000009</v>
      </c>
      <c r="H104" s="1938">
        <f t="shared" si="49"/>
        <v>0.42161418900034092</v>
      </c>
      <c r="I104" s="1938">
        <f t="shared" si="49"/>
        <v>4.9708601230637871E-3</v>
      </c>
      <c r="J104" s="3064">
        <f t="shared" si="49"/>
        <v>1.8805271587883185E-5</v>
      </c>
    </row>
    <row r="105" spans="2:10" ht="18" customHeight="1" x14ac:dyDescent="0.2">
      <c r="B105" s="1243" t="s">
        <v>311</v>
      </c>
      <c r="C105" s="1938">
        <f>IF(SUM(C106:C110)=0,"NO",SUM(C106:C110))</f>
        <v>10041.98</v>
      </c>
      <c r="D105" s="1934" t="s">
        <v>97</v>
      </c>
      <c r="E105" s="615"/>
      <c r="F105" s="615"/>
      <c r="G105" s="615"/>
      <c r="H105" s="1938">
        <f>IF(SUM(H106:H109)=0,"NO",SUM(H106:H109))</f>
        <v>516.27745572453227</v>
      </c>
      <c r="I105" s="1938">
        <f>IF(SUM(I106:I110)=0,"NO",SUM(I106:I110))</f>
        <v>7.8776811141552522E-2</v>
      </c>
      <c r="J105" s="3064">
        <f>IF(SUM(J106:J110)=0,"NO",SUM(J106:J110))</f>
        <v>1.004198E-3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10041.98</v>
      </c>
      <c r="D108" s="1934" t="s">
        <v>97</v>
      </c>
      <c r="E108" s="3081">
        <f t="shared" si="50"/>
        <v>51.411918339264993</v>
      </c>
      <c r="F108" s="3081">
        <f t="shared" si="51"/>
        <v>7.84474885844749</v>
      </c>
      <c r="G108" s="3081">
        <f t="shared" si="51"/>
        <v>0.1</v>
      </c>
      <c r="H108" s="699">
        <v>516.27745572453227</v>
      </c>
      <c r="I108" s="699">
        <v>7.8776811141552522E-2</v>
      </c>
      <c r="J108" s="2921">
        <v>1.004198E-3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643.892380708313</v>
      </c>
      <c r="D111" s="1934" t="s">
        <v>97</v>
      </c>
      <c r="E111" s="615"/>
      <c r="F111" s="615"/>
      <c r="G111" s="615"/>
      <c r="H111" s="1938">
        <f>H112</f>
        <v>43.047090006830395</v>
      </c>
      <c r="I111" s="1938">
        <f>I112</f>
        <v>3.6248368851524201E-2</v>
      </c>
      <c r="J111" s="3064">
        <f>J112</f>
        <v>1.4391530650172482E-4</v>
      </c>
    </row>
    <row r="112" spans="2:10" ht="18" customHeight="1" x14ac:dyDescent="0.2">
      <c r="B112" s="3068" t="s">
        <v>313</v>
      </c>
      <c r="C112" s="3077">
        <f>IF(SUM(C113:C116,C118:C121)=0,"NO",SUM(C113:C116,C118:C121))</f>
        <v>643.892380708313</v>
      </c>
      <c r="D112" s="3077" t="s">
        <v>97</v>
      </c>
      <c r="E112" s="615"/>
      <c r="F112" s="615"/>
      <c r="G112" s="615"/>
      <c r="H112" s="3077">
        <f>IF(SUM(H113:H116,H118:H120)=0,"NO",SUM(H113:H116,H118:H120))</f>
        <v>43.047090006830395</v>
      </c>
      <c r="I112" s="3077">
        <f>IF(SUM(I113:I116,I118:I121)=0,"NO",SUM(I113:I116,I118:I121))</f>
        <v>3.6248368851524201E-2</v>
      </c>
      <c r="J112" s="3078">
        <f>IF(SUM(J113:J116,J118:J121)=0,"NO",SUM(J113:J116,J118:J121))</f>
        <v>1.4391530650172482E-4</v>
      </c>
    </row>
    <row r="113" spans="2:10" ht="18" customHeight="1" x14ac:dyDescent="0.2">
      <c r="B113" s="282" t="s">
        <v>281</v>
      </c>
      <c r="C113" s="699">
        <v>625.55017456920825</v>
      </c>
      <c r="D113" s="1938" t="s">
        <v>97</v>
      </c>
      <c r="E113" s="1938">
        <f t="shared" ref="E113:E115" si="52">IFERROR(H113*1000/$C113,"NA")</f>
        <v>67.399999999999991</v>
      </c>
      <c r="F113" s="1938">
        <f t="shared" ref="F113:G115" si="53">IFERROR(I113*1000000/$C113,"NA")</f>
        <v>50</v>
      </c>
      <c r="G113" s="1938">
        <f t="shared" si="53"/>
        <v>0.19999999999999996</v>
      </c>
      <c r="H113" s="699">
        <v>42.162081765964629</v>
      </c>
      <c r="I113" s="699">
        <v>3.1277508728460413E-2</v>
      </c>
      <c r="J113" s="2921">
        <v>1.2511003491384162E-4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12.073782276476987</v>
      </c>
      <c r="D120" s="1934" t="s">
        <v>97</v>
      </c>
      <c r="E120" s="3081">
        <f t="shared" si="54"/>
        <v>73.3</v>
      </c>
      <c r="F120" s="3081" t="str">
        <f t="shared" si="55"/>
        <v>NA</v>
      </c>
      <c r="G120" s="3081" t="str">
        <f t="shared" si="55"/>
        <v>NA</v>
      </c>
      <c r="H120" s="699">
        <v>0.88500824086576313</v>
      </c>
      <c r="I120" s="699" t="s">
        <v>221</v>
      </c>
      <c r="J120" s="2921" t="s">
        <v>221</v>
      </c>
    </row>
    <row r="121" spans="2:10" ht="18" customHeight="1" thickBot="1" x14ac:dyDescent="0.25">
      <c r="B121" s="2210" t="s">
        <v>249</v>
      </c>
      <c r="C121" s="1562">
        <v>6.268423862627726</v>
      </c>
      <c r="D121" s="2891" t="s">
        <v>97</v>
      </c>
      <c r="E121" s="3082">
        <f t="shared" si="54"/>
        <v>67.260000000000005</v>
      </c>
      <c r="F121" s="3082">
        <f t="shared" si="55"/>
        <v>793</v>
      </c>
      <c r="G121" s="3082">
        <f t="shared" si="55"/>
        <v>3.0000000000000009</v>
      </c>
      <c r="H121" s="1562">
        <v>0.42161418900034092</v>
      </c>
      <c r="I121" s="1562">
        <v>4.9708601230637871E-3</v>
      </c>
      <c r="J121" s="1564">
        <v>1.8805271587883185E-5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396699.8588680051</v>
      </c>
      <c r="D10" s="3087" t="s">
        <v>97</v>
      </c>
      <c r="E10" s="2161"/>
      <c r="F10" s="2161"/>
      <c r="G10" s="2161"/>
      <c r="H10" s="3087">
        <f>IF(SUM(H11:H15)=0,"NO",SUM(H11:H15))</f>
        <v>20151.743905091051</v>
      </c>
      <c r="I10" s="3087">
        <f>IF(SUM(I11:I16)=0,"NO",SUM(I11:I16))</f>
        <v>38.489998252866194</v>
      </c>
      <c r="J10" s="3087">
        <f>IF(SUM(J11:J16)=0,"NO",SUM(J11:J16))</f>
        <v>0.65809685756929559</v>
      </c>
      <c r="K10" s="416" t="str">
        <f>IF(SUM(K11:K16)=0,"NO",SUM(K11:K16))</f>
        <v>NO</v>
      </c>
    </row>
    <row r="11" spans="2:12" ht="18" customHeight="1" x14ac:dyDescent="0.2">
      <c r="B11" s="282" t="s">
        <v>243</v>
      </c>
      <c r="C11" s="1938">
        <f>IF(SUM(C18,C39,C60)=0,"NO",SUM(C18,C39,C60))</f>
        <v>148845.92581611243</v>
      </c>
      <c r="D11" s="3087" t="s">
        <v>97</v>
      </c>
      <c r="E11" s="1938">
        <f t="shared" ref="E11:E16" si="0">IFERROR(H11*1000/$C11,"NA")</f>
        <v>68.28425458644513</v>
      </c>
      <c r="F11" s="1938">
        <f t="shared" ref="F11:G16" si="1">IFERROR(I11*1000000/$C11,"NA")</f>
        <v>9.2987931429830883</v>
      </c>
      <c r="G11" s="1938">
        <f t="shared" si="1"/>
        <v>2.567521977436706</v>
      </c>
      <c r="H11" s="1938">
        <f>IF(SUM(H18,H39,H60)=0,"NO",SUM(H18,H39,H60))</f>
        <v>10163.833092582547</v>
      </c>
      <c r="I11" s="1938">
        <f>IF(SUM(I18,I39,I60)=0,"NO",SUM(I18,I39,I60))</f>
        <v>1.3840874743398359</v>
      </c>
      <c r="J11" s="1938">
        <f>IF(SUM(J18,J39,J60)=0,"NO",SUM(J18,J39,J60))</f>
        <v>0.3821651857847822</v>
      </c>
      <c r="K11" s="3064" t="str">
        <f>IF(SUM(K18,K39,K60)=0,"NO",SUM(K18,K39,K60))</f>
        <v>NO</v>
      </c>
    </row>
    <row r="12" spans="2:12" ht="18" customHeight="1" x14ac:dyDescent="0.2">
      <c r="B12" s="282" t="s">
        <v>245</v>
      </c>
      <c r="C12" s="1938">
        <f t="shared" ref="C12:C16" si="2">IF(SUM(C19,C40,C61)=0,"NO",SUM(C19,C40,C61))</f>
        <v>1109.6542602575585</v>
      </c>
      <c r="D12" s="3087" t="s">
        <v>97</v>
      </c>
      <c r="E12" s="1938">
        <f t="shared" si="0"/>
        <v>94.375853715322691</v>
      </c>
      <c r="F12" s="1938">
        <f t="shared" si="1"/>
        <v>0.95238095238095211</v>
      </c>
      <c r="G12" s="1938">
        <f t="shared" si="1"/>
        <v>0.66666666666666652</v>
      </c>
      <c r="H12" s="1938">
        <f t="shared" ref="H12:K16" si="3">IF(SUM(H19,H40,H61)=0,"NO",SUM(H19,H40,H61))</f>
        <v>104.72456814065194</v>
      </c>
      <c r="I12" s="1938">
        <f t="shared" si="3"/>
        <v>1.0568135811976744E-3</v>
      </c>
      <c r="J12" s="1938">
        <f t="shared" si="3"/>
        <v>7.397695068383722E-4</v>
      </c>
      <c r="K12" s="3064" t="str">
        <f t="shared" si="3"/>
        <v>NO</v>
      </c>
    </row>
    <row r="13" spans="2:12" ht="18" customHeight="1" x14ac:dyDescent="0.2">
      <c r="B13" s="282" t="s">
        <v>246</v>
      </c>
      <c r="C13" s="1938">
        <f t="shared" si="2"/>
        <v>192221.63067434207</v>
      </c>
      <c r="D13" s="3087" t="s">
        <v>97</v>
      </c>
      <c r="E13" s="1938">
        <f t="shared" si="0"/>
        <v>51.41557799554694</v>
      </c>
      <c r="F13" s="1938">
        <f t="shared" si="1"/>
        <v>0.90909090909090906</v>
      </c>
      <c r="G13" s="1938">
        <f t="shared" si="1"/>
        <v>0.90909090909090906</v>
      </c>
      <c r="H13" s="1938">
        <f t="shared" si="3"/>
        <v>9883.1862443678529</v>
      </c>
      <c r="I13" s="1938">
        <f t="shared" si="3"/>
        <v>0.17474693697667459</v>
      </c>
      <c r="J13" s="1938">
        <f t="shared" si="3"/>
        <v>0.17474693697667459</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54522.648117293051</v>
      </c>
      <c r="D16" s="3087" t="s">
        <v>97</v>
      </c>
      <c r="E16" s="1938">
        <f t="shared" si="0"/>
        <v>76.588673684807247</v>
      </c>
      <c r="F16" s="1938">
        <f t="shared" si="1"/>
        <v>677.33516810338654</v>
      </c>
      <c r="G16" s="1938">
        <f t="shared" si="1"/>
        <v>1.8422613128569238</v>
      </c>
      <c r="H16" s="1938">
        <f t="shared" si="3"/>
        <v>4175.8173050869282</v>
      </c>
      <c r="I16" s="1938">
        <f t="shared" si="3"/>
        <v>36.930107027968482</v>
      </c>
      <c r="J16" s="1938">
        <f t="shared" si="3"/>
        <v>0.10044496530100039</v>
      </c>
      <c r="K16" s="3064" t="str">
        <f t="shared" si="3"/>
        <v>NO</v>
      </c>
    </row>
    <row r="17" spans="2:11" ht="18" customHeight="1" x14ac:dyDescent="0.2">
      <c r="B17" s="1240" t="s">
        <v>322</v>
      </c>
      <c r="C17" s="3087">
        <f>IF(SUM(C18:C23)=0,"NO",SUM(C18:C23))</f>
        <v>87479.590331446176</v>
      </c>
      <c r="D17" s="3087" t="s">
        <v>97</v>
      </c>
      <c r="E17" s="615"/>
      <c r="F17" s="615"/>
      <c r="G17" s="615"/>
      <c r="H17" s="3057">
        <f>IF(SUM(H18:H22)=0,"NO",SUM(H18:H22))</f>
        <v>5075.8005950081952</v>
      </c>
      <c r="I17" s="3057">
        <f>IF(SUM(I18:I23)=0,"NO",SUM(I18:I23))</f>
        <v>0.11123158633356603</v>
      </c>
      <c r="J17" s="3088">
        <f>IF(SUM(J18:J23)=0,"NO",SUM(J18:J23))</f>
        <v>9.4763432493796651E-2</v>
      </c>
      <c r="K17" s="3064" t="str">
        <f>IF(SUM(K18:K23)=0,"NO",SUM(K18:K23))</f>
        <v>NO</v>
      </c>
    </row>
    <row r="18" spans="2:11" ht="18" customHeight="1" x14ac:dyDescent="0.2">
      <c r="B18" s="282" t="s">
        <v>243</v>
      </c>
      <c r="C18" s="3087">
        <f>IF(SUM(C26,C33)=0,"NO",SUM(C26,C33))</f>
        <v>39066.518081594877</v>
      </c>
      <c r="D18" s="3087" t="s">
        <v>97</v>
      </c>
      <c r="E18" s="1938">
        <f t="shared" ref="E18" si="4">IFERROR(H18*1000/$C18,"NA")</f>
        <v>68.565971050071525</v>
      </c>
      <c r="F18" s="1938">
        <f t="shared" ref="F18:G23" si="5">IFERROR(I18*1000000/$C18,"NA")</f>
        <v>1.6248002111982685</v>
      </c>
      <c r="G18" s="1938">
        <f t="shared" si="5"/>
        <v>1.268161838333985</v>
      </c>
      <c r="H18" s="3087">
        <f>IF(SUM(H26,H33)=0,"NO",SUM(H26,H33))</f>
        <v>2678.6337478097298</v>
      </c>
      <c r="I18" s="3087">
        <f>IF(SUM(I26,I33)=0,"NO",SUM(I26,I33))</f>
        <v>6.3475286829756325E-2</v>
      </c>
      <c r="J18" s="3087">
        <f>IF(SUM(J26,J33)=0,"NO",SUM(J26,J33))</f>
        <v>4.9542667387663226E-2</v>
      </c>
      <c r="K18" s="3064" t="str">
        <f>IF(SUM(K26,K33)=0,"NO",SUM(K26,K33))</f>
        <v>NO</v>
      </c>
    </row>
    <row r="19" spans="2:11" ht="18" customHeight="1" x14ac:dyDescent="0.2">
      <c r="B19" s="282" t="s">
        <v>245</v>
      </c>
      <c r="C19" s="3087">
        <f t="shared" ref="C19:C21" si="6">IF(SUM(C27,C34)=0,"NO",SUM(C27,C34))</f>
        <v>1092.4374342604456</v>
      </c>
      <c r="D19" s="3087" t="s">
        <v>97</v>
      </c>
      <c r="E19" s="1938">
        <f t="shared" ref="E19:E23" si="7">IFERROR(H19*1000/$C19,"NA")</f>
        <v>94.366017163001217</v>
      </c>
      <c r="F19" s="1938">
        <f t="shared" si="5"/>
        <v>0.95238095238095211</v>
      </c>
      <c r="G19" s="1938">
        <f t="shared" si="5"/>
        <v>0.66666666666666663</v>
      </c>
      <c r="H19" s="3087">
        <f t="shared" ref="H19:K21" si="8">IF(SUM(H27,H34)=0,"NO",SUM(H27,H34))</f>
        <v>103.08896967092622</v>
      </c>
      <c r="I19" s="3087">
        <f t="shared" si="8"/>
        <v>1.0404166040575669E-3</v>
      </c>
      <c r="J19" s="3087">
        <f t="shared" si="8"/>
        <v>7.2829162284029697E-4</v>
      </c>
      <c r="K19" s="3064" t="str">
        <f t="shared" si="8"/>
        <v>NO</v>
      </c>
    </row>
    <row r="20" spans="2:11" ht="18" customHeight="1" x14ac:dyDescent="0.2">
      <c r="B20" s="282" t="s">
        <v>246</v>
      </c>
      <c r="C20" s="3087">
        <f t="shared" si="6"/>
        <v>44607.835819224587</v>
      </c>
      <c r="D20" s="3087" t="s">
        <v>97</v>
      </c>
      <c r="E20" s="1938">
        <f t="shared" si="7"/>
        <v>51.427688328669447</v>
      </c>
      <c r="F20" s="1938">
        <f t="shared" si="5"/>
        <v>0.90909090909090906</v>
      </c>
      <c r="G20" s="1938">
        <f t="shared" si="5"/>
        <v>0.90909090909090906</v>
      </c>
      <c r="H20" s="3087">
        <f t="shared" si="8"/>
        <v>2294.0778775275389</v>
      </c>
      <c r="I20" s="3087">
        <f t="shared" si="8"/>
        <v>4.0552578017476894E-2</v>
      </c>
      <c r="J20" s="3087">
        <f t="shared" si="8"/>
        <v>4.0552578017476894E-2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2712.7989963662708</v>
      </c>
      <c r="D23" s="3087" t="s">
        <v>97</v>
      </c>
      <c r="E23" s="1938">
        <f t="shared" si="7"/>
        <v>58.701026371726719</v>
      </c>
      <c r="F23" s="1938">
        <f t="shared" si="5"/>
        <v>2.2719356983436034</v>
      </c>
      <c r="G23" s="1938">
        <f t="shared" si="5"/>
        <v>1.452335934617208</v>
      </c>
      <c r="H23" s="3087">
        <f>IF(SUM(H31,H37)=0,"NO",SUM(H31,H37))</f>
        <v>159.24408542689022</v>
      </c>
      <c r="I23" s="3087">
        <f>IF(SUM(I31,I37)=0,"NO",SUM(I31,I37))</f>
        <v>6.16330488227523E-3</v>
      </c>
      <c r="J23" s="3087">
        <f>IF(SUM(J31,J37)=0,"NO",SUM(J31,J37))</f>
        <v>3.9398954658162316E-3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87479.590331446176</v>
      </c>
      <c r="D25" s="3057" t="s">
        <v>97</v>
      </c>
      <c r="E25" s="615"/>
      <c r="F25" s="615"/>
      <c r="G25" s="615"/>
      <c r="H25" s="3057">
        <f>IF(SUM(H26:H30)=0,"NO",SUM(H26:H30))</f>
        <v>5075.8005950081952</v>
      </c>
      <c r="I25" s="3057">
        <f>IF(SUM(I26:I31)=0,"NO",SUM(I26:I31))</f>
        <v>0.11123158633356603</v>
      </c>
      <c r="J25" s="3088">
        <f>IF(SUM(J26:J31)=0,"NO",SUM(J26:J31))</f>
        <v>9.4763432493796651E-2</v>
      </c>
      <c r="K25" s="3064" t="str">
        <f>IF(SUM(K26:K31)=0,"NO",SUM(K26:K31))</f>
        <v>NO</v>
      </c>
    </row>
    <row r="26" spans="2:11" ht="18" customHeight="1" x14ac:dyDescent="0.2">
      <c r="B26" s="282" t="s">
        <v>243</v>
      </c>
      <c r="C26" s="699">
        <v>39066.518081594877</v>
      </c>
      <c r="D26" s="3057" t="s">
        <v>97</v>
      </c>
      <c r="E26" s="1938">
        <f t="shared" ref="E26:E31" si="9">IFERROR(H26*1000/$C26,"NA")</f>
        <v>68.565971050071525</v>
      </c>
      <c r="F26" s="1938">
        <f t="shared" ref="F26:G31" si="10">IFERROR(I26*1000000/$C26,"NA")</f>
        <v>1.6248002111982685</v>
      </c>
      <c r="G26" s="1938">
        <f t="shared" si="10"/>
        <v>1.268161838333985</v>
      </c>
      <c r="H26" s="699">
        <v>2678.6337478097298</v>
      </c>
      <c r="I26" s="699">
        <v>6.3475286829756325E-2</v>
      </c>
      <c r="J26" s="699">
        <v>4.9542667387663226E-2</v>
      </c>
      <c r="K26" s="2921" t="s">
        <v>199</v>
      </c>
    </row>
    <row r="27" spans="2:11" ht="18" customHeight="1" x14ac:dyDescent="0.2">
      <c r="B27" s="282" t="s">
        <v>245</v>
      </c>
      <c r="C27" s="699">
        <v>1092.4374342604456</v>
      </c>
      <c r="D27" s="3057" t="s">
        <v>97</v>
      </c>
      <c r="E27" s="1938">
        <f t="shared" si="9"/>
        <v>94.366017163001217</v>
      </c>
      <c r="F27" s="1938">
        <f t="shared" si="10"/>
        <v>0.95238095238095211</v>
      </c>
      <c r="G27" s="1938">
        <f t="shared" si="10"/>
        <v>0.66666666666666663</v>
      </c>
      <c r="H27" s="699">
        <v>103.08896967092622</v>
      </c>
      <c r="I27" s="699">
        <v>1.0404166040575669E-3</v>
      </c>
      <c r="J27" s="699">
        <v>7.2829162284029697E-4</v>
      </c>
      <c r="K27" s="2921" t="s">
        <v>199</v>
      </c>
    </row>
    <row r="28" spans="2:11" ht="18" customHeight="1" x14ac:dyDescent="0.2">
      <c r="B28" s="282" t="s">
        <v>246</v>
      </c>
      <c r="C28" s="699">
        <v>44607.835819224587</v>
      </c>
      <c r="D28" s="3057" t="s">
        <v>97</v>
      </c>
      <c r="E28" s="1938">
        <f t="shared" si="9"/>
        <v>51.427688328669447</v>
      </c>
      <c r="F28" s="1938">
        <f t="shared" si="10"/>
        <v>0.90909090909090906</v>
      </c>
      <c r="G28" s="1938">
        <f t="shared" si="10"/>
        <v>0.90909090909090906</v>
      </c>
      <c r="H28" s="699">
        <v>2294.0778775275389</v>
      </c>
      <c r="I28" s="699">
        <v>4.0552578017476894E-2</v>
      </c>
      <c r="J28" s="699">
        <v>4.0552578017476894E-2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2712.7989963662708</v>
      </c>
      <c r="D31" s="3057" t="s">
        <v>97</v>
      </c>
      <c r="E31" s="1938">
        <f t="shared" si="9"/>
        <v>58.701026371726719</v>
      </c>
      <c r="F31" s="1938">
        <f t="shared" si="10"/>
        <v>2.2719356983436034</v>
      </c>
      <c r="G31" s="1938">
        <f t="shared" si="10"/>
        <v>1.452335934617208</v>
      </c>
      <c r="H31" s="699">
        <v>159.24408542689022</v>
      </c>
      <c r="I31" s="699">
        <v>6.16330488227523E-3</v>
      </c>
      <c r="J31" s="699">
        <v>3.9398954658162316E-3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218415.66109534013</v>
      </c>
      <c r="D38" s="3057" t="s">
        <v>97</v>
      </c>
      <c r="E38" s="615"/>
      <c r="F38" s="615"/>
      <c r="G38" s="615"/>
      <c r="H38" s="1938">
        <f>IF(SUM(H39:H43)=0,"NO",SUM(H39:H43))</f>
        <v>8788.5762114560766</v>
      </c>
      <c r="I38" s="1938">
        <f>IF(SUM(I39:I44)=0,"NO",SUM(I39:I44))</f>
        <v>37.774355709007125</v>
      </c>
      <c r="J38" s="1938">
        <f>IF(SUM(J39:J44)=0,"NO",SUM(J39:J44))</f>
        <v>0.24129233140638218</v>
      </c>
      <c r="K38" s="3064" t="str">
        <f>IF(SUM(K39:K44)=0,"NO",SUM(K39:K44))</f>
        <v>NO</v>
      </c>
    </row>
    <row r="39" spans="2:11" ht="18" customHeight="1" x14ac:dyDescent="0.2">
      <c r="B39" s="282" t="s">
        <v>243</v>
      </c>
      <c r="C39" s="3087">
        <f>IF(SUM(C47,C54)=0,"NO",SUM(C47,C54))</f>
        <v>20380.618293298765</v>
      </c>
      <c r="D39" s="3057" t="s">
        <v>97</v>
      </c>
      <c r="E39" s="1938">
        <f t="shared" ref="E39:E44" si="13">IFERROR(H39*1000/$C39,"NA")</f>
        <v>62.319407001480464</v>
      </c>
      <c r="F39" s="1938">
        <f t="shared" ref="F39:G44" si="14">IFERROR(I39*1000000/$C39,"NA")</f>
        <v>35.203998034943417</v>
      </c>
      <c r="G39" s="1938">
        <f t="shared" si="14"/>
        <v>0.58189800333672947</v>
      </c>
      <c r="H39" s="1938">
        <f>IF(SUM(H47,H54)=0,"NO",SUM(H47,H54))</f>
        <v>1270.1080463619039</v>
      </c>
      <c r="I39" s="1938">
        <f>IF(SUM(I47,I54)=0,"NO",SUM(I47,I54))</f>
        <v>0.71747924634822158</v>
      </c>
      <c r="J39" s="1938">
        <f>IF(SUM(J47,J54)=0,"NO",SUM(J47,J54))</f>
        <v>1.1859441091638575E-2</v>
      </c>
      <c r="K39" s="3064" t="str">
        <f>IF(SUM(K47,K54)=0,"NO",SUM(K47,K54))</f>
        <v>NO</v>
      </c>
    </row>
    <row r="40" spans="2:11" ht="18" customHeight="1" x14ac:dyDescent="0.2">
      <c r="B40" s="282" t="s">
        <v>245</v>
      </c>
      <c r="C40" s="3087">
        <f t="shared" ref="C40:C42" si="15">IF(SUM(C48,C55)=0,"NO",SUM(C48,C55))</f>
        <v>17.216825997112799</v>
      </c>
      <c r="D40" s="3057" t="s">
        <v>97</v>
      </c>
      <c r="E40" s="1938">
        <f t="shared" si="13"/>
        <v>95.000000000000014</v>
      </c>
      <c r="F40" s="1938">
        <f t="shared" si="14"/>
        <v>0.95238095238095233</v>
      </c>
      <c r="G40" s="1938">
        <f t="shared" si="14"/>
        <v>0.66666666666666652</v>
      </c>
      <c r="H40" s="1938">
        <f t="shared" ref="H40:K42" si="16">IF(SUM(H48,H55)=0,"NO",SUM(H48,H55))</f>
        <v>1.635598469725716</v>
      </c>
      <c r="I40" s="1938">
        <f t="shared" si="16"/>
        <v>1.6396977140107428E-5</v>
      </c>
      <c r="J40" s="1938">
        <f t="shared" si="16"/>
        <v>1.1477883998075197E-5</v>
      </c>
      <c r="K40" s="3064" t="str">
        <f t="shared" si="16"/>
        <v>NO</v>
      </c>
    </row>
    <row r="41" spans="2:11" ht="18" customHeight="1" x14ac:dyDescent="0.2">
      <c r="B41" s="282" t="s">
        <v>246</v>
      </c>
      <c r="C41" s="3087">
        <f t="shared" si="15"/>
        <v>146207.97685511748</v>
      </c>
      <c r="D41" s="3057" t="s">
        <v>97</v>
      </c>
      <c r="E41" s="1938">
        <f t="shared" si="13"/>
        <v>51.411918339265</v>
      </c>
      <c r="F41" s="1938">
        <f t="shared" si="14"/>
        <v>0.90909090909090917</v>
      </c>
      <c r="G41" s="1938">
        <f t="shared" si="14"/>
        <v>0.90909090909090917</v>
      </c>
      <c r="H41" s="1938">
        <f t="shared" si="16"/>
        <v>7516.8325666244464</v>
      </c>
      <c r="I41" s="1938">
        <f t="shared" si="16"/>
        <v>0.13291634259556134</v>
      </c>
      <c r="J41" s="1938">
        <f t="shared" si="16"/>
        <v>0.13291634259556134</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51809.849120926781</v>
      </c>
      <c r="D44" s="3057" t="s">
        <v>97</v>
      </c>
      <c r="E44" s="1938">
        <f t="shared" si="13"/>
        <v>77.525283084402645</v>
      </c>
      <c r="F44" s="1938">
        <f t="shared" si="14"/>
        <v>712.68193885112203</v>
      </c>
      <c r="G44" s="1938">
        <f t="shared" si="14"/>
        <v>1.8626780713052549</v>
      </c>
      <c r="H44" s="1938">
        <f>IF(SUM(H52,H58)=0,"NO",SUM(H52,H58))</f>
        <v>4016.5732196600384</v>
      </c>
      <c r="I44" s="1938">
        <f>IF(SUM(I52,I58)=0,"NO",SUM(I52,I58))</f>
        <v>36.923943723086204</v>
      </c>
      <c r="J44" s="1938">
        <f>IF(SUM(J52,J58)=0,"NO",SUM(J52,J58))</f>
        <v>9.6505069835184157E-2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214484.34537176427</v>
      </c>
      <c r="D46" s="3057" t="s">
        <v>97</v>
      </c>
      <c r="E46" s="615"/>
      <c r="F46" s="615"/>
      <c r="G46" s="615"/>
      <c r="H46" s="1938">
        <f>IF(SUM(H47:H51)=0,"NO",SUM(H47:H51))</f>
        <v>8521.5143254054565</v>
      </c>
      <c r="I46" s="1938">
        <f>IF(SUM(I47:I52)=0,"NO",SUM(I47:I52))</f>
        <v>37.044876904059912</v>
      </c>
      <c r="J46" s="1938">
        <f>IF(SUM(J47:J52)=0,"NO",SUM(J47:J52))</f>
        <v>0.2395403888961726</v>
      </c>
      <c r="K46" s="3064" t="str">
        <f>IF(SUM(K47:K52)=0,"NO",SUM(K47:K52))</f>
        <v>NO</v>
      </c>
    </row>
    <row r="47" spans="2:11" ht="18" customHeight="1" x14ac:dyDescent="0.2">
      <c r="B47" s="282" t="s">
        <v>243</v>
      </c>
      <c r="C47" s="699">
        <v>16488.306095979249</v>
      </c>
      <c r="D47" s="3057" t="s">
        <v>97</v>
      </c>
      <c r="E47" s="1938">
        <f t="shared" ref="E47:E52" si="17">IFERROR(H47*1000/$C47,"NA")</f>
        <v>60.833790595134687</v>
      </c>
      <c r="F47" s="1938">
        <f t="shared" ref="F47:G52" si="18">IFERROR(I47*1000000/$C47,"NA")</f>
        <v>1.0227279098621636</v>
      </c>
      <c r="G47" s="1938">
        <f t="shared" si="18"/>
        <v>0.62483775790789609</v>
      </c>
      <c r="H47" s="699">
        <v>1003.0461603112843</v>
      </c>
      <c r="I47" s="699">
        <v>1.6863050830708427E-2</v>
      </c>
      <c r="J47" s="699">
        <v>1.0302516212710769E-2</v>
      </c>
      <c r="K47" s="2921" t="s">
        <v>199</v>
      </c>
    </row>
    <row r="48" spans="2:11" ht="18" customHeight="1" x14ac:dyDescent="0.2">
      <c r="B48" s="282" t="s">
        <v>245</v>
      </c>
      <c r="C48" s="699">
        <v>17.216825997112799</v>
      </c>
      <c r="D48" s="3057" t="s">
        <v>97</v>
      </c>
      <c r="E48" s="1938">
        <f t="shared" si="17"/>
        <v>95.000000000000014</v>
      </c>
      <c r="F48" s="1938">
        <f t="shared" si="18"/>
        <v>0.95238095238095233</v>
      </c>
      <c r="G48" s="1938">
        <f t="shared" si="18"/>
        <v>0.66666666666666652</v>
      </c>
      <c r="H48" s="699">
        <v>1.635598469725716</v>
      </c>
      <c r="I48" s="699">
        <v>1.6396977140107428E-5</v>
      </c>
      <c r="J48" s="699">
        <v>1.1477883998075197E-5</v>
      </c>
      <c r="K48" s="2921" t="s">
        <v>199</v>
      </c>
    </row>
    <row r="49" spans="2:11" ht="18" customHeight="1" x14ac:dyDescent="0.2">
      <c r="B49" s="282" t="s">
        <v>246</v>
      </c>
      <c r="C49" s="699">
        <v>146207.97685511748</v>
      </c>
      <c r="D49" s="3057" t="s">
        <v>97</v>
      </c>
      <c r="E49" s="1938">
        <f t="shared" si="17"/>
        <v>51.411918339265</v>
      </c>
      <c r="F49" s="1938">
        <f t="shared" si="18"/>
        <v>0.90909090909090917</v>
      </c>
      <c r="G49" s="1938">
        <f t="shared" si="18"/>
        <v>0.90909090909090917</v>
      </c>
      <c r="H49" s="699">
        <v>7516.8325666244464</v>
      </c>
      <c r="I49" s="699">
        <v>0.13291634259556134</v>
      </c>
      <c r="J49" s="699">
        <v>0.13291634259556134</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51770.845594670434</v>
      </c>
      <c r="D52" s="3057" t="s">
        <v>97</v>
      </c>
      <c r="E52" s="1938">
        <f t="shared" si="17"/>
        <v>77.533016823995126</v>
      </c>
      <c r="F52" s="1938">
        <f t="shared" si="18"/>
        <v>712.6613577556609</v>
      </c>
      <c r="G52" s="1938">
        <f t="shared" si="18"/>
        <v>1.860314451070451</v>
      </c>
      <c r="H52" s="699">
        <v>4013.9498424840363</v>
      </c>
      <c r="I52" s="699">
        <v>36.895081113656502</v>
      </c>
      <c r="J52" s="699">
        <v>9.6310052203902402E-2</v>
      </c>
      <c r="K52" s="2921" t="s">
        <v>199</v>
      </c>
    </row>
    <row r="53" spans="2:11" ht="18" customHeight="1" x14ac:dyDescent="0.2">
      <c r="B53" s="1241" t="s">
        <v>329</v>
      </c>
      <c r="C53" s="3057">
        <f>IF(SUM(C54:C58)=0,"NO",SUM(C54:C58))</f>
        <v>3931.3157235758677</v>
      </c>
      <c r="D53" s="3057" t="s">
        <v>97</v>
      </c>
      <c r="E53" s="615"/>
      <c r="F53" s="615"/>
      <c r="G53" s="615"/>
      <c r="H53" s="3057">
        <f>IF(SUM(H54:H57)=0,"NO",SUM(H54:H57))</f>
        <v>267.06188605061959</v>
      </c>
      <c r="I53" s="3057">
        <f>IF(SUM(I54:I58)=0,"NO",SUM(I54:I58))</f>
        <v>0.7294788049472124</v>
      </c>
      <c r="J53" s="3057">
        <f>IF(SUM(J54:J58)=0,"NO",SUM(J54:J58))</f>
        <v>1.7519425102095587E-3</v>
      </c>
      <c r="K53" s="2931"/>
    </row>
    <row r="54" spans="2:11" ht="18" customHeight="1" x14ac:dyDescent="0.2">
      <c r="B54" s="282" t="s">
        <v>243</v>
      </c>
      <c r="C54" s="699">
        <v>3892.3121973195175</v>
      </c>
      <c r="D54" s="3057" t="s">
        <v>97</v>
      </c>
      <c r="E54" s="1938">
        <f t="shared" ref="E54:E58" si="19">IFERROR(H54*1000/$C54,"NA")</f>
        <v>68.612658109628157</v>
      </c>
      <c r="F54" s="1938">
        <f t="shared" ref="F54:G58" si="20">IFERROR(I54*1000000/$C54,"NA")</f>
        <v>180</v>
      </c>
      <c r="G54" s="1938">
        <f t="shared" si="20"/>
        <v>0.4</v>
      </c>
      <c r="H54" s="699">
        <v>267.06188605061959</v>
      </c>
      <c r="I54" s="699">
        <v>0.7006161955175132</v>
      </c>
      <c r="J54" s="699">
        <v>1.5569248789278072E-3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39.003526256350305</v>
      </c>
      <c r="D58" s="3057" t="s">
        <v>97</v>
      </c>
      <c r="E58" s="1938">
        <f t="shared" si="19"/>
        <v>67.260000000000005</v>
      </c>
      <c r="F58" s="1938">
        <f t="shared" si="20"/>
        <v>739.99999999999989</v>
      </c>
      <c r="G58" s="1938">
        <f t="shared" si="20"/>
        <v>5</v>
      </c>
      <c r="H58" s="699">
        <v>2.6233771760021218</v>
      </c>
      <c r="I58" s="699">
        <v>2.8862609429699222E-2</v>
      </c>
      <c r="J58" s="699">
        <v>1.9501763128175153E-4</v>
      </c>
      <c r="K58" s="2931"/>
    </row>
    <row r="59" spans="2:11" ht="18" customHeight="1" x14ac:dyDescent="0.2">
      <c r="B59" s="1244" t="s">
        <v>330</v>
      </c>
      <c r="C59" s="3057">
        <f>IF(SUM(C60:C65)=0,"NO",SUM(C60:C65))</f>
        <v>90804.607441218803</v>
      </c>
      <c r="D59" s="3057" t="s">
        <v>97</v>
      </c>
      <c r="E59" s="615"/>
      <c r="F59" s="615"/>
      <c r="G59" s="615"/>
      <c r="H59" s="1938">
        <f>IF(SUM(H60:H64)=0,"NO",SUM(H60:H64))</f>
        <v>6287.3670986267816</v>
      </c>
      <c r="I59" s="1938">
        <f>IF(SUM(I60:I65)=0,"NO",SUM(I60:I65))</f>
        <v>0.60441095752549423</v>
      </c>
      <c r="J59" s="1938">
        <f>IF(SUM(J60:J65)=0,"NO",SUM(J60:J65))</f>
        <v>0.32204109366911671</v>
      </c>
      <c r="K59" s="3064" t="str">
        <f>IF(SUM(K60:K65)=0,"NO",SUM(K60:K65))</f>
        <v>NO</v>
      </c>
    </row>
    <row r="60" spans="2:11" ht="18" customHeight="1" x14ac:dyDescent="0.2">
      <c r="B60" s="282" t="s">
        <v>243</v>
      </c>
      <c r="C60" s="1938">
        <f>IF(SUM(C67,C74:C77,C84:C87)=0,"NO",SUM(C67,C74:C77,C84:C87))</f>
        <v>89398.789441218803</v>
      </c>
      <c r="D60" s="3057" t="s">
        <v>97</v>
      </c>
      <c r="E60" s="1938">
        <f t="shared" ref="E60:E65" si="21">IFERROR(H60*1000/$C60,"NA")</f>
        <v>69.520978273396409</v>
      </c>
      <c r="F60" s="1938">
        <f t="shared" ref="F60:G65" si="22">IFERROR(I60*1000000/$C60,"NA")</f>
        <v>6.7465448350218198</v>
      </c>
      <c r="G60" s="1938">
        <f t="shared" si="22"/>
        <v>3.5880024697245756</v>
      </c>
      <c r="H60" s="1938">
        <f>IF(SUM(H67,H74:H77,H84:H87)=0,"NO",SUM(H67,H74:H77,H84:H87))</f>
        <v>6215.0912984109127</v>
      </c>
      <c r="I60" s="1938">
        <f>IF(SUM(I67,I74:I77,I84:I87)=0,"NO",SUM(I67,I74:I77,I84:I87))</f>
        <v>0.60313294116185789</v>
      </c>
      <c r="J60" s="1938">
        <f>IF(SUM(J67,J74:J77,J84:J87)=0,"NO",SUM(J67,J74:J77,J84:J87))</f>
        <v>0.32076307730548037</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1405.8179999999998</v>
      </c>
      <c r="D62" s="3057" t="s">
        <v>97</v>
      </c>
      <c r="E62" s="1938">
        <f t="shared" si="21"/>
        <v>51.411918339265014</v>
      </c>
      <c r="F62" s="1938">
        <f t="shared" si="22"/>
        <v>0.90909090909090928</v>
      </c>
      <c r="G62" s="1938">
        <f t="shared" si="22"/>
        <v>0.90909090909090928</v>
      </c>
      <c r="H62" s="1938">
        <f>IF(SUM(H69,H79,H89)=0,"NO",SUM(H69,H79,H89))</f>
        <v>72.275800215868841</v>
      </c>
      <c r="I62" s="1938">
        <f>IF(SUM(I69,I79,I89)=0,"NO",SUM(I69,I79,I89))</f>
        <v>1.2780163636363635E-3</v>
      </c>
      <c r="J62" s="1938">
        <f>IF(SUM(J69,J79,J89)=0,"NO",SUM(J69,J79,J89))</f>
        <v>1.2780163636363635E-3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90804.607441218803</v>
      </c>
      <c r="D66" s="3057" t="s">
        <v>97</v>
      </c>
      <c r="E66" s="2135"/>
      <c r="F66" s="2135"/>
      <c r="G66" s="2135"/>
      <c r="H66" s="1938">
        <f>IF(SUM(H67:H71)=0,"NO",SUM(H67:H71))</f>
        <v>6287.3670986267816</v>
      </c>
      <c r="I66" s="1938">
        <f>IF(SUM(I67:I72)=0,"NO",SUM(I67:I72))</f>
        <v>0.60441095752549423</v>
      </c>
      <c r="J66" s="1938">
        <f>IF(SUM(J67:J72)=0,"NO",SUM(J67:J72))</f>
        <v>0.32204109366911671</v>
      </c>
      <c r="K66" s="3064" t="str">
        <f>IF(SUM(K67:K72)=0,"NO",SUM(K67:K72))</f>
        <v>NO</v>
      </c>
    </row>
    <row r="67" spans="2:11" ht="18" customHeight="1" x14ac:dyDescent="0.2">
      <c r="B67" s="282" t="s">
        <v>243</v>
      </c>
      <c r="C67" s="699">
        <v>89398.789441218803</v>
      </c>
      <c r="D67" s="3057" t="s">
        <v>97</v>
      </c>
      <c r="E67" s="1938">
        <f t="shared" ref="E67:E72" si="23">IFERROR(H67*1000/$C67,"NA")</f>
        <v>69.520978273396409</v>
      </c>
      <c r="F67" s="1938">
        <f t="shared" ref="F67:G72" si="24">IFERROR(I67*1000000/$C67,"NA")</f>
        <v>6.7465448350218198</v>
      </c>
      <c r="G67" s="1938">
        <f t="shared" si="24"/>
        <v>3.5880024697245756</v>
      </c>
      <c r="H67" s="699">
        <v>6215.0912984109127</v>
      </c>
      <c r="I67" s="699">
        <v>0.60313294116185789</v>
      </c>
      <c r="J67" s="699">
        <v>0.32076307730548037</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1405.8179999999998</v>
      </c>
      <c r="D69" s="3057" t="s">
        <v>97</v>
      </c>
      <c r="E69" s="1938">
        <f t="shared" si="23"/>
        <v>51.411918339265014</v>
      </c>
      <c r="F69" s="1938">
        <f t="shared" si="24"/>
        <v>0.90909090909090928</v>
      </c>
      <c r="G69" s="1938">
        <f t="shared" si="24"/>
        <v>0.90909090909090928</v>
      </c>
      <c r="H69" s="699">
        <v>72.275800215868841</v>
      </c>
      <c r="I69" s="699">
        <v>1.2780163636363635E-3</v>
      </c>
      <c r="J69" s="699">
        <v>1.2780163636363635E-3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14592.7418499245</v>
      </c>
      <c r="D93" s="3057" t="s">
        <v>97</v>
      </c>
      <c r="E93" s="2160"/>
      <c r="F93" s="2160"/>
      <c r="G93" s="2160"/>
      <c r="H93" s="3087">
        <f>IF(SUM(H94:H98)=0,"NO",SUM(H94:H98))</f>
        <v>1017.0580667465537</v>
      </c>
      <c r="I93" s="3087">
        <f>IF(SUM(I94:I99)=0,"NO",SUM(I94:I99))</f>
        <v>3.3561971864446156E-2</v>
      </c>
      <c r="J93" s="3091">
        <f>IF(SUM(J94:J99)=0,"NO",SUM(J94:J99))</f>
        <v>2.8560383287274383E-2</v>
      </c>
      <c r="K93" s="442" t="str">
        <f>IF(SUM(K94:K99)=0,"NO",SUM(K94:K99))</f>
        <v>NO</v>
      </c>
    </row>
    <row r="94" spans="2:11" ht="18" customHeight="1" x14ac:dyDescent="0.2">
      <c r="B94" s="282" t="s">
        <v>243</v>
      </c>
      <c r="C94" s="1938">
        <f>IF(SUM(C102,C110)=0,"NO",SUM(C102,C110))</f>
        <v>14592.709874007365</v>
      </c>
      <c r="D94" s="1938" t="s">
        <v>97</v>
      </c>
      <c r="E94" s="1938">
        <f t="shared" ref="E94:E99" si="32">IFERROR(H94*1000/$C94,"NA")</f>
        <v>69.696312441470823</v>
      </c>
      <c r="F94" s="1938">
        <f t="shared" ref="F94:G99" si="33">IFERROR(I94*1000000/$C94,"NA")</f>
        <v>2.2981759557828227</v>
      </c>
      <c r="G94" s="1938">
        <f t="shared" si="33"/>
        <v>1.957161322750256</v>
      </c>
      <c r="H94" s="1938">
        <f t="shared" ref="H94:K97" si="34">IF(SUM(H102,H110)=0,"NO",SUM(H102,H110))</f>
        <v>1017.0580667465537</v>
      </c>
      <c r="I94" s="1938">
        <f t="shared" si="34"/>
        <v>3.3536614962158311E-2</v>
      </c>
      <c r="J94" s="1938">
        <f t="shared" si="34"/>
        <v>2.8560287359522978E-2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3.19759171347367E-2</v>
      </c>
      <c r="D99" s="1938" t="s">
        <v>97</v>
      </c>
      <c r="E99" s="1938">
        <f t="shared" si="32"/>
        <v>67.259999999999991</v>
      </c>
      <c r="F99" s="1938">
        <f t="shared" si="33"/>
        <v>792.99999999999989</v>
      </c>
      <c r="G99" s="1938">
        <f t="shared" si="33"/>
        <v>2.9999999999999996</v>
      </c>
      <c r="H99" s="1938">
        <f>IF(SUM(H107,H114)=0,"NO",SUM(H107,H114))</f>
        <v>2.15070018648239E-3</v>
      </c>
      <c r="I99" s="1938">
        <f>IF(SUM(I107,I114)=0,"NO",SUM(I107,I114))</f>
        <v>2.53569022878462E-5</v>
      </c>
      <c r="J99" s="1938">
        <f>IF(SUM(J107,J114)=0,"NO",SUM(J107,J114))</f>
        <v>9.5927751404210085E-8</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14592.7418499245</v>
      </c>
      <c r="D108" s="1938" t="s">
        <v>97</v>
      </c>
      <c r="E108" s="1957"/>
      <c r="F108" s="1957"/>
      <c r="G108" s="1957"/>
      <c r="H108" s="3057">
        <f>H109</f>
        <v>1017.0580667465537</v>
      </c>
      <c r="I108" s="3057">
        <f>I109</f>
        <v>3.3561971864446156E-2</v>
      </c>
      <c r="J108" s="3088">
        <f>J109</f>
        <v>2.8560383287274383E-2</v>
      </c>
      <c r="K108" s="2931"/>
    </row>
    <row r="109" spans="2:11" ht="18" customHeight="1" x14ac:dyDescent="0.2">
      <c r="B109" s="3103" t="s">
        <v>339</v>
      </c>
      <c r="C109" s="3077">
        <f>IF(SUM(C110:C114)=0,"NO",SUM(C110:C114))</f>
        <v>14592.7418499245</v>
      </c>
      <c r="D109" s="1938" t="s">
        <v>97</v>
      </c>
      <c r="E109" s="615"/>
      <c r="F109" s="615"/>
      <c r="G109" s="615"/>
      <c r="H109" s="3077">
        <f>IF(SUM(H110:H113)=0,"NO",SUM(H110:H113))</f>
        <v>1017.0580667465537</v>
      </c>
      <c r="I109" s="3077">
        <f>IF(SUM(I110:I114)=0,"NO",SUM(I110:I114))</f>
        <v>3.3561971864446156E-2</v>
      </c>
      <c r="J109" s="3077">
        <f>IF(SUM(J110:J114)=0,"NO",SUM(J110:J114))</f>
        <v>2.8560383287274383E-2</v>
      </c>
      <c r="K109" s="2931"/>
    </row>
    <row r="110" spans="2:11" ht="18" customHeight="1" x14ac:dyDescent="0.2">
      <c r="B110" s="282" t="s">
        <v>243</v>
      </c>
      <c r="C110" s="699">
        <v>14592.709874007365</v>
      </c>
      <c r="D110" s="1938" t="s">
        <v>97</v>
      </c>
      <c r="E110" s="1938">
        <f t="shared" ref="E110:E114" si="37">IFERROR(H110*1000/$C110,"NA")</f>
        <v>69.696312441470823</v>
      </c>
      <c r="F110" s="1938">
        <f t="shared" ref="F110:G114" si="38">IFERROR(I110*1000000/$C110,"NA")</f>
        <v>2.2981759557828227</v>
      </c>
      <c r="G110" s="1938">
        <f t="shared" si="38"/>
        <v>1.957161322750256</v>
      </c>
      <c r="H110" s="699">
        <v>1017.0580667465537</v>
      </c>
      <c r="I110" s="699">
        <v>3.3536614962158311E-2</v>
      </c>
      <c r="J110" s="699">
        <v>2.8560287359522978E-2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3.19759171347367E-2</v>
      </c>
      <c r="D114" s="2891" t="s">
        <v>97</v>
      </c>
      <c r="E114" s="2891">
        <f t="shared" si="37"/>
        <v>67.259999999999991</v>
      </c>
      <c r="F114" s="2891">
        <f t="shared" si="38"/>
        <v>792.99999999999989</v>
      </c>
      <c r="G114" s="2891">
        <f t="shared" si="38"/>
        <v>2.9999999999999996</v>
      </c>
      <c r="H114" s="1562">
        <v>2.15070018648239E-3</v>
      </c>
      <c r="I114" s="1562">
        <v>2.53569022878462E-5</v>
      </c>
      <c r="J114" s="1562">
        <v>9.5927751404210085E-8</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744855.80599999998</v>
      </c>
      <c r="G11" s="3326">
        <v>1071127.34604</v>
      </c>
      <c r="H11" s="3326">
        <v>548220.98950000003</v>
      </c>
      <c r="I11" s="3346"/>
      <c r="J11" s="3326">
        <v>-3671.3792699999999</v>
      </c>
      <c r="K11" s="3334">
        <f t="shared" ref="K11:K28" si="0">IF((SUM(F11:G11)-SUM(H11:J11))=0,"NO",(SUM(F11:G11)-SUM(H11:J11)))</f>
        <v>1271433.5418100001</v>
      </c>
      <c r="L11" s="2597">
        <f>IF(K11="NO","NA",1)</f>
        <v>1</v>
      </c>
      <c r="M11" s="5" t="s">
        <v>97</v>
      </c>
      <c r="N11" s="3334">
        <f>K11</f>
        <v>1271433.5418100001</v>
      </c>
      <c r="O11" s="3307">
        <v>18.9807162534435</v>
      </c>
      <c r="P11" s="3334">
        <f>IFERROR(N11*O11/1000,"NA")</f>
        <v>24132.719292206308</v>
      </c>
      <c r="Q11" s="3334" t="str">
        <f>'Table1.A(d)'!G11</f>
        <v>NA</v>
      </c>
      <c r="R11" s="3334">
        <f>IF(SUM(P11,-SUM(Q11))=0,"NO",SUM(P11,-SUM(Q11)))</f>
        <v>24132.719292206308</v>
      </c>
      <c r="S11" s="2597">
        <f>IF(R11="NO","NA",1)</f>
        <v>1</v>
      </c>
      <c r="T11" s="3340">
        <f>IF(R11="NO","NO",R11*S11*44/12)</f>
        <v>88486.63740475646</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128461.5238</v>
      </c>
      <c r="G13" s="3326" t="s">
        <v>199</v>
      </c>
      <c r="H13" s="3326" t="s">
        <v>199</v>
      </c>
      <c r="I13" s="3346"/>
      <c r="J13" s="3326" t="s">
        <v>199</v>
      </c>
      <c r="K13" s="3334">
        <f t="shared" si="0"/>
        <v>128461.5238</v>
      </c>
      <c r="L13" s="2597">
        <f t="shared" si="1"/>
        <v>1</v>
      </c>
      <c r="M13" s="5" t="s">
        <v>97</v>
      </c>
      <c r="N13" s="3334">
        <f t="shared" si="2"/>
        <v>128461.5238</v>
      </c>
      <c r="O13" s="3307">
        <v>16.217340016149439</v>
      </c>
      <c r="P13" s="3334">
        <f t="shared" si="3"/>
        <v>2083.3042104572737</v>
      </c>
      <c r="Q13" s="3334" t="str">
        <f>'Table1.A(d)'!G13</f>
        <v>NA</v>
      </c>
      <c r="R13" s="3334">
        <f>IF(SUM(P13,-SUM(Q13))=0,"NO",SUM(P13,-SUM(Q13)))</f>
        <v>2083.3042104572737</v>
      </c>
      <c r="S13" s="2597">
        <f t="shared" si="4"/>
        <v>1</v>
      </c>
      <c r="T13" s="3340">
        <f t="shared" si="5"/>
        <v>7638.7821050100038</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123061.99193</v>
      </c>
      <c r="H15" s="3326">
        <v>5159.6974899999996</v>
      </c>
      <c r="I15" s="3326" t="s">
        <v>199</v>
      </c>
      <c r="J15" s="3326">
        <v>-4684.4202400000004</v>
      </c>
      <c r="K15" s="3334">
        <f t="shared" si="0"/>
        <v>122586.71468</v>
      </c>
      <c r="L15" s="2597">
        <f>IF(K15="NO","NA",1)</f>
        <v>1</v>
      </c>
      <c r="M15" s="5" t="s">
        <v>97</v>
      </c>
      <c r="N15" s="3334">
        <f t="shared" si="2"/>
        <v>122586.71468</v>
      </c>
      <c r="O15" s="3307">
        <v>18.3826984711406</v>
      </c>
      <c r="P15" s="3334">
        <f t="shared" si="3"/>
        <v>2253.4746125301849</v>
      </c>
      <c r="Q15" s="3334" t="str">
        <f>'Table1.A(d)'!G15</f>
        <v>NA</v>
      </c>
      <c r="R15" s="3334">
        <f>IF(SUM(P15,-SUM(Q15))=0,"NO",SUM(P15,-SUM(Q15)))</f>
        <v>2253.4746125301849</v>
      </c>
      <c r="S15" s="2597">
        <f>IF(R15="NO","NA",1)</f>
        <v>1</v>
      </c>
      <c r="T15" s="3340">
        <f>IF(R15="NO","NO",R15*S15*44/12)</f>
        <v>8262.7402459440109</v>
      </c>
    </row>
    <row r="16" spans="2:20" ht="18" customHeight="1" x14ac:dyDescent="0.2">
      <c r="B16" s="1730"/>
      <c r="C16" s="1570"/>
      <c r="D16" s="36" t="s">
        <v>293</v>
      </c>
      <c r="E16" s="2595" t="s">
        <v>374</v>
      </c>
      <c r="F16" s="3347"/>
      <c r="G16" s="3326">
        <v>128131.52800000001</v>
      </c>
      <c r="H16" s="3326">
        <v>83.903999999999996</v>
      </c>
      <c r="I16" s="3326">
        <v>170880</v>
      </c>
      <c r="J16" s="3326">
        <v>254.34623999999801</v>
      </c>
      <c r="K16" s="3334">
        <f t="shared" si="0"/>
        <v>-43086.722239999988</v>
      </c>
      <c r="L16" s="2597">
        <f t="shared" ref="L16:L28" si="6">IF(K16="NO","NA",1)</f>
        <v>1</v>
      </c>
      <c r="M16" s="5" t="s">
        <v>97</v>
      </c>
      <c r="N16" s="3334">
        <f t="shared" si="2"/>
        <v>-43086.722239999988</v>
      </c>
      <c r="O16" s="3307">
        <v>18.981818181818198</v>
      </c>
      <c r="P16" s="3334">
        <f t="shared" si="3"/>
        <v>-817.86432761018239</v>
      </c>
      <c r="Q16" s="3334" t="str">
        <f>'Table1.A(d)'!G16</f>
        <v>NA</v>
      </c>
      <c r="R16" s="3334">
        <f t="shared" ref="R16:R44" si="7">IF(SUM(P16,-SUM(Q16))=0,"NO",SUM(P16,-SUM(Q16)))</f>
        <v>-817.86432761018239</v>
      </c>
      <c r="S16" s="2597">
        <f t="shared" ref="S16:S28" si="8">IF(R16="NO","NA",1)</f>
        <v>1</v>
      </c>
      <c r="T16" s="3340">
        <f t="shared" ref="T16:T28" si="9">IF(R16="NO","NO",R16*S16*44/12)</f>
        <v>-2998.8358679040025</v>
      </c>
    </row>
    <row r="17" spans="2:20" ht="18" customHeight="1" x14ac:dyDescent="0.2">
      <c r="B17" s="1730"/>
      <c r="C17" s="1570"/>
      <c r="D17" s="36" t="s">
        <v>379</v>
      </c>
      <c r="E17" s="2595" t="s">
        <v>374</v>
      </c>
      <c r="F17" s="3346"/>
      <c r="G17" s="3326">
        <v>32.549999999999997</v>
      </c>
      <c r="H17" s="3326" t="s">
        <v>199</v>
      </c>
      <c r="I17" s="3326" t="s">
        <v>199</v>
      </c>
      <c r="J17" s="3326">
        <v>54.907200000000003</v>
      </c>
      <c r="K17" s="3334">
        <f t="shared" si="0"/>
        <v>-22.357200000000006</v>
      </c>
      <c r="L17" s="2597">
        <f t="shared" si="6"/>
        <v>1</v>
      </c>
      <c r="M17" s="5" t="s">
        <v>97</v>
      </c>
      <c r="N17" s="3334">
        <f t="shared" si="2"/>
        <v>-22.357200000000006</v>
      </c>
      <c r="O17" s="3307">
        <v>18.7909090909091</v>
      </c>
      <c r="P17" s="3334">
        <f t="shared" si="3"/>
        <v>-0.420112112727273</v>
      </c>
      <c r="Q17" s="3334" t="str">
        <f>'Table1.A(d)'!G17</f>
        <v>NA</v>
      </c>
      <c r="R17" s="3334">
        <f t="shared" si="7"/>
        <v>-0.420112112727273</v>
      </c>
      <c r="S17" s="2597">
        <f t="shared" si="8"/>
        <v>1</v>
      </c>
      <c r="T17" s="3340">
        <f t="shared" si="9"/>
        <v>-1.540411080000001</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525059.59958000004</v>
      </c>
      <c r="H19" s="3326">
        <v>2354.3143599999999</v>
      </c>
      <c r="I19" s="3326">
        <v>1833.8</v>
      </c>
      <c r="J19" s="3326">
        <v>-16312.27368</v>
      </c>
      <c r="K19" s="3334">
        <f t="shared" si="0"/>
        <v>537183.75890000002</v>
      </c>
      <c r="L19" s="2597">
        <f t="shared" si="6"/>
        <v>1</v>
      </c>
      <c r="M19" s="5" t="s">
        <v>97</v>
      </c>
      <c r="N19" s="3334">
        <f t="shared" si="2"/>
        <v>537183.75890000002</v>
      </c>
      <c r="O19" s="3307">
        <v>19.063636363636402</v>
      </c>
      <c r="P19" s="3334">
        <f t="shared" si="3"/>
        <v>10240.67584012093</v>
      </c>
      <c r="Q19" s="3334" t="str">
        <f>'Table1.A(d)'!G19</f>
        <v>NA</v>
      </c>
      <c r="R19" s="3334">
        <f t="shared" si="7"/>
        <v>10240.67584012093</v>
      </c>
      <c r="S19" s="2597">
        <f t="shared" si="8"/>
        <v>1</v>
      </c>
      <c r="T19" s="3340">
        <f t="shared" si="9"/>
        <v>37549.144747110076</v>
      </c>
    </row>
    <row r="20" spans="2:20" ht="18" customHeight="1" x14ac:dyDescent="0.2">
      <c r="B20" s="1730"/>
      <c r="C20" s="1570"/>
      <c r="D20" s="36" t="s">
        <v>306</v>
      </c>
      <c r="E20" s="2595" t="s">
        <v>374</v>
      </c>
      <c r="F20" s="3346"/>
      <c r="G20" s="3326">
        <v>53037.064140000002</v>
      </c>
      <c r="H20" s="3326">
        <v>1869.3816899999999</v>
      </c>
      <c r="I20" s="3326">
        <v>27658.7</v>
      </c>
      <c r="J20" s="3326">
        <v>471.87060000000002</v>
      </c>
      <c r="K20" s="3334">
        <f t="shared" si="0"/>
        <v>23037.111850000005</v>
      </c>
      <c r="L20" s="2597">
        <f t="shared" si="6"/>
        <v>1</v>
      </c>
      <c r="M20" s="5" t="s">
        <v>97</v>
      </c>
      <c r="N20" s="3334">
        <f t="shared" si="2"/>
        <v>23037.111850000005</v>
      </c>
      <c r="O20" s="3307">
        <v>20.072727272727299</v>
      </c>
      <c r="P20" s="3334">
        <f t="shared" si="3"/>
        <v>462.41766331636433</v>
      </c>
      <c r="Q20" s="3334" t="str">
        <f>'Table1.A(d)'!G20</f>
        <v>NA</v>
      </c>
      <c r="R20" s="3334">
        <f t="shared" si="7"/>
        <v>462.41766331636433</v>
      </c>
      <c r="S20" s="2597">
        <f t="shared" si="8"/>
        <v>1</v>
      </c>
      <c r="T20" s="3340">
        <f t="shared" si="9"/>
        <v>1695.5314321600026</v>
      </c>
    </row>
    <row r="21" spans="2:20" ht="18" customHeight="1" x14ac:dyDescent="0.2">
      <c r="B21" s="1730"/>
      <c r="C21" s="1570"/>
      <c r="D21" s="36" t="s">
        <v>283</v>
      </c>
      <c r="E21" s="2595" t="s">
        <v>374</v>
      </c>
      <c r="F21" s="3346"/>
      <c r="G21" s="3326">
        <v>18757.22724</v>
      </c>
      <c r="H21" s="3326">
        <v>64667.952250000002</v>
      </c>
      <c r="I21" s="3346"/>
      <c r="J21" s="3326">
        <v>1974.8537600000009</v>
      </c>
      <c r="K21" s="3334">
        <f t="shared" si="0"/>
        <v>-47885.57877</v>
      </c>
      <c r="L21" s="2597">
        <f t="shared" si="6"/>
        <v>1</v>
      </c>
      <c r="M21" s="5" t="s">
        <v>97</v>
      </c>
      <c r="N21" s="3334">
        <f t="shared" si="2"/>
        <v>-47885.57877</v>
      </c>
      <c r="O21" s="3307">
        <v>16.4181818181818</v>
      </c>
      <c r="P21" s="3334">
        <f t="shared" si="3"/>
        <v>-786.19413871472648</v>
      </c>
      <c r="Q21" s="3334" t="str">
        <f>'Table1.A(d)'!G21</f>
        <v>NA</v>
      </c>
      <c r="R21" s="3334">
        <f t="shared" si="7"/>
        <v>-786.19413871472648</v>
      </c>
      <c r="S21" s="2597">
        <f t="shared" si="8"/>
        <v>1</v>
      </c>
      <c r="T21" s="3340">
        <f t="shared" si="9"/>
        <v>-2882.711841953997</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322.52345407701802</v>
      </c>
      <c r="R22" s="3334">
        <f t="shared" si="7"/>
        <v>-322.52345407701802</v>
      </c>
      <c r="S22" s="2597">
        <f t="shared" si="8"/>
        <v>1</v>
      </c>
      <c r="T22" s="3340">
        <f t="shared" si="9"/>
        <v>-1182.5859982823993</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35044.151039999997</v>
      </c>
      <c r="H24" s="3326">
        <v>16.908480000000001</v>
      </c>
      <c r="I24" s="3346"/>
      <c r="J24" s="3326">
        <v>-440.32666999999998</v>
      </c>
      <c r="K24" s="3334">
        <f t="shared" si="0"/>
        <v>35467.569229999994</v>
      </c>
      <c r="L24" s="2597">
        <f t="shared" si="6"/>
        <v>1</v>
      </c>
      <c r="M24" s="5" t="s">
        <v>97</v>
      </c>
      <c r="N24" s="3334">
        <f t="shared" si="2"/>
        <v>35467.569229999994</v>
      </c>
      <c r="O24" s="3307">
        <v>22.009090909090901</v>
      </c>
      <c r="P24" s="3334">
        <f t="shared" si="3"/>
        <v>780.60895550754503</v>
      </c>
      <c r="Q24" s="3334">
        <f>'Table1.A(d)'!G24</f>
        <v>556.60990909090913</v>
      </c>
      <c r="R24" s="3334">
        <f t="shared" si="7"/>
        <v>223.99904641663591</v>
      </c>
      <c r="S24" s="2597">
        <f t="shared" si="8"/>
        <v>1</v>
      </c>
      <c r="T24" s="3340">
        <f t="shared" si="9"/>
        <v>821.3298368609984</v>
      </c>
    </row>
    <row r="25" spans="2:20" ht="18" customHeight="1" x14ac:dyDescent="0.2">
      <c r="B25" s="1730"/>
      <c r="C25" s="1570"/>
      <c r="D25" s="36" t="s">
        <v>297</v>
      </c>
      <c r="E25" s="2595" t="s">
        <v>374</v>
      </c>
      <c r="F25" s="3346"/>
      <c r="G25" s="3326">
        <v>19670.230360000001</v>
      </c>
      <c r="H25" s="3326">
        <v>13084.40372</v>
      </c>
      <c r="I25" s="3326" t="s">
        <v>199</v>
      </c>
      <c r="J25" s="3326" t="s">
        <v>199</v>
      </c>
      <c r="K25" s="3334">
        <f t="shared" si="0"/>
        <v>6585.8266400000011</v>
      </c>
      <c r="L25" s="2597">
        <f t="shared" si="6"/>
        <v>1</v>
      </c>
      <c r="M25" s="5" t="s">
        <v>97</v>
      </c>
      <c r="N25" s="3334">
        <f t="shared" si="2"/>
        <v>6585.8266400000011</v>
      </c>
      <c r="O25" s="3307">
        <v>18.991363636363602</v>
      </c>
      <c r="P25" s="3334">
        <f t="shared" si="3"/>
        <v>125.0738285662907</v>
      </c>
      <c r="Q25" s="3334">
        <f>'Table1.A(d)'!G25</f>
        <v>247.12910750454549</v>
      </c>
      <c r="R25" s="3334">
        <f t="shared" si="7"/>
        <v>-122.05527893825479</v>
      </c>
      <c r="S25" s="2597">
        <f t="shared" si="8"/>
        <v>1</v>
      </c>
      <c r="T25" s="3340">
        <f t="shared" si="9"/>
        <v>-447.53602277360091</v>
      </c>
    </row>
    <row r="26" spans="2:20" ht="18" customHeight="1" x14ac:dyDescent="0.2">
      <c r="B26" s="1730"/>
      <c r="C26" s="1570"/>
      <c r="D26" s="36" t="s">
        <v>384</v>
      </c>
      <c r="E26" s="2595" t="s">
        <v>374</v>
      </c>
      <c r="F26" s="3346"/>
      <c r="G26" s="3326">
        <v>26659.4754588</v>
      </c>
      <c r="H26" s="3326" t="s">
        <v>199</v>
      </c>
      <c r="I26" s="3346"/>
      <c r="J26" s="3326" t="s">
        <v>199</v>
      </c>
      <c r="K26" s="3334">
        <f t="shared" si="0"/>
        <v>26659.4754588</v>
      </c>
      <c r="L26" s="2597">
        <f t="shared" si="6"/>
        <v>1</v>
      </c>
      <c r="M26" s="5" t="s">
        <v>97</v>
      </c>
      <c r="N26" s="3334">
        <f t="shared" si="2"/>
        <v>26659.4754588</v>
      </c>
      <c r="O26" s="3307">
        <v>25.261363636363601</v>
      </c>
      <c r="P26" s="3334">
        <f t="shared" si="3"/>
        <v>673.4547039194581</v>
      </c>
      <c r="Q26" s="3334">
        <f>'Table1.A(d)'!G26</f>
        <v>673.45470391945901</v>
      </c>
      <c r="R26" s="3334">
        <f t="shared" si="7"/>
        <v>-9.0949470177292824E-13</v>
      </c>
      <c r="S26" s="2597">
        <f t="shared" si="8"/>
        <v>1</v>
      </c>
      <c r="T26" s="3340">
        <f t="shared" si="9"/>
        <v>-3.3348139065007367E-12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14678.965039999999</v>
      </c>
      <c r="H28" s="3326">
        <v>4640.5634399999999</v>
      </c>
      <c r="I28" s="3346"/>
      <c r="J28" s="3326">
        <v>2651.4852000000001</v>
      </c>
      <c r="K28" s="3334">
        <f t="shared" si="0"/>
        <v>7386.9163999999992</v>
      </c>
      <c r="L28" s="2597">
        <f t="shared" si="6"/>
        <v>1</v>
      </c>
      <c r="M28" s="5" t="s">
        <v>97</v>
      </c>
      <c r="N28" s="3334">
        <f t="shared" si="2"/>
        <v>7386.9163999999992</v>
      </c>
      <c r="O28" s="3307">
        <v>19.036359030923698</v>
      </c>
      <c r="P28" s="3334">
        <f t="shared" si="3"/>
        <v>140.61999272181836</v>
      </c>
      <c r="Q28" s="3334">
        <f>'Table1.A(d)'!G28</f>
        <v>735.98937315272724</v>
      </c>
      <c r="R28" s="3334">
        <f t="shared" si="7"/>
        <v>-595.3693804309089</v>
      </c>
      <c r="S28" s="2597">
        <f t="shared" si="8"/>
        <v>1</v>
      </c>
      <c r="T28" s="3340">
        <f t="shared" si="9"/>
        <v>-2183.0210615799992</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2067807.7805588003</v>
      </c>
      <c r="O31" s="3329"/>
      <c r="P31" s="3336">
        <f>SUM(P11:P29)</f>
        <v>39287.870520908538</v>
      </c>
      <c r="Q31" s="3336">
        <f>SUM(Q11:Q29)</f>
        <v>2535.706547744659</v>
      </c>
      <c r="R31" s="3334">
        <f t="shared" si="7"/>
        <v>36752.163973163879</v>
      </c>
      <c r="S31" s="2598"/>
      <c r="T31" s="3342">
        <f>SUM(T11:T29)</f>
        <v>134757.93456826758</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25.0363636363636</v>
      </c>
      <c r="P34" s="3334" t="str">
        <f t="shared" si="13"/>
        <v>NA</v>
      </c>
      <c r="Q34" s="3334">
        <f>'Table1.A(d)'!G34</f>
        <v>21.698332870909098</v>
      </c>
      <c r="R34" s="3334">
        <f t="shared" si="7"/>
        <v>-21.698332870909098</v>
      </c>
      <c r="S34" s="2597">
        <f t="shared" si="14"/>
        <v>1</v>
      </c>
      <c r="T34" s="3340">
        <f t="shared" si="15"/>
        <v>-79.560553860000027</v>
      </c>
    </row>
    <row r="35" spans="2:20" ht="18" customHeight="1" x14ac:dyDescent="0.2">
      <c r="B35" s="1730"/>
      <c r="C35" s="1570"/>
      <c r="D35" s="31" t="s">
        <v>392</v>
      </c>
      <c r="E35" s="2595" t="s">
        <v>374</v>
      </c>
      <c r="F35" s="3326">
        <v>11819587.1678851</v>
      </c>
      <c r="G35" s="3326" t="s">
        <v>199</v>
      </c>
      <c r="H35" s="3326">
        <v>10577511.765725</v>
      </c>
      <c r="I35" s="3326" t="s">
        <v>199</v>
      </c>
      <c r="J35" s="3326">
        <v>-13415.628388515401</v>
      </c>
      <c r="K35" s="3334">
        <f t="shared" si="10"/>
        <v>1255491.0305486154</v>
      </c>
      <c r="L35" s="2597">
        <f t="shared" si="11"/>
        <v>1</v>
      </c>
      <c r="M35" s="55" t="s">
        <v>97</v>
      </c>
      <c r="N35" s="3334">
        <f t="shared" si="12"/>
        <v>1255491.0305486154</v>
      </c>
      <c r="O35" s="3307">
        <v>24.3452509722825</v>
      </c>
      <c r="P35" s="3334">
        <f t="shared" si="13"/>
        <v>30565.244232155637</v>
      </c>
      <c r="Q35" s="3334">
        <f>'Table1.A(d)'!G35</f>
        <v>335.77843959818199</v>
      </c>
      <c r="R35" s="3334">
        <f t="shared" si="7"/>
        <v>30229.465792557454</v>
      </c>
      <c r="S35" s="2597">
        <f t="shared" si="14"/>
        <v>1</v>
      </c>
      <c r="T35" s="3340">
        <f t="shared" si="15"/>
        <v>110841.37457271066</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620232.70384523505</v>
      </c>
      <c r="G37" s="3326" t="s">
        <v>199</v>
      </c>
      <c r="H37" s="3326" t="s">
        <v>199</v>
      </c>
      <c r="I37" s="3346"/>
      <c r="J37" s="3326">
        <v>-2493</v>
      </c>
      <c r="K37" s="3334">
        <f t="shared" si="10"/>
        <v>622725.70384523505</v>
      </c>
      <c r="L37" s="2597">
        <f t="shared" si="11"/>
        <v>1</v>
      </c>
      <c r="M37" s="55" t="s">
        <v>97</v>
      </c>
      <c r="N37" s="3334">
        <f t="shared" si="12"/>
        <v>622725.70384523505</v>
      </c>
      <c r="O37" s="3307">
        <v>25.160858604676601</v>
      </c>
      <c r="P37" s="3334">
        <f t="shared" si="13"/>
        <v>15668.313383947676</v>
      </c>
      <c r="Q37" s="3334">
        <f>'Table1.A(d)'!G37</f>
        <v>5.786603727273E-2</v>
      </c>
      <c r="R37" s="3334">
        <f t="shared" si="7"/>
        <v>15668.255517910404</v>
      </c>
      <c r="S37" s="2597">
        <f t="shared" si="14"/>
        <v>1</v>
      </c>
      <c r="T37" s="3340">
        <f t="shared" si="15"/>
        <v>57450.270232338145</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2445.5625</v>
      </c>
      <c r="H41" s="3326">
        <v>27345</v>
      </c>
      <c r="I41" s="3346"/>
      <c r="J41" s="3326">
        <v>40</v>
      </c>
      <c r="K41" s="3334">
        <f t="shared" si="16"/>
        <v>-24939.4375</v>
      </c>
      <c r="L41" s="2597">
        <f t="shared" si="17"/>
        <v>1</v>
      </c>
      <c r="M41" s="55" t="s">
        <v>97</v>
      </c>
      <c r="N41" s="3334">
        <f t="shared" si="18"/>
        <v>-24939.4375</v>
      </c>
      <c r="O41" s="3307">
        <v>29.238830892040799</v>
      </c>
      <c r="P41" s="3334">
        <f t="shared" si="19"/>
        <v>-729.19999560512076</v>
      </c>
      <c r="Q41" s="3334">
        <f>'Table1.A(d)'!G41</f>
        <v>1462.79004587795</v>
      </c>
      <c r="R41" s="3334">
        <f t="shared" si="7"/>
        <v>-2191.9900414830709</v>
      </c>
      <c r="S41" s="2597">
        <f t="shared" si="20"/>
        <v>1</v>
      </c>
      <c r="T41" s="3340">
        <f t="shared" si="21"/>
        <v>-8037.2968187712604</v>
      </c>
    </row>
    <row r="42" spans="2:20" ht="18" customHeight="1" x14ac:dyDescent="0.2">
      <c r="B42" s="1730"/>
      <c r="C42" s="1571"/>
      <c r="D42" s="31" t="s">
        <v>398</v>
      </c>
      <c r="E42" s="2595" t="s">
        <v>374</v>
      </c>
      <c r="F42" s="3346"/>
      <c r="G42" s="3326" t="s">
        <v>199</v>
      </c>
      <c r="H42" s="3326" t="s">
        <v>199</v>
      </c>
      <c r="I42" s="3346"/>
      <c r="J42" s="3326">
        <v>85</v>
      </c>
      <c r="K42" s="3334">
        <f t="shared" si="16"/>
        <v>-85</v>
      </c>
      <c r="L42" s="2597">
        <f t="shared" si="17"/>
        <v>1</v>
      </c>
      <c r="M42" s="55" t="s">
        <v>97</v>
      </c>
      <c r="N42" s="3334">
        <f t="shared" si="18"/>
        <v>-85</v>
      </c>
      <c r="O42" s="3307">
        <v>22.309090909090909</v>
      </c>
      <c r="P42" s="3334">
        <f t="shared" si="19"/>
        <v>-1.8962727272727273</v>
      </c>
      <c r="Q42" s="3334">
        <f>'Table1.A(d)'!G42</f>
        <v>386.505561550908</v>
      </c>
      <c r="R42" s="3334">
        <f t="shared" si="7"/>
        <v>-388.40183427818073</v>
      </c>
      <c r="S42" s="2597">
        <f t="shared" si="20"/>
        <v>1</v>
      </c>
      <c r="T42" s="3340">
        <f t="shared" si="21"/>
        <v>-1424.1400590199962</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1853192.2968938504</v>
      </c>
      <c r="O45" s="3329"/>
      <c r="P45" s="3336">
        <f>SUM(P33:P43)</f>
        <v>45502.461347770914</v>
      </c>
      <c r="Q45" s="3336">
        <f>SUM(Q33:Q43)</f>
        <v>2206.8302459352217</v>
      </c>
      <c r="R45" s="3336">
        <f>SUM(R33:R43)</f>
        <v>43295.631101835701</v>
      </c>
      <c r="S45" s="41"/>
      <c r="T45" s="3342">
        <f>SUM(T33:T43)</f>
        <v>158750.64737339754</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2445560.4059018502</v>
      </c>
      <c r="G47" s="3326">
        <v>260174.18907494401</v>
      </c>
      <c r="H47" s="3326">
        <v>1264582.3999999999</v>
      </c>
      <c r="I47" s="3326" t="s">
        <v>199</v>
      </c>
      <c r="J47" s="3326">
        <v>72927.684748628497</v>
      </c>
      <c r="K47" s="3334">
        <f t="shared" ref="K47" si="22">IF((SUM(F47:G47)-SUM(H47:J47))=0,"NO",(SUM(F47:G47)-SUM(H47:J47)))</f>
        <v>1368224.5102281657</v>
      </c>
      <c r="L47" s="2597">
        <f t="shared" ref="L47" si="23">IF(K47="NO","NA",1)</f>
        <v>1</v>
      </c>
      <c r="M47" s="55" t="s">
        <v>97</v>
      </c>
      <c r="N47" s="3334">
        <f t="shared" ref="N47" si="24">K47</f>
        <v>1368224.5102281657</v>
      </c>
      <c r="O47" s="3307">
        <v>14.0067940792734</v>
      </c>
      <c r="P47" s="3334">
        <f t="shared" ref="P47" si="25">IFERROR(N47*O47/1000,"NA")</f>
        <v>19164.438968980619</v>
      </c>
      <c r="Q47" s="3334">
        <f>'Table1.A(d)'!G47</f>
        <v>787.88933147211208</v>
      </c>
      <c r="R47" s="3334">
        <f t="shared" ref="R47" si="26">IF(SUM(P47,-SUM(Q47))=0,"NO",SUM(P47,-SUM(Q47)))</f>
        <v>18376.549637508506</v>
      </c>
      <c r="S47" s="2597">
        <f t="shared" ref="S47" si="27">IF(R47="NO","NA",1)</f>
        <v>1</v>
      </c>
      <c r="T47" s="3340">
        <f t="shared" ref="T47" si="28">IF(R47="NO","NO",R47*S47*44/12)</f>
        <v>67380.68200419785</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1368224.5102281657</v>
      </c>
      <c r="O50" s="3331"/>
      <c r="P50" s="3336">
        <f>SUM(P47:P48)</f>
        <v>19164.438968980619</v>
      </c>
      <c r="Q50" s="3336">
        <f>SUM(Q47:Q48)</f>
        <v>787.88933147211208</v>
      </c>
      <c r="R50" s="3336">
        <f>SUM(R47:R48)</f>
        <v>18376.549637508506</v>
      </c>
      <c r="S50" s="2379"/>
      <c r="T50" s="3342">
        <f>SUM(T47:T48)</f>
        <v>67380.68200419785</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-374.32</v>
      </c>
      <c r="K52" s="3334">
        <f t="shared" ref="K52:K53" si="29">IF((SUM(F52:G52)-SUM(H52:J52))=0,"NO",(SUM(F52:G52)-SUM(H52:J52)))</f>
        <v>374.32</v>
      </c>
      <c r="L52" s="2597">
        <f t="shared" ref="L52:L53" si="30">IF(K52="NO","NA",1)</f>
        <v>1</v>
      </c>
      <c r="M52" s="55" t="s">
        <v>97</v>
      </c>
      <c r="N52" s="3334">
        <f t="shared" ref="N52:N53" si="31">K52</f>
        <v>374.32</v>
      </c>
      <c r="O52" s="3307">
        <v>0.74193522467841277</v>
      </c>
      <c r="P52" s="3334">
        <f t="shared" ref="P52:P53" si="32">IFERROR(N52*O52/1000,"NA")</f>
        <v>0.27772119330162348</v>
      </c>
      <c r="Q52" s="3339" t="str">
        <f>'Table1.A(d)'!G52</f>
        <v>NA</v>
      </c>
      <c r="R52" s="3334">
        <f t="shared" ref="R52:R53" si="33">IF(SUM(P52,-SUM(Q52))=0,"NO",SUM(P52,-SUM(Q52)))</f>
        <v>0.27772119330162348</v>
      </c>
      <c r="S52" s="2597">
        <f t="shared" ref="S52:S53" si="34">IF(R52="NO","NA",1)</f>
        <v>1</v>
      </c>
      <c r="T52" s="3340">
        <f t="shared" ref="T52:T53" si="35">IF(R52="NO","NO",R52*S52*44/12)</f>
        <v>1.0183110421059529</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374.32</v>
      </c>
      <c r="O54" s="3332"/>
      <c r="P54" s="3338">
        <f>SUM(P51:P53)</f>
        <v>0.27772119330162348</v>
      </c>
      <c r="Q54" s="3338">
        <f>SUM(Q51:Q53)</f>
        <v>0</v>
      </c>
      <c r="R54" s="3338">
        <f>SUM(R51:R53)</f>
        <v>0.27772119330162348</v>
      </c>
      <c r="S54" s="2399"/>
      <c r="T54" s="3344">
        <f>SUM(T51:T53)</f>
        <v>1.0183110421059529</v>
      </c>
    </row>
    <row r="55" spans="2:20" ht="18" customHeight="1" thickBot="1" x14ac:dyDescent="0.25">
      <c r="B55" s="2395" t="s">
        <v>409</v>
      </c>
      <c r="C55" s="2396"/>
      <c r="D55" s="2396"/>
      <c r="E55" s="100"/>
      <c r="F55" s="3356"/>
      <c r="G55" s="3356"/>
      <c r="H55" s="3356"/>
      <c r="I55" s="3356"/>
      <c r="J55" s="3356"/>
      <c r="K55" s="3357"/>
      <c r="L55" s="2397"/>
      <c r="M55" s="2398"/>
      <c r="N55" s="3338">
        <f>SUM(N31,N45,N50,N54)</f>
        <v>5289598.9076808169</v>
      </c>
      <c r="O55" s="3332"/>
      <c r="P55" s="3338">
        <f>SUM(P31,P45,P50,P54)</f>
        <v>103955.04855885336</v>
      </c>
      <c r="Q55" s="3338">
        <f>SUM(Q31,Q45,Q50,Q54)</f>
        <v>5530.4261251519929</v>
      </c>
      <c r="R55" s="3338">
        <f>SUM(R31,R45,R50,R54)</f>
        <v>98424.622433701385</v>
      </c>
      <c r="S55" s="2399"/>
      <c r="T55" s="3344">
        <f>SUM(T31,T45,T50,T54)</f>
        <v>360890.28225690511</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2067.8077805588005</v>
      </c>
      <c r="D10" s="4127">
        <f>C10-'Table1.A(d)'!E31/1000</f>
        <v>1945.2460956209209</v>
      </c>
      <c r="E10" s="4126">
        <f>'Table1.A(b)'!T31</f>
        <v>134757.93456826758</v>
      </c>
      <c r="F10" s="4126">
        <f>'Table1.A(a)s1'!C11/1000</f>
        <v>1971.7387113785655</v>
      </c>
      <c r="G10" s="4126">
        <f>'Table1.A(a)s1'!H11</f>
        <v>134705.42507601692</v>
      </c>
      <c r="H10" s="4126">
        <f>100*((D10-F10)/F10)</f>
        <v>-1.3436169612515256</v>
      </c>
      <c r="I10" s="4128">
        <f>100*((E10-G10)/G10)</f>
        <v>3.8980978101677798E-2</v>
      </c>
      <c r="L10"/>
    </row>
    <row r="11" spans="2:12" ht="18" customHeight="1" x14ac:dyDescent="0.2">
      <c r="B11" s="50" t="s">
        <v>430</v>
      </c>
      <c r="C11" s="4126">
        <f>'Table1.A(b)'!N45/1000</f>
        <v>1853.1922968938504</v>
      </c>
      <c r="D11" s="4126">
        <f>C11-'Table1.A(d)'!E45/1000</f>
        <v>1766.6982984035308</v>
      </c>
      <c r="E11" s="4126">
        <f>'Table1.A(b)'!T45</f>
        <v>158750.64737339754</v>
      </c>
      <c r="F11" s="4126">
        <f>'Table1.A(a)s1'!C12/1000</f>
        <v>1786.7729089982772</v>
      </c>
      <c r="G11" s="4126">
        <f>'Table1.A(a)s1'!H12</f>
        <v>160437.46244635843</v>
      </c>
      <c r="H11" s="4126">
        <f t="shared" ref="H11:H13" si="0">100*((D11-F11)/F11)</f>
        <v>-1.1235121426819104</v>
      </c>
      <c r="I11" s="4128">
        <f t="shared" ref="I11:I13" si="1">100*((E11-G11)/G11)</f>
        <v>-1.051384787094142</v>
      </c>
      <c r="L11"/>
    </row>
    <row r="12" spans="2:12" ht="18" customHeight="1" x14ac:dyDescent="0.2">
      <c r="B12" s="50" t="s">
        <v>431</v>
      </c>
      <c r="C12" s="4126">
        <f>'Table1.A(b)'!N50/1000</f>
        <v>1368.2245102281656</v>
      </c>
      <c r="D12" s="4126">
        <f>C12-'Table1.A(d)'!E50/1000</f>
        <v>1312.0327235364657</v>
      </c>
      <c r="E12" s="4126">
        <f>'Table1.A(b)'!T50</f>
        <v>67380.68200419785</v>
      </c>
      <c r="F12" s="4126">
        <f>'Table1.A(a)s1'!C13/1000</f>
        <v>1298.181445443041</v>
      </c>
      <c r="G12" s="4126">
        <f>'Table1.A(a)s1'!H13</f>
        <v>66433.641288783358</v>
      </c>
      <c r="H12" s="4126">
        <f t="shared" si="0"/>
        <v>1.0669755096289806</v>
      </c>
      <c r="I12" s="4128">
        <f t="shared" si="1"/>
        <v>1.4255438916824668</v>
      </c>
      <c r="L12"/>
    </row>
    <row r="13" spans="2:12" ht="18" customHeight="1" x14ac:dyDescent="0.2">
      <c r="B13" s="50" t="s">
        <v>432</v>
      </c>
      <c r="C13" s="4126">
        <f>'Table1.A(b)'!N54/1000</f>
        <v>0.37431999999999999</v>
      </c>
      <c r="D13" s="4126">
        <f>C13-SUM('Table1.A(d)'!E54)/1000</f>
        <v>0.37431999999999999</v>
      </c>
      <c r="E13" s="4126">
        <f>'Table1.A(b)'!T54</f>
        <v>1.0183110421059529</v>
      </c>
      <c r="F13" s="4126">
        <f>'Table1.A(a)s1'!C14/1000</f>
        <v>4.2117996345254562</v>
      </c>
      <c r="G13" s="4126">
        <f>'Table1.A(a)s1'!H14</f>
        <v>178.89976388700225</v>
      </c>
      <c r="H13" s="4126">
        <f t="shared" si="0"/>
        <v>-91.11258767080038</v>
      </c>
      <c r="I13" s="4128">
        <f t="shared" si="1"/>
        <v>-99.430792405769111</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5289.5989076808164</v>
      </c>
      <c r="D15" s="4196">
        <f>SUM(D10:D14)</f>
        <v>5024.3514375609175</v>
      </c>
      <c r="E15" s="4196">
        <f>SUM(E10:E14)</f>
        <v>360890.28225690511</v>
      </c>
      <c r="F15" s="4196">
        <f>SUM(F10:F14)</f>
        <v>5060.9048654544085</v>
      </c>
      <c r="G15" s="4196">
        <f>SUM(G10:G14)</f>
        <v>361755.42857504566</v>
      </c>
      <c r="H15" s="4197">
        <f t="shared" ref="H15" si="2">100*((D15-F15)/F15)</f>
        <v>-0.72227059913739367</v>
      </c>
      <c r="I15" s="4198">
        <f t="shared" ref="I15" si="3">100*((E15-G15)/G15)</f>
        <v>-0.23915226968351705</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